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omments3.xml" ContentType="application/vnd.openxmlformats-officedocument.spreadsheetml.comment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omments4.xml" ContentType="application/vnd.openxmlformats-officedocument.spreadsheetml.comments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omments5.xml" ContentType="application/vnd.openxmlformats-officedocument.spreadsheetml.comment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S:\中央給電指令所\所内共通\◆エリア管理G◆\530_再エネ検証対応\2025年\★HP公表データ(docu,pdf)\"/>
    </mc:Choice>
  </mc:AlternateContent>
  <xr:revisionPtr revIDLastSave="0" documentId="13_ncr:1_{E43B0B35-0F88-4B3D-B2E3-95D395648B78}" xr6:coauthVersionLast="47" xr6:coauthVersionMax="47" xr10:uidLastSave="{00000000-0000-0000-0000-000000000000}"/>
  <bookViews>
    <workbookView xWindow="-110" yWindow="-110" windowWidth="38620" windowHeight="15500" tabRatio="748" xr2:uid="{00000000-000D-0000-FFFF-FFFF00000000}"/>
  </bookViews>
  <sheets>
    <sheet name="2025年度" sheetId="145" r:id="rId1"/>
    <sheet name="必要性202504(1)" sheetId="146" r:id="rId2"/>
    <sheet name="必要性202504(2)" sheetId="147" r:id="rId3"/>
    <sheet name="必要性202504(3)" sheetId="148" r:id="rId4"/>
    <sheet name="必要性202504(4)" sheetId="149" r:id="rId5"/>
    <sheet name="必要性202504(5)" sheetId="150" r:id="rId6"/>
    <sheet name="抑制、調整状況202504(1)" sheetId="151" r:id="rId7"/>
    <sheet name="抑制、調整状況202504 (2)" sheetId="152" r:id="rId8"/>
    <sheet name="抑制、調整状況202504 (3)" sheetId="153" r:id="rId9"/>
    <sheet name="抑制、調整状況202504 (4)" sheetId="154" r:id="rId10"/>
    <sheet name="抑制、調整状況202504（5）" sheetId="155" r:id="rId11"/>
    <sheet name="必要性202505(1)" sheetId="156" r:id="rId12"/>
    <sheet name="必要性202505(2)" sheetId="157" r:id="rId13"/>
    <sheet name="必要性202505(3)" sheetId="158" r:id="rId14"/>
    <sheet name="必要性202505(4)" sheetId="159" r:id="rId15"/>
    <sheet name="抑制、調整状況202505 (1)" sheetId="160" r:id="rId16"/>
    <sheet name="抑制、調整状況202505 (2)" sheetId="161" r:id="rId17"/>
    <sheet name="抑制、調整状況202505 (3)" sheetId="162" r:id="rId18"/>
    <sheet name="抑制、調整状況202505 (4)" sheetId="163" r:id="rId19"/>
    <sheet name="必要性202506(1)" sheetId="164" r:id="rId20"/>
    <sheet name="必要性202506(2)" sheetId="165" r:id="rId21"/>
    <sheet name="抑制、調整状況202506 (1)" sheetId="166" r:id="rId22"/>
    <sheet name="抑制、調整状況202506 (2)" sheetId="167" r:id="rId23"/>
    <sheet name="必要性202507(1)" sheetId="168" r:id="rId24"/>
    <sheet name="抑制、調整状況202507(1)" sheetId="169" r:id="rId25"/>
    <sheet name="必要性202509(1)" sheetId="171" r:id="rId26"/>
    <sheet name="抑制、調整状況202509(1)" sheetId="170" r:id="rId27"/>
    <sheet name="必要性202510(1)" sheetId="172" r:id="rId28"/>
    <sheet name="抑制、調整状況202510 (1)" sheetId="173" r:id="rId29"/>
    <sheet name="必要性202511(1)" sheetId="174" r:id="rId30"/>
    <sheet name="必要性202511(2)" sheetId="175" r:id="rId31"/>
    <sheet name="必要性202511(3)" sheetId="176" r:id="rId32"/>
    <sheet name="必要性202511(4)" sheetId="177" r:id="rId33"/>
    <sheet name="抑制、調整状況202511(1)" sheetId="178" r:id="rId34"/>
    <sheet name="抑制、調整状況202511(2)" sheetId="179" r:id="rId35"/>
    <sheet name="抑制、調整状況202511(3)" sheetId="180" r:id="rId36"/>
    <sheet name="抑制、調整状況202511(4)" sheetId="181" r:id="rId37"/>
    <sheet name="必要性202512(1)" sheetId="182" r:id="rId38"/>
    <sheet name="抑制、調整状況 202512(1)" sheetId="183" r:id="rId39"/>
    <sheet name="必要性202601(1)" sheetId="184" r:id="rId40"/>
    <sheet name="必要性202601(2)" sheetId="185" r:id="rId41"/>
    <sheet name="必要性202601(3)" sheetId="186" r:id="rId42"/>
    <sheet name="抑制、調整状況202601(1)" sheetId="187" r:id="rId43"/>
    <sheet name="抑制、調整状況202601(2)" sheetId="188" r:id="rId44"/>
    <sheet name="抑制、調整状況202601(3)" sheetId="189" r:id="rId45"/>
    <sheet name="必要性202602(1)" sheetId="190" r:id="rId46"/>
    <sheet name="必要性202602(2)" sheetId="191" r:id="rId47"/>
    <sheet name="必要性202602(3)" sheetId="192" r:id="rId48"/>
    <sheet name="抑制、調整状況202602(1)" sheetId="193" r:id="rId49"/>
    <sheet name="抑制、調整状況 202602(2)" sheetId="194" r:id="rId50"/>
    <sheet name="抑制、調整状況202602(3)" sheetId="195" r:id="rId51"/>
    <sheet name="必要性202603(1)" sheetId="196" r:id="rId52"/>
    <sheet name="必要性202603(2)" sheetId="197" r:id="rId53"/>
    <sheet name="必要性202603(3)" sheetId="198" r:id="rId54"/>
    <sheet name="必要性202603(4)" sheetId="199" r:id="rId55"/>
    <sheet name="必要性202603(5)" sheetId="200" r:id="rId56"/>
    <sheet name="抑制、調整状況202603(1)" sheetId="201" r:id="rId57"/>
    <sheet name="抑制、調整状況202603(2)" sheetId="202" r:id="rId58"/>
    <sheet name="抑制、調整状況202603(3)" sheetId="203" r:id="rId59"/>
    <sheet name="抑制、調整状況202603(4)" sheetId="204" r:id="rId60"/>
    <sheet name="抑制、調整状況202603(5)" sheetId="205" r:id="rId61"/>
    <sheet name="2024年度" sheetId="81" r:id="rId62"/>
    <sheet name="必要性202404(1)" sheetId="17" r:id="rId63"/>
    <sheet name="必要性202404(2)" sheetId="23" r:id="rId64"/>
    <sheet name="必要性202404(3)" sheetId="24" r:id="rId65"/>
    <sheet name="抑制、調整状況202404(1)" sheetId="47" r:id="rId66"/>
    <sheet name="抑制、調整状況202404(2)" sheetId="48" r:id="rId67"/>
    <sheet name="抑制、調整状況202404(3)" sheetId="49" r:id="rId68"/>
    <sheet name="必要性202405(1)" sheetId="28" r:id="rId69"/>
    <sheet name="必要性202405(2)" sheetId="29" r:id="rId70"/>
    <sheet name="必要性202405(3)" sheetId="30" r:id="rId71"/>
    <sheet name="必要性202405(4)" sheetId="31" r:id="rId72"/>
    <sheet name="必要性202405(5)" sheetId="32" r:id="rId73"/>
    <sheet name="抑制、調整状況202405(1)" sheetId="50" r:id="rId74"/>
    <sheet name="抑制、調整状況202405(2)" sheetId="51" r:id="rId75"/>
    <sheet name="抑制、調整状況202405(3)" sheetId="52" r:id="rId76"/>
    <sheet name="抑制、調整状況202405(4)" sheetId="53" r:id="rId77"/>
    <sheet name="抑制、調整状況202405(5)" sheetId="54" r:id="rId78"/>
    <sheet name="必要性202406(1)" sheetId="25" r:id="rId79"/>
    <sheet name="必要性202406(2)" sheetId="26" r:id="rId80"/>
    <sheet name="必要性202406(3)" sheetId="27" r:id="rId81"/>
    <sheet name="抑制、調整状況202406(1)" sheetId="55" r:id="rId82"/>
    <sheet name="抑制、調整状況202406(2)" sheetId="56" r:id="rId83"/>
    <sheet name="抑制、調整状況202406(3)" sheetId="57" r:id="rId84"/>
    <sheet name="必要性202409(1)" sheetId="33" r:id="rId85"/>
    <sheet name="必要性202409(2)" sheetId="34" r:id="rId86"/>
    <sheet name="抑制、調整状況202409(1)" sheetId="58" r:id="rId87"/>
    <sheet name="抑制、調整状況20409(2)" sheetId="59" r:id="rId88"/>
    <sheet name="必要性202410(1)" sheetId="35" r:id="rId89"/>
    <sheet name="必要性202410(2)" sheetId="36" r:id="rId90"/>
    <sheet name="抑制、調整状況202410(1)" sheetId="60" r:id="rId91"/>
    <sheet name="抑制、調整状況202410(2)" sheetId="61" r:id="rId92"/>
    <sheet name="必要性202411(1)" sheetId="37" r:id="rId93"/>
    <sheet name="必要性202411(2)" sheetId="38" r:id="rId94"/>
    <sheet name="必要性202411(3)" sheetId="39" r:id="rId95"/>
    <sheet name="抑制、調整状況202411(1)" sheetId="62" r:id="rId96"/>
    <sheet name="抑制、調整状況202411(2)" sheetId="63" r:id="rId97"/>
    <sheet name="抑制、調整状況202411(3)" sheetId="64" r:id="rId98"/>
    <sheet name="必要性202412(1)" sheetId="40" r:id="rId99"/>
    <sheet name="必要性202412(2)" sheetId="41" r:id="rId100"/>
    <sheet name="抑制、調整状況202412(1)" sheetId="65" r:id="rId101"/>
    <sheet name="抑制、調整状況202412(2)" sheetId="66" r:id="rId102"/>
    <sheet name="必要性202501(1)" sheetId="42" r:id="rId103"/>
    <sheet name="必要性202501(2)" sheetId="43" r:id="rId104"/>
    <sheet name="抑制、調整状況202501(1)" sheetId="67" r:id="rId105"/>
    <sheet name="抑制、調整状況202501(2)" sheetId="68" r:id="rId106"/>
    <sheet name="必要性202502(1)" sheetId="44" r:id="rId107"/>
    <sheet name="必要性202502(2)" sheetId="45" r:id="rId108"/>
    <sheet name="必要性202502(3)" sheetId="46" r:id="rId109"/>
    <sheet name="抑制、調整状況202502(1)" sheetId="69" r:id="rId110"/>
    <sheet name="抑制、調整状況202502(2)" sheetId="70" r:id="rId111"/>
    <sheet name="抑制、調整状況202502(3)" sheetId="71" r:id="rId112"/>
    <sheet name="必要性202503(1)" sheetId="72" r:id="rId113"/>
    <sheet name="必要性202503(2)" sheetId="73" r:id="rId114"/>
    <sheet name="必要性202503(3)" sheetId="74" r:id="rId115"/>
    <sheet name="必要性202503(4)" sheetId="75" r:id="rId116"/>
    <sheet name="抑制、調整状況202503(1)" sheetId="76" r:id="rId117"/>
    <sheet name="抑制、調整状況202503(2)" sheetId="77" r:id="rId118"/>
    <sheet name="抑制、調整状況202503(3)" sheetId="78" r:id="rId119"/>
    <sheet name="抑制、調整状況202503(4)" sheetId="79" r:id="rId120"/>
    <sheet name="2023年度" sheetId="82" r:id="rId121"/>
    <sheet name="必要性202304(1)" sheetId="83" r:id="rId122"/>
    <sheet name="必要性202304(2)" sheetId="84" r:id="rId123"/>
    <sheet name="必要性202304(3)" sheetId="85" r:id="rId124"/>
    <sheet name="必要性202304(4)" sheetId="86" r:id="rId125"/>
    <sheet name="抑制、調整状況202304(1)" sheetId="87" r:id="rId126"/>
    <sheet name="抑制、調整状況202304(2)" sheetId="88" r:id="rId127"/>
    <sheet name="抑制、調整状況202304(3)" sheetId="89" r:id="rId128"/>
    <sheet name="抑制、調整状況202304(4)" sheetId="90" r:id="rId129"/>
    <sheet name="必要性202305(1)" sheetId="91" r:id="rId130"/>
    <sheet name="必要性202305(2)" sheetId="92" r:id="rId131"/>
    <sheet name="必要性202305(3)" sheetId="93" r:id="rId132"/>
    <sheet name="必要性202305(4)" sheetId="94" r:id="rId133"/>
    <sheet name="必要性202305(5)" sheetId="95" r:id="rId134"/>
    <sheet name="抑制、調整状況202305(1)" sheetId="96" r:id="rId135"/>
    <sheet name="抑制、調整状況202305(2)" sheetId="97" r:id="rId136"/>
    <sheet name="抑制、調整状況202305(3)" sheetId="98" r:id="rId137"/>
    <sheet name="抑制、調整状況202305(4)" sheetId="99" r:id="rId138"/>
    <sheet name="抑制、調整状況202305(5)" sheetId="100" r:id="rId139"/>
    <sheet name="必要性202306(1)" sheetId="101" r:id="rId140"/>
    <sheet name="必要性202306(2)" sheetId="102" r:id="rId141"/>
    <sheet name="抑制、調整状況202306(1)" sheetId="103" r:id="rId142"/>
    <sheet name="抑制、調整状況202306(2)" sheetId="104" r:id="rId143"/>
    <sheet name="必要性202308" sheetId="105" r:id="rId144"/>
    <sheet name="抑制、調整状況202308" sheetId="106" r:id="rId145"/>
    <sheet name="必要性 202309(1)" sheetId="107" r:id="rId146"/>
    <sheet name="必要性202309(2)" sheetId="108" r:id="rId147"/>
    <sheet name="抑制、調整状況202309(1)" sheetId="109" r:id="rId148"/>
    <sheet name="抑制、調整状況202309(2)" sheetId="110" r:id="rId149"/>
    <sheet name="必要性202310(1)" sheetId="111" r:id="rId150"/>
    <sheet name="必要性202310(2)" sheetId="112" r:id="rId151"/>
    <sheet name="必要性202310(3)" sheetId="113" r:id="rId152"/>
    <sheet name="必要性202310(4)" sheetId="114" r:id="rId153"/>
    <sheet name="必要性202310(5)" sheetId="115" r:id="rId154"/>
    <sheet name="抑制、調整状況202310(1)" sheetId="116" r:id="rId155"/>
    <sheet name="抑制、調整状況202310(2)" sheetId="117" r:id="rId156"/>
    <sheet name="抑制、調整状況202310(3)" sheetId="118" r:id="rId157"/>
    <sheet name="抑制、調整状況202310(4)" sheetId="119" r:id="rId158"/>
    <sheet name="抑制、調整状況202310(5)" sheetId="120" r:id="rId159"/>
    <sheet name="必要性202311(1)" sheetId="121" r:id="rId160"/>
    <sheet name="必要性202311(2)" sheetId="122" r:id="rId161"/>
    <sheet name="必要性202311(3)" sheetId="123" r:id="rId162"/>
    <sheet name="抑制、調整状況 202311(1)" sheetId="124" r:id="rId163"/>
    <sheet name="抑制、調整状況 202311(2)" sheetId="125" r:id="rId164"/>
    <sheet name="抑制、調整状況202311(3)" sheetId="126" r:id="rId165"/>
    <sheet name="必要性202312(1)" sheetId="127" r:id="rId166"/>
    <sheet name="抑制、調整状況202312(1)" sheetId="128" r:id="rId167"/>
    <sheet name="必要性202401(1)" sheetId="129" r:id="rId168"/>
    <sheet name="抑制、調整状況202401(1)" sheetId="130" r:id="rId169"/>
    <sheet name="必要性202402(1)" sheetId="131" r:id="rId170"/>
    <sheet name="必要性 202402(2)" sheetId="132" r:id="rId171"/>
    <sheet name="抑制、調整状況202402(1)" sheetId="133" r:id="rId172"/>
    <sheet name="抑制、調整状況202402(2)" sheetId="134" r:id="rId173"/>
    <sheet name="必要性202403(1)" sheetId="135" r:id="rId174"/>
    <sheet name="必要性202403(2)" sheetId="136" r:id="rId175"/>
    <sheet name="必要性202403(3)" sheetId="137" r:id="rId176"/>
    <sheet name="必要性202403(4)" sheetId="138" r:id="rId177"/>
    <sheet name="必要性202403(5)" sheetId="139" r:id="rId178"/>
    <sheet name="抑制、調整状況202403(1)" sheetId="140" r:id="rId179"/>
    <sheet name="抑制、調整状況202403(2)" sheetId="141" r:id="rId180"/>
    <sheet name="抑制、調整状況202403(3)" sheetId="142" r:id="rId181"/>
    <sheet name="抑制、調整状況202403(4)" sheetId="143" r:id="rId182"/>
    <sheet name="抑制、調整状況202403(5)" sheetId="144" r:id="rId183"/>
  </sheets>
  <externalReferences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</externalReferences>
  <definedNames>
    <definedName name="EDC新大分">[1]表示切替!$C$3</definedName>
    <definedName name="MAXﾊﾞﾗﾝｽ" localSheetId="143">#REF!,#REF!,#REF!</definedName>
    <definedName name="MAXﾊﾞﾗﾝｽ" localSheetId="165">#REF!,#REF!,#REF!</definedName>
    <definedName name="MAXﾊﾞﾗﾝｽ" localSheetId="167">#REF!,#REF!,#REF!</definedName>
    <definedName name="MAXﾊﾞﾗﾝｽ" localSheetId="144">#REF!,#REF!,#REF!</definedName>
    <definedName name="MAXﾊﾞﾗﾝｽ" localSheetId="166">#REF!,#REF!,#REF!</definedName>
    <definedName name="MAXﾊﾞﾗﾝｽ" localSheetId="168">#REF!,#REF!,#REF!</definedName>
    <definedName name="MAXﾊﾞﾗﾝｽ">#REF!,#REF!,#REF!</definedName>
    <definedName name="ｎ＿年月" localSheetId="143">#REF!</definedName>
    <definedName name="ｎ＿年月" localSheetId="165">#REF!</definedName>
    <definedName name="ｎ＿年月" localSheetId="167">#REF!</definedName>
    <definedName name="ｎ＿年月">#REF!</definedName>
    <definedName name="ＰＣ単価" localSheetId="143">#REF!</definedName>
    <definedName name="ＰＣ単価" localSheetId="165">#REF!</definedName>
    <definedName name="ＰＣ単価" localSheetId="167">#REF!</definedName>
    <definedName name="ＰＣ単価">#REF!</definedName>
    <definedName name="_xlnm.Print_Area" localSheetId="120">'2023年度'!$A$1:$L$29</definedName>
    <definedName name="_xlnm.Print_Area" localSheetId="61">'2024年度'!$A$1:$L$29</definedName>
    <definedName name="_xlnm.Print_Area" localSheetId="0">'2025年度'!$A$1:$L$29</definedName>
    <definedName name="_xlnm.Print_Area" localSheetId="145">'必要性 202309(1)'!$A$1:$O$55</definedName>
    <definedName name="_xlnm.Print_Area" localSheetId="170">'必要性 202402(2)'!$A$1:$O$55</definedName>
    <definedName name="_xlnm.Print_Area" localSheetId="121">'必要性202304(1)'!$A$1:$O$55</definedName>
    <definedName name="_xlnm.Print_Area" localSheetId="122">'必要性202304(2)'!$A$1:$O$55</definedName>
    <definedName name="_xlnm.Print_Area" localSheetId="123">'必要性202304(3)'!$A$1:$O$55</definedName>
    <definedName name="_xlnm.Print_Area" localSheetId="124">'必要性202304(4)'!$A$1:$O$55</definedName>
    <definedName name="_xlnm.Print_Area" localSheetId="129">'必要性202305(1)'!$A$1:$O$55</definedName>
    <definedName name="_xlnm.Print_Area" localSheetId="130">'必要性202305(2)'!$A$1:$O$55</definedName>
    <definedName name="_xlnm.Print_Area" localSheetId="131">'必要性202305(3)'!$A$1:$O$55</definedName>
    <definedName name="_xlnm.Print_Area" localSheetId="132">'必要性202305(4)'!$A$1:$O$55</definedName>
    <definedName name="_xlnm.Print_Area" localSheetId="133">'必要性202305(5)'!$A$1:$O$55</definedName>
    <definedName name="_xlnm.Print_Area" localSheetId="139">'必要性202306(1)'!$A$1:$O$55</definedName>
    <definedName name="_xlnm.Print_Area" localSheetId="140">'必要性202306(2)'!$A$1:$O$55</definedName>
    <definedName name="_xlnm.Print_Area" localSheetId="143">必要性202308!$A$1:$O$55</definedName>
    <definedName name="_xlnm.Print_Area" localSheetId="146">'必要性202309(2)'!$A$1:$O$55</definedName>
    <definedName name="_xlnm.Print_Area" localSheetId="149">'必要性202310(1)'!$A$1:$O$55</definedName>
    <definedName name="_xlnm.Print_Area" localSheetId="150">'必要性202310(2)'!$A$1:$O$55</definedName>
    <definedName name="_xlnm.Print_Area" localSheetId="151">'必要性202310(3)'!$A$1:$O$55</definedName>
    <definedName name="_xlnm.Print_Area" localSheetId="152">'必要性202310(4)'!$A$1:$O$55</definedName>
    <definedName name="_xlnm.Print_Area" localSheetId="153">'必要性202310(5)'!$A$1:$O$55</definedName>
    <definedName name="_xlnm.Print_Area" localSheetId="159">'必要性202311(1)'!$A$1:$O$55</definedName>
    <definedName name="_xlnm.Print_Area" localSheetId="160">'必要性202311(2)'!$A$1:$O$55</definedName>
    <definedName name="_xlnm.Print_Area" localSheetId="161">'必要性202311(3)'!$A$1:$O$55</definedName>
    <definedName name="_xlnm.Print_Area" localSheetId="165">'必要性202312(1)'!$A$1:$O$55</definedName>
    <definedName name="_xlnm.Print_Area" localSheetId="167">'必要性202401(1)'!$A$1:$O$55</definedName>
    <definedName name="_xlnm.Print_Area" localSheetId="169">'必要性202402(1)'!$A$1:$O$55</definedName>
    <definedName name="_xlnm.Print_Area" localSheetId="173">'必要性202403(1)'!$A$1:$O$55</definedName>
    <definedName name="_xlnm.Print_Area" localSheetId="174">'必要性202403(2)'!$A$1:$O$55</definedName>
    <definedName name="_xlnm.Print_Area" localSheetId="175">'必要性202403(3)'!$A$1:$O$55</definedName>
    <definedName name="_xlnm.Print_Area" localSheetId="176">'必要性202403(4)'!$A$1:$O$55</definedName>
    <definedName name="_xlnm.Print_Area" localSheetId="177">'必要性202403(5)'!$A$1:$O$55</definedName>
    <definedName name="_xlnm.Print_Area" localSheetId="62">'必要性202404(1)'!$A$1:$O$55</definedName>
    <definedName name="_xlnm.Print_Area" localSheetId="63">'必要性202404(2)'!$A$1:$O$55</definedName>
    <definedName name="_xlnm.Print_Area" localSheetId="64">'必要性202404(3)'!$A$1:$O$55</definedName>
    <definedName name="_xlnm.Print_Area" localSheetId="68">'必要性202405(1)'!$A$1:$O$55</definedName>
    <definedName name="_xlnm.Print_Area" localSheetId="69">'必要性202405(2)'!$A$1:$O$55</definedName>
    <definedName name="_xlnm.Print_Area" localSheetId="70">'必要性202405(3)'!$A$1:$O$55</definedName>
    <definedName name="_xlnm.Print_Area" localSheetId="71">'必要性202405(4)'!$A$1:$O$55</definedName>
    <definedName name="_xlnm.Print_Area" localSheetId="72">'必要性202405(5)'!$A$1:$O$55</definedName>
    <definedName name="_xlnm.Print_Area" localSheetId="78">'必要性202406(1)'!$A$1:$O$55</definedName>
    <definedName name="_xlnm.Print_Area" localSheetId="79">'必要性202406(2)'!$A$1:$O$55</definedName>
    <definedName name="_xlnm.Print_Area" localSheetId="80">'必要性202406(3)'!$A$1:$O$55</definedName>
    <definedName name="_xlnm.Print_Area" localSheetId="84">'必要性202409(1)'!$A$1:$O$55</definedName>
    <definedName name="_xlnm.Print_Area" localSheetId="85">'必要性202409(2)'!$A$1:$O$55</definedName>
    <definedName name="_xlnm.Print_Area" localSheetId="88">'必要性202410(1)'!$A$1:$O$55</definedName>
    <definedName name="_xlnm.Print_Area" localSheetId="89">'必要性202410(2)'!$A$1:$O$55</definedName>
    <definedName name="_xlnm.Print_Area" localSheetId="92">'必要性202411(1)'!$A$1:$O$55</definedName>
    <definedName name="_xlnm.Print_Area" localSheetId="93">'必要性202411(2)'!$A$1:$O$55</definedName>
    <definedName name="_xlnm.Print_Area" localSheetId="94">'必要性202411(3)'!$A$1:$O$55</definedName>
    <definedName name="_xlnm.Print_Area" localSheetId="98">'必要性202412(1)'!$A$1:$O$55</definedName>
    <definedName name="_xlnm.Print_Area" localSheetId="99">'必要性202412(2)'!$A$1:$O$55</definedName>
    <definedName name="_xlnm.Print_Area" localSheetId="102">'必要性202501(1)'!$A$1:$O$55</definedName>
    <definedName name="_xlnm.Print_Area" localSheetId="103">'必要性202501(2)'!$A$1:$O$55</definedName>
    <definedName name="_xlnm.Print_Area" localSheetId="106">'必要性202502(1)'!$A$1:$O$55</definedName>
    <definedName name="_xlnm.Print_Area" localSheetId="107">'必要性202502(2)'!$A$1:$O$55</definedName>
    <definedName name="_xlnm.Print_Area" localSheetId="108">'必要性202502(3)'!$A$1:$O$55</definedName>
    <definedName name="_xlnm.Print_Area" localSheetId="112">'必要性202503(1)'!$A$1:$O$55</definedName>
    <definedName name="_xlnm.Print_Area" localSheetId="113">'必要性202503(2)'!$A$1:$O$55</definedName>
    <definedName name="_xlnm.Print_Area" localSheetId="114">'必要性202503(3)'!$A$1:$O$55</definedName>
    <definedName name="_xlnm.Print_Area" localSheetId="115">'必要性202503(4)'!$A$1:$O$55</definedName>
    <definedName name="_xlnm.Print_Area" localSheetId="1">'必要性202504(1)'!$A$1:$O$55</definedName>
    <definedName name="_xlnm.Print_Area" localSheetId="2">'必要性202504(2)'!$A$1:$O$55</definedName>
    <definedName name="_xlnm.Print_Area" localSheetId="3">'必要性202504(3)'!$A$1:$O$55</definedName>
    <definedName name="_xlnm.Print_Area" localSheetId="4">'必要性202504(4)'!$A$1:$O$55</definedName>
    <definedName name="_xlnm.Print_Area" localSheetId="5">'必要性202504(5)'!$A$1:$O$55</definedName>
    <definedName name="_xlnm.Print_Area" localSheetId="11">'必要性202505(1)'!$A$1:$O$55</definedName>
    <definedName name="_xlnm.Print_Area" localSheetId="12">'必要性202505(2)'!$A$1:$O$55</definedName>
    <definedName name="_xlnm.Print_Area" localSheetId="13">'必要性202505(3)'!$A$1:$O$55</definedName>
    <definedName name="_xlnm.Print_Area" localSheetId="14">'必要性202505(4)'!$A$1:$O$55</definedName>
    <definedName name="_xlnm.Print_Area" localSheetId="19">'必要性202506(1)'!$A$1:$O$55</definedName>
    <definedName name="_xlnm.Print_Area" localSheetId="20">'必要性202506(2)'!$A$1:$O$55</definedName>
    <definedName name="_xlnm.Print_Area" localSheetId="23">'必要性202507(1)'!$A$1:$O$55</definedName>
    <definedName name="_xlnm.Print_Area" localSheetId="25">'必要性202509(1)'!$A$1:$O$55</definedName>
    <definedName name="_xlnm.Print_Area" localSheetId="27">'必要性202510(1)'!$A$1:$P$55</definedName>
    <definedName name="_xlnm.Print_Area" localSheetId="29">'必要性202511(1)'!$A$1:$P$55</definedName>
    <definedName name="_xlnm.Print_Area" localSheetId="30">'必要性202511(2)'!$A$1:$P$55</definedName>
    <definedName name="_xlnm.Print_Area" localSheetId="31">'必要性202511(3)'!$A$1:$P$55</definedName>
    <definedName name="_xlnm.Print_Area" localSheetId="32">'必要性202511(4)'!$A$1:$P$55</definedName>
    <definedName name="_xlnm.Print_Area" localSheetId="37">'必要性202512(1)'!$A$1:$P$55</definedName>
    <definedName name="_xlnm.Print_Area" localSheetId="39">'必要性202601(1)'!$A$1:$P$55</definedName>
    <definedName name="_xlnm.Print_Area" localSheetId="40">'必要性202601(2)'!$A$1:$O$55</definedName>
    <definedName name="_xlnm.Print_Area" localSheetId="41">'必要性202601(3)'!$A$1:$O$55</definedName>
    <definedName name="_xlnm.Print_Area" localSheetId="45">'必要性202602(1)'!$A$1:$P$55</definedName>
    <definedName name="_xlnm.Print_Area" localSheetId="46">'必要性202602(2)'!$A$1:$O$55</definedName>
    <definedName name="_xlnm.Print_Area" localSheetId="47">'必要性202602(3)'!$A$1:$O$55</definedName>
    <definedName name="_xlnm.Print_Area" localSheetId="51">'必要性202603(1)'!$A$1:$P$55</definedName>
    <definedName name="_xlnm.Print_Area" localSheetId="52">'必要性202603(2)'!$A$1:$O$55</definedName>
    <definedName name="_xlnm.Print_Area" localSheetId="53">'必要性202603(3)'!$A$1:$O$55</definedName>
    <definedName name="_xlnm.Print_Area" localSheetId="54">'必要性202603(4)'!$A$1:$O$55</definedName>
    <definedName name="_xlnm.Print_Area" localSheetId="55">'必要性202603(5)'!$A$1:$O$55</definedName>
    <definedName name="_xlnm.Print_Area" localSheetId="162">'抑制、調整状況 202311(1)'!$A$1:$Y$57</definedName>
    <definedName name="_xlnm.Print_Area" localSheetId="163">'抑制、調整状況 202311(2)'!$A$1:$Y$57</definedName>
    <definedName name="_xlnm.Print_Area" localSheetId="38">'抑制、調整状況 202512(1)'!$A$1:$Y$57</definedName>
    <definedName name="_xlnm.Print_Area" localSheetId="49">'抑制、調整状況 202602(2)'!$A$1:$Y$57</definedName>
    <definedName name="_xlnm.Print_Area" localSheetId="125">'抑制、調整状況202304(1)'!$A$1:$Y$57</definedName>
    <definedName name="_xlnm.Print_Area" localSheetId="126">'抑制、調整状況202304(2)'!$A$1:$Y$57</definedName>
    <definedName name="_xlnm.Print_Area" localSheetId="127">'抑制、調整状況202304(3)'!$A$1:$Y$57</definedName>
    <definedName name="_xlnm.Print_Area" localSheetId="128">'抑制、調整状況202304(4)'!$A$1:$Y$57</definedName>
    <definedName name="_xlnm.Print_Area" localSheetId="134">'抑制、調整状況202305(1)'!$A$1:$Y$57</definedName>
    <definedName name="_xlnm.Print_Area" localSheetId="135">'抑制、調整状況202305(2)'!$A$1:$Y$57</definedName>
    <definedName name="_xlnm.Print_Area" localSheetId="136">'抑制、調整状況202305(3)'!$A$1:$Y$57</definedName>
    <definedName name="_xlnm.Print_Area" localSheetId="137">'抑制、調整状況202305(4)'!$A$1:$Y$57</definedName>
    <definedName name="_xlnm.Print_Area" localSheetId="138">'抑制、調整状況202305(5)'!$A$1:$Y$57</definedName>
    <definedName name="_xlnm.Print_Area" localSheetId="141">'抑制、調整状況202306(1)'!$A$1:$Y$57</definedName>
    <definedName name="_xlnm.Print_Area" localSheetId="142">'抑制、調整状況202306(2)'!$A$1:$Y$57</definedName>
    <definedName name="_xlnm.Print_Area" localSheetId="144">'抑制、調整状況202308'!$A$1:$Y$57</definedName>
    <definedName name="_xlnm.Print_Area" localSheetId="147">'抑制、調整状況202309(1)'!$A$1:$Y$57</definedName>
    <definedName name="_xlnm.Print_Area" localSheetId="148">'抑制、調整状況202309(2)'!$A$1:$Y$57</definedName>
    <definedName name="_xlnm.Print_Area" localSheetId="154">'抑制、調整状況202310(1)'!$A$1:$Y$57</definedName>
    <definedName name="_xlnm.Print_Area" localSheetId="155">'抑制、調整状況202310(2)'!$A$1:$Y$57</definedName>
    <definedName name="_xlnm.Print_Area" localSheetId="156">'抑制、調整状況202310(3)'!$A$1:$Y$57</definedName>
    <definedName name="_xlnm.Print_Area" localSheetId="157">'抑制、調整状況202310(4)'!$A$1:$Y$57</definedName>
    <definedName name="_xlnm.Print_Area" localSheetId="158">'抑制、調整状況202310(5)'!$A$1:$Y$57</definedName>
    <definedName name="_xlnm.Print_Area" localSheetId="164">'抑制、調整状況202311(3)'!$A$1:$Y$57</definedName>
    <definedName name="_xlnm.Print_Area" localSheetId="166">'抑制、調整状況202312(1)'!$A$1:$Y$57</definedName>
    <definedName name="_xlnm.Print_Area" localSheetId="168">'抑制、調整状況202401(1)'!$A$1:$Y$57</definedName>
    <definedName name="_xlnm.Print_Area" localSheetId="171">'抑制、調整状況202402(1)'!$A$1:$Y$57</definedName>
    <definedName name="_xlnm.Print_Area" localSheetId="172">'抑制、調整状況202402(2)'!$A$1:$Y$57</definedName>
    <definedName name="_xlnm.Print_Area" localSheetId="178">'抑制、調整状況202403(1)'!$A$1:$Y$57</definedName>
    <definedName name="_xlnm.Print_Area" localSheetId="179">'抑制、調整状況202403(2)'!$A$1:$Y$57</definedName>
    <definedName name="_xlnm.Print_Area" localSheetId="180">'抑制、調整状況202403(3)'!$A$1:$Y$57</definedName>
    <definedName name="_xlnm.Print_Area" localSheetId="181">'抑制、調整状況202403(4)'!$A$1:$Y$57</definedName>
    <definedName name="_xlnm.Print_Area" localSheetId="182">'抑制、調整状況202403(5)'!$A$1:$Y$57</definedName>
    <definedName name="_xlnm.Print_Area" localSheetId="65">'抑制、調整状況202404(1)'!$A$1:$Y$57</definedName>
    <definedName name="_xlnm.Print_Area" localSheetId="66">'抑制、調整状況202404(2)'!$A$1:$Y$57</definedName>
    <definedName name="_xlnm.Print_Area" localSheetId="67">'抑制、調整状況202404(3)'!$A$1:$Y$57</definedName>
    <definedName name="_xlnm.Print_Area" localSheetId="73">'抑制、調整状況202405(1)'!$A$1:$Y$57</definedName>
    <definedName name="_xlnm.Print_Area" localSheetId="74">'抑制、調整状況202405(2)'!$A$1:$Y$57</definedName>
    <definedName name="_xlnm.Print_Area" localSheetId="75">'抑制、調整状況202405(3)'!$A$1:$Y$57</definedName>
    <definedName name="_xlnm.Print_Area" localSheetId="76">'抑制、調整状況202405(4)'!$A$1:$Y$57</definedName>
    <definedName name="_xlnm.Print_Area" localSheetId="77">'抑制、調整状況202405(5)'!$A$1:$Y$57</definedName>
    <definedName name="_xlnm.Print_Area" localSheetId="81">'抑制、調整状況202406(1)'!$A$1:$Y$57</definedName>
    <definedName name="_xlnm.Print_Area" localSheetId="82">'抑制、調整状況202406(2)'!$A$1:$Y$57</definedName>
    <definedName name="_xlnm.Print_Area" localSheetId="83">'抑制、調整状況202406(3)'!$A$1:$Y$57</definedName>
    <definedName name="_xlnm.Print_Area" localSheetId="86">'抑制、調整状況202409(1)'!$A$1:$Y$57</definedName>
    <definedName name="_xlnm.Print_Area" localSheetId="90">'抑制、調整状況202410(1)'!$A$1:$Y$57</definedName>
    <definedName name="_xlnm.Print_Area" localSheetId="91">'抑制、調整状況202410(2)'!$A$1:$Y$57</definedName>
    <definedName name="_xlnm.Print_Area" localSheetId="95">'抑制、調整状況202411(1)'!$A$1:$Y$57</definedName>
    <definedName name="_xlnm.Print_Area" localSheetId="96">'抑制、調整状況202411(2)'!$A$1:$Y$57</definedName>
    <definedName name="_xlnm.Print_Area" localSheetId="97">'抑制、調整状況202411(3)'!$A$1:$Y$57</definedName>
    <definedName name="_xlnm.Print_Area" localSheetId="100">'抑制、調整状況202412(1)'!$A$1:$Y$57</definedName>
    <definedName name="_xlnm.Print_Area" localSheetId="101">'抑制、調整状況202412(2)'!$A$1:$Y$57</definedName>
    <definedName name="_xlnm.Print_Area" localSheetId="104">'抑制、調整状況202501(1)'!$A$1:$Y$57</definedName>
    <definedName name="_xlnm.Print_Area" localSheetId="105">'抑制、調整状況202501(2)'!$A$1:$Y$57</definedName>
    <definedName name="_xlnm.Print_Area" localSheetId="109">'抑制、調整状況202502(1)'!$A$1:$Y$57</definedName>
    <definedName name="_xlnm.Print_Area" localSheetId="110">'抑制、調整状況202502(2)'!$A$1:$Y$57</definedName>
    <definedName name="_xlnm.Print_Area" localSheetId="111">'抑制、調整状況202502(3)'!$A$1:$Y$57</definedName>
    <definedName name="_xlnm.Print_Area" localSheetId="116">'抑制、調整状況202503(1)'!$A$1:$Y$57</definedName>
    <definedName name="_xlnm.Print_Area" localSheetId="117">'抑制、調整状況202503(2)'!$A$1:$Y$57</definedName>
    <definedName name="_xlnm.Print_Area" localSheetId="118">'抑制、調整状況202503(3)'!$A$1:$Y$57</definedName>
    <definedName name="_xlnm.Print_Area" localSheetId="119">'抑制、調整状況202503(4)'!$A$1:$X$57</definedName>
    <definedName name="_xlnm.Print_Area" localSheetId="7">'抑制、調整状況202504 (2)'!$A$1:$Y$57</definedName>
    <definedName name="_xlnm.Print_Area" localSheetId="8">'抑制、調整状況202504 (3)'!$A$1:$Y$57</definedName>
    <definedName name="_xlnm.Print_Area" localSheetId="9">'抑制、調整状況202504 (4)'!$A$1:$Y$57</definedName>
    <definedName name="_xlnm.Print_Area" localSheetId="6">'抑制、調整状況202504(1)'!$A$1:$Y$57</definedName>
    <definedName name="_xlnm.Print_Area" localSheetId="10">'抑制、調整状況202504（5）'!$A$1:$Y$57</definedName>
    <definedName name="_xlnm.Print_Area" localSheetId="15">'抑制、調整状況202505 (1)'!$A$1:$Y$57</definedName>
    <definedName name="_xlnm.Print_Area" localSheetId="16">'抑制、調整状況202505 (2)'!$A$1:$Y$57</definedName>
    <definedName name="_xlnm.Print_Area" localSheetId="17">'抑制、調整状況202505 (3)'!$A$1:$Y$57</definedName>
    <definedName name="_xlnm.Print_Area" localSheetId="18">'抑制、調整状況202505 (4)'!$A$1:$Y$57</definedName>
    <definedName name="_xlnm.Print_Area" localSheetId="21">'抑制、調整状況202506 (1)'!$A$1:$Y$57</definedName>
    <definedName name="_xlnm.Print_Area" localSheetId="22">'抑制、調整状況202506 (2)'!$A$1:$Y$57</definedName>
    <definedName name="_xlnm.Print_Area" localSheetId="24">'抑制、調整状況202507(1)'!$A$1:$Y$57</definedName>
    <definedName name="_xlnm.Print_Area" localSheetId="26">'抑制、調整状況202509(1)'!$A$1:$Y$57</definedName>
    <definedName name="_xlnm.Print_Area" localSheetId="28">'抑制、調整状況202510 (1)'!$A$1:$Y$57</definedName>
    <definedName name="_xlnm.Print_Area" localSheetId="33">'抑制、調整状況202511(1)'!$A$1:$Y$57</definedName>
    <definedName name="_xlnm.Print_Area" localSheetId="34">'抑制、調整状況202511(2)'!$A$1:$Y$57</definedName>
    <definedName name="_xlnm.Print_Area" localSheetId="35">'抑制、調整状況202511(3)'!$A$1:$Y$57</definedName>
    <definedName name="_xlnm.Print_Area" localSheetId="36">'抑制、調整状況202511(4)'!$A$1:$Y$57</definedName>
    <definedName name="_xlnm.Print_Area" localSheetId="42">'抑制、調整状況202601(1)'!$A$1:$Y$57</definedName>
    <definedName name="_xlnm.Print_Area" localSheetId="43">'抑制、調整状況202601(2)'!$A$1:$Y$57</definedName>
    <definedName name="_xlnm.Print_Area" localSheetId="44">'抑制、調整状況202601(3)'!$A$1:$Y$57</definedName>
    <definedName name="_xlnm.Print_Area" localSheetId="48">'抑制、調整状況202602(1)'!$A$1:$Y$57</definedName>
    <definedName name="_xlnm.Print_Area" localSheetId="50">'抑制、調整状況202602(3)'!$A$1:$U$57</definedName>
    <definedName name="_xlnm.Print_Area" localSheetId="56">'抑制、調整状況202603(1)'!$A$1:$Y$57</definedName>
    <definedName name="_xlnm.Print_Area" localSheetId="57">'抑制、調整状況202603(2)'!$A$1:$Y$57</definedName>
    <definedName name="_xlnm.Print_Area" localSheetId="58">'抑制、調整状況202603(3)'!$A$1:$Y$57</definedName>
    <definedName name="_xlnm.Print_Area" localSheetId="59">'抑制、調整状況202603(4)'!$A$1:$Y$57</definedName>
    <definedName name="_xlnm.Print_Area" localSheetId="60">'抑制、調整状況202603(5)'!$A$1:$U$57</definedName>
    <definedName name="_xlnm.Print_Area" localSheetId="87">'抑制、調整状況20409(2)'!$A$1:$Y$57</definedName>
    <definedName name="Ｗ＿年月" localSheetId="143">#REF!</definedName>
    <definedName name="Ｗ＿年月" localSheetId="165">#REF!</definedName>
    <definedName name="Ｗ＿年月" localSheetId="167">#REF!</definedName>
    <definedName name="Ｗ＿年月" localSheetId="144">#REF!</definedName>
    <definedName name="Ｗ＿年月" localSheetId="166">#REF!</definedName>
    <definedName name="Ｗ＿年月" localSheetId="168">#REF!</definedName>
    <definedName name="Ｗ＿年月">#REF!</definedName>
    <definedName name="ﾊﾞﾗﾝｽ1" localSheetId="143">#REF!</definedName>
    <definedName name="ﾊﾞﾗﾝｽ1" localSheetId="165">#REF!</definedName>
    <definedName name="ﾊﾞﾗﾝｽ1" localSheetId="167">#REF!</definedName>
    <definedName name="ﾊﾞﾗﾝｽ1" localSheetId="144">#REF!</definedName>
    <definedName name="ﾊﾞﾗﾝｽ1" localSheetId="166">#REF!</definedName>
    <definedName name="ﾊﾞﾗﾝｽ1" localSheetId="168">#REF!</definedName>
    <definedName name="ﾊﾞﾗﾝｽ1">#REF!</definedName>
    <definedName name="ﾊﾞﾗﾝｽ2" localSheetId="143">#REF!</definedName>
    <definedName name="ﾊﾞﾗﾝｽ2" localSheetId="165">#REF!</definedName>
    <definedName name="ﾊﾞﾗﾝｽ2" localSheetId="167">#REF!</definedName>
    <definedName name="ﾊﾞﾗﾝｽ2" localSheetId="144">#REF!</definedName>
    <definedName name="ﾊﾞﾗﾝｽ2" localSheetId="166">#REF!</definedName>
    <definedName name="ﾊﾞﾗﾝｽ2" localSheetId="168">#REF!</definedName>
    <definedName name="ﾊﾞﾗﾝｽ2">#REF!</definedName>
    <definedName name="ﾊﾞﾗﾝｽ3">#REF!</definedName>
    <definedName name="ﾊﾞﾗﾝｽ4">#REF!</definedName>
    <definedName name="ﾊﾞﾗﾝｽ5">#REF!</definedName>
    <definedName name="ﾊﾞﾗﾝｽ6">#REF!</definedName>
    <definedName name="ﾊﾞﾗﾝｽ7">#REF!</definedName>
    <definedName name="ﾊﾞﾗﾝｽ8">#REF!</definedName>
    <definedName name="ﾊﾞﾗﾝｽ9">#REF!</definedName>
    <definedName name="ユニット名">#REF!</definedName>
    <definedName name="為替">#REF!</definedName>
    <definedName name="軽油">#REF!</definedName>
    <definedName name="原油ＦＯＢ">#REF!</definedName>
    <definedName name="差異欄" localSheetId="143">[2]差異算出!$H$7:$H$31,[2]差異算出!#REF!</definedName>
    <definedName name="差異欄" localSheetId="165">[2]差異算出!$H$7:$H$31,[2]差異算出!#REF!</definedName>
    <definedName name="差異欄" localSheetId="167">[2]差異算出!$H$7:$H$31,[2]差異算出!#REF!</definedName>
    <definedName name="差異欄" localSheetId="166">[2]差異算出!$H$7:$H$31,[2]差異算出!#REF!</definedName>
    <definedName name="差異欄">[2]差異算出!$H$7:$H$31,[2]差異算出!#REF!</definedName>
    <definedName name="最小電力想定" localSheetId="143">#REF!</definedName>
    <definedName name="最小電力想定" localSheetId="165">#REF!</definedName>
    <definedName name="最小電力想定" localSheetId="167">#REF!</definedName>
    <definedName name="最小電力想定" localSheetId="144">#REF!</definedName>
    <definedName name="最小電力想定" localSheetId="166">#REF!</definedName>
    <definedName name="最小電力想定" localSheetId="168">#REF!</definedName>
    <definedName name="最小電力想定">#REF!</definedName>
    <definedName name="最大電力想定" localSheetId="143">#REF!</definedName>
    <definedName name="最大電力想定" localSheetId="165">#REF!</definedName>
    <definedName name="最大電力想定" localSheetId="167">#REF!</definedName>
    <definedName name="最大電力想定" localSheetId="144">#REF!</definedName>
    <definedName name="最大電力想定" localSheetId="166">#REF!</definedName>
    <definedName name="最大電力想定" localSheetId="168">#REF!</definedName>
    <definedName name="最大電力想定">#REF!</definedName>
    <definedName name="事業税率" localSheetId="143">#REF!</definedName>
    <definedName name="事業税率" localSheetId="165">#REF!</definedName>
    <definedName name="事業税率" localSheetId="167">#REF!</definedName>
    <definedName name="事業税率">#REF!</definedName>
    <definedName name="需要想定">#REF!</definedName>
    <definedName name="週末３０Ｈ">#REF!</definedName>
    <definedName name="週末６０Ｈ">#REF!</definedName>
    <definedName name="深夜">#REF!</definedName>
    <definedName name="先月_月">#REF!</definedName>
    <definedName name="送電端単価">#REF!</definedName>
    <definedName name="増分端単価">#REF!</definedName>
    <definedName name="電力量想定">#REF!</definedName>
    <definedName name="年月">#REF!</definedName>
    <definedName name="燃料他単価ＭＡＸ">#REF!</definedName>
    <definedName name="冷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74" l="1"/>
  <c r="H15" i="174"/>
  <c r="J15" i="174"/>
  <c r="L15" i="174"/>
  <c r="F21" i="174"/>
  <c r="H21" i="174"/>
  <c r="J21" i="174"/>
  <c r="L21" i="174"/>
  <c r="F23" i="174"/>
  <c r="H23" i="174"/>
  <c r="J23" i="174"/>
  <c r="L23" i="174"/>
  <c r="F24" i="174"/>
  <c r="H24" i="174"/>
  <c r="J24" i="174"/>
  <c r="L24" i="174"/>
  <c r="F25" i="174"/>
  <c r="H25" i="174"/>
  <c r="J25" i="174"/>
  <c r="L25" i="174"/>
  <c r="F15" i="177"/>
  <c r="H15" i="177"/>
  <c r="F21" i="177"/>
  <c r="F24" i="177" s="1"/>
  <c r="H21" i="177"/>
  <c r="H24" i="177" s="1"/>
  <c r="F23" i="177"/>
  <c r="F25" i="177" s="1"/>
  <c r="H23" i="177"/>
  <c r="F15" i="176"/>
  <c r="F23" i="176" s="1"/>
  <c r="F25" i="176" s="1"/>
  <c r="H15" i="176"/>
  <c r="J15" i="176"/>
  <c r="L15" i="176"/>
  <c r="L23" i="176" s="1"/>
  <c r="L19" i="176"/>
  <c r="F21" i="176"/>
  <c r="H21" i="176"/>
  <c r="J21" i="176"/>
  <c r="H23" i="176"/>
  <c r="J23" i="176"/>
  <c r="J25" i="176" s="1"/>
  <c r="F24" i="176"/>
  <c r="H24" i="176"/>
  <c r="H25" i="176" s="1"/>
  <c r="J24" i="176"/>
  <c r="F15" i="175"/>
  <c r="H15" i="175"/>
  <c r="J15" i="175"/>
  <c r="J23" i="175" s="1"/>
  <c r="F21" i="175"/>
  <c r="F24" i="175" s="1"/>
  <c r="H21" i="175"/>
  <c r="H24" i="175" s="1"/>
  <c r="H25" i="175" s="1"/>
  <c r="J21" i="175"/>
  <c r="J24" i="175" s="1"/>
  <c r="F23" i="175"/>
  <c r="F25" i="175" s="1"/>
  <c r="H23" i="175"/>
  <c r="T52" i="205"/>
  <c r="P52" i="205"/>
  <c r="L52" i="205"/>
  <c r="H52" i="205"/>
  <c r="T42" i="205"/>
  <c r="T38" i="205"/>
  <c r="P38" i="205"/>
  <c r="T37" i="205"/>
  <c r="P37" i="205"/>
  <c r="L37" i="205"/>
  <c r="H37" i="205"/>
  <c r="H38" i="205" s="1"/>
  <c r="P25" i="205"/>
  <c r="P14" i="205"/>
  <c r="L14" i="205"/>
  <c r="H14" i="205"/>
  <c r="P13" i="205"/>
  <c r="L13" i="205"/>
  <c r="H13" i="205"/>
  <c r="S9" i="205"/>
  <c r="R9" i="205"/>
  <c r="P9" i="205"/>
  <c r="O9" i="205"/>
  <c r="N9" i="205"/>
  <c r="L9" i="205"/>
  <c r="K9" i="205"/>
  <c r="J9" i="205"/>
  <c r="H9" i="205"/>
  <c r="G9" i="205"/>
  <c r="F9" i="205"/>
  <c r="T5" i="205"/>
  <c r="H5" i="205"/>
  <c r="X52" i="204"/>
  <c r="T52" i="204"/>
  <c r="P52" i="204"/>
  <c r="L52" i="204"/>
  <c r="H52" i="204"/>
  <c r="X47" i="204"/>
  <c r="T42" i="204"/>
  <c r="X38" i="204"/>
  <c r="P38" i="204"/>
  <c r="L38" i="204"/>
  <c r="X37" i="204"/>
  <c r="T37" i="204"/>
  <c r="P37" i="204"/>
  <c r="L37" i="204"/>
  <c r="H37" i="204"/>
  <c r="H38" i="204" s="1"/>
  <c r="X14" i="204"/>
  <c r="T14" i="204"/>
  <c r="P14" i="204"/>
  <c r="L14" i="204"/>
  <c r="H14" i="204"/>
  <c r="X13" i="204"/>
  <c r="T13" i="204"/>
  <c r="P13" i="204"/>
  <c r="L13" i="204"/>
  <c r="H13" i="204"/>
  <c r="X9" i="204"/>
  <c r="W9" i="204"/>
  <c r="V9" i="204"/>
  <c r="T9" i="204"/>
  <c r="S9" i="204"/>
  <c r="R9" i="204"/>
  <c r="P9" i="204"/>
  <c r="O9" i="204"/>
  <c r="N9" i="204"/>
  <c r="L9" i="204"/>
  <c r="K9" i="204"/>
  <c r="J9" i="204"/>
  <c r="H9" i="204"/>
  <c r="G9" i="204"/>
  <c r="F9" i="204"/>
  <c r="X52" i="203"/>
  <c r="T52" i="203"/>
  <c r="P52" i="203"/>
  <c r="L52" i="203"/>
  <c r="H52" i="203"/>
  <c r="X38" i="203"/>
  <c r="T38" i="203"/>
  <c r="X37" i="203"/>
  <c r="T37" i="203"/>
  <c r="P37" i="203"/>
  <c r="P38" i="203" s="1"/>
  <c r="L37" i="203"/>
  <c r="L38" i="203" s="1"/>
  <c r="H37" i="203"/>
  <c r="X14" i="203"/>
  <c r="T14" i="203"/>
  <c r="P14" i="203"/>
  <c r="L14" i="203"/>
  <c r="H14" i="203"/>
  <c r="X13" i="203"/>
  <c r="T13" i="203"/>
  <c r="P13" i="203"/>
  <c r="L13" i="203"/>
  <c r="H13" i="203"/>
  <c r="X9" i="203"/>
  <c r="W9" i="203"/>
  <c r="V9" i="203"/>
  <c r="T9" i="203"/>
  <c r="S9" i="203"/>
  <c r="R9" i="203"/>
  <c r="P9" i="203"/>
  <c r="O9" i="203"/>
  <c r="N9" i="203"/>
  <c r="L9" i="203"/>
  <c r="K9" i="203"/>
  <c r="J9" i="203"/>
  <c r="H9" i="203"/>
  <c r="G9" i="203"/>
  <c r="F9" i="203"/>
  <c r="X52" i="202"/>
  <c r="T52" i="202"/>
  <c r="H52" i="202"/>
  <c r="L47" i="202"/>
  <c r="X38" i="202"/>
  <c r="X37" i="202"/>
  <c r="T37" i="202"/>
  <c r="P37" i="202"/>
  <c r="P38" i="202" s="1"/>
  <c r="L37" i="202"/>
  <c r="H37" i="202"/>
  <c r="H38" i="202" s="1"/>
  <c r="X14" i="202"/>
  <c r="T14" i="202"/>
  <c r="P14" i="202"/>
  <c r="X13" i="202"/>
  <c r="T13" i="202"/>
  <c r="P13" i="202"/>
  <c r="X9" i="202"/>
  <c r="W9" i="202"/>
  <c r="V9" i="202"/>
  <c r="T9" i="202"/>
  <c r="S9" i="202"/>
  <c r="R9" i="202"/>
  <c r="P9" i="202"/>
  <c r="O9" i="202"/>
  <c r="N9" i="202"/>
  <c r="L9" i="202"/>
  <c r="K9" i="202"/>
  <c r="J9" i="202"/>
  <c r="H9" i="202"/>
  <c r="G9" i="202"/>
  <c r="F9" i="202"/>
  <c r="P52" i="201"/>
  <c r="L52" i="201"/>
  <c r="H52" i="201"/>
  <c r="P47" i="201"/>
  <c r="T38" i="201"/>
  <c r="L38" i="201"/>
  <c r="X37" i="201"/>
  <c r="X38" i="201" s="1"/>
  <c r="T37" i="201"/>
  <c r="L37" i="201"/>
  <c r="X9" i="201"/>
  <c r="W9" i="201"/>
  <c r="V9" i="201"/>
  <c r="T9" i="201"/>
  <c r="S9" i="201"/>
  <c r="R9" i="201"/>
  <c r="P9" i="201"/>
  <c r="O9" i="201"/>
  <c r="N9" i="201"/>
  <c r="L9" i="201"/>
  <c r="K9" i="201"/>
  <c r="J9" i="201"/>
  <c r="H9" i="201"/>
  <c r="G9" i="201"/>
  <c r="F9" i="201"/>
  <c r="J25" i="175" l="1"/>
  <c r="H25" i="177"/>
  <c r="L21" i="176"/>
  <c r="L24" i="176" s="1"/>
  <c r="L25" i="176" s="1"/>
  <c r="T38" i="202"/>
  <c r="L38" i="205"/>
  <c r="T38" i="204"/>
  <c r="T9" i="205"/>
  <c r="L38" i="202"/>
  <c r="H38" i="203"/>
  <c r="H5" i="195" l="1"/>
  <c r="L5" i="195"/>
  <c r="P5" i="195"/>
  <c r="T5" i="195"/>
  <c r="H6" i="195"/>
  <c r="L6" i="195"/>
  <c r="P6" i="195"/>
  <c r="T6" i="195"/>
  <c r="H7" i="195"/>
  <c r="L7" i="195"/>
  <c r="P7" i="195"/>
  <c r="T7" i="195"/>
  <c r="H8" i="195"/>
  <c r="L8" i="195"/>
  <c r="P8" i="195"/>
  <c r="T8" i="195"/>
  <c r="F9" i="195"/>
  <c r="G9" i="195"/>
  <c r="H9" i="195" s="1"/>
  <c r="J9" i="195"/>
  <c r="K9" i="195"/>
  <c r="L9" i="195"/>
  <c r="N9" i="195"/>
  <c r="O9" i="195"/>
  <c r="P9" i="195" s="1"/>
  <c r="R9" i="195"/>
  <c r="T9" i="195" s="1"/>
  <c r="S9" i="195"/>
  <c r="L37" i="195"/>
  <c r="P37" i="195"/>
  <c r="T37" i="195"/>
  <c r="K38" i="195"/>
  <c r="L38" i="195" s="1"/>
  <c r="O38" i="195"/>
  <c r="S38" i="195"/>
  <c r="T38" i="195"/>
  <c r="P42" i="195"/>
  <c r="L47" i="195"/>
  <c r="H5" i="194"/>
  <c r="L5" i="194"/>
  <c r="P5" i="194"/>
  <c r="T5" i="194"/>
  <c r="X5" i="194"/>
  <c r="H6" i="194"/>
  <c r="L6" i="194"/>
  <c r="P6" i="194"/>
  <c r="T6" i="194"/>
  <c r="X6" i="194"/>
  <c r="H7" i="194"/>
  <c r="L7" i="194"/>
  <c r="P7" i="194"/>
  <c r="T7" i="194"/>
  <c r="X7" i="194"/>
  <c r="H8" i="194"/>
  <c r="L8" i="194"/>
  <c r="P8" i="194"/>
  <c r="T8" i="194"/>
  <c r="X8" i="194"/>
  <c r="F9" i="194"/>
  <c r="G9" i="194"/>
  <c r="H9" i="194" s="1"/>
  <c r="J9" i="194"/>
  <c r="K9" i="194"/>
  <c r="L9" i="194"/>
  <c r="N9" i="194"/>
  <c r="O9" i="194"/>
  <c r="P9" i="194" s="1"/>
  <c r="R9" i="194"/>
  <c r="S9" i="194"/>
  <c r="T9" i="194"/>
  <c r="V9" i="194"/>
  <c r="W9" i="194"/>
  <c r="X9" i="194" s="1"/>
  <c r="H16" i="194"/>
  <c r="H21" i="194" s="1"/>
  <c r="G21" i="194"/>
  <c r="H37" i="194"/>
  <c r="L37" i="194"/>
  <c r="P37" i="194"/>
  <c r="T37" i="194"/>
  <c r="X37" i="194"/>
  <c r="G38" i="194"/>
  <c r="H38" i="194" s="1"/>
  <c r="K38" i="194"/>
  <c r="L38" i="194" s="1"/>
  <c r="W38" i="194"/>
  <c r="X38" i="194" s="1"/>
  <c r="P47" i="194"/>
  <c r="X47" i="194"/>
  <c r="H5" i="193"/>
  <c r="L5" i="193"/>
  <c r="P5" i="193"/>
  <c r="T5" i="193"/>
  <c r="X5" i="193"/>
  <c r="H6" i="193"/>
  <c r="L6" i="193"/>
  <c r="P6" i="193"/>
  <c r="T6" i="193"/>
  <c r="X6" i="193"/>
  <c r="H7" i="193"/>
  <c r="L7" i="193"/>
  <c r="P7" i="193"/>
  <c r="T7" i="193"/>
  <c r="X7" i="193"/>
  <c r="H8" i="193"/>
  <c r="L8" i="193"/>
  <c r="P8" i="193"/>
  <c r="T8" i="193"/>
  <c r="X8" i="193"/>
  <c r="F9" i="193"/>
  <c r="G9" i="193"/>
  <c r="H9" i="193" s="1"/>
  <c r="J9" i="193"/>
  <c r="K9" i="193"/>
  <c r="L9" i="193" s="1"/>
  <c r="N9" i="193"/>
  <c r="O9" i="193"/>
  <c r="P9" i="193"/>
  <c r="R9" i="193"/>
  <c r="S9" i="193"/>
  <c r="T9" i="193" s="1"/>
  <c r="V9" i="193"/>
  <c r="W9" i="193"/>
  <c r="X9" i="193"/>
  <c r="K37" i="193"/>
  <c r="L37" i="193"/>
  <c r="T37" i="193"/>
  <c r="X37" i="193"/>
  <c r="K38" i="193"/>
  <c r="L38" i="193"/>
  <c r="S38" i="193"/>
  <c r="T38" i="193"/>
  <c r="W38" i="193"/>
  <c r="X38" i="193"/>
  <c r="X42" i="193"/>
  <c r="L47" i="193"/>
  <c r="P47" i="189" l="1"/>
  <c r="L47" i="189"/>
  <c r="H47" i="189"/>
  <c r="P42" i="189"/>
  <c r="L42" i="189"/>
  <c r="H42" i="189"/>
  <c r="P38" i="189"/>
  <c r="O38" i="189"/>
  <c r="L38" i="189"/>
  <c r="K38" i="189"/>
  <c r="P31" i="189"/>
  <c r="O9" i="189"/>
  <c r="N9" i="189"/>
  <c r="K9" i="189"/>
  <c r="J9" i="189"/>
  <c r="G9" i="189"/>
  <c r="F9" i="189"/>
  <c r="P8" i="189"/>
  <c r="P6" i="189"/>
  <c r="P5" i="189"/>
  <c r="X47" i="188"/>
  <c r="H47" i="188"/>
  <c r="X42" i="188"/>
  <c r="T42" i="188"/>
  <c r="P42" i="188"/>
  <c r="L42" i="188"/>
  <c r="H42" i="188"/>
  <c r="W9" i="188"/>
  <c r="V9" i="188"/>
  <c r="S9" i="188"/>
  <c r="R9" i="188"/>
  <c r="O9" i="188"/>
  <c r="N9" i="188"/>
  <c r="K9" i="188"/>
  <c r="J9" i="188"/>
  <c r="G9" i="188"/>
  <c r="F9" i="188"/>
  <c r="X42" i="187"/>
  <c r="T42" i="187"/>
  <c r="P42" i="187"/>
  <c r="L42" i="187"/>
  <c r="H42" i="187"/>
  <c r="W9" i="187"/>
  <c r="V9" i="187"/>
  <c r="S9" i="187"/>
  <c r="R9" i="187"/>
  <c r="O9" i="187"/>
  <c r="N9" i="187"/>
  <c r="K9" i="187"/>
  <c r="J9" i="187"/>
  <c r="G9" i="187"/>
  <c r="F9" i="187"/>
  <c r="F19" i="184" l="1"/>
  <c r="L38" i="181" l="1"/>
  <c r="K38" i="181"/>
  <c r="J38" i="181"/>
  <c r="H38" i="181"/>
  <c r="G38" i="181"/>
  <c r="F38" i="181"/>
  <c r="L33" i="181"/>
  <c r="K33" i="181"/>
  <c r="J33" i="181"/>
  <c r="H33" i="181"/>
  <c r="G33" i="181"/>
  <c r="F33" i="181"/>
  <c r="K31" i="181"/>
  <c r="J31" i="181"/>
  <c r="G31" i="181"/>
  <c r="F31" i="181"/>
  <c r="X38" i="180"/>
  <c r="W38" i="180"/>
  <c r="V38" i="180"/>
  <c r="T38" i="180"/>
  <c r="S38" i="180"/>
  <c r="R38" i="180"/>
  <c r="P38" i="180"/>
  <c r="L38" i="180"/>
  <c r="K38" i="180"/>
  <c r="H38" i="180"/>
  <c r="F38" i="180"/>
  <c r="W33" i="180"/>
  <c r="X33" i="180" s="1"/>
  <c r="V33" i="180"/>
  <c r="T33" i="180"/>
  <c r="S33" i="180"/>
  <c r="R33" i="180"/>
  <c r="O33" i="180"/>
  <c r="O38" i="180" s="1"/>
  <c r="N33" i="180"/>
  <c r="N38" i="180" s="1"/>
  <c r="K33" i="180"/>
  <c r="J33" i="180"/>
  <c r="J38" i="180" s="1"/>
  <c r="G33" i="180"/>
  <c r="G38" i="180" s="1"/>
  <c r="F33" i="180"/>
  <c r="X31" i="180"/>
  <c r="W31" i="180"/>
  <c r="V31" i="180"/>
  <c r="X38" i="179"/>
  <c r="V38" i="179"/>
  <c r="T38" i="179"/>
  <c r="O38" i="179"/>
  <c r="N38" i="179"/>
  <c r="L38" i="179"/>
  <c r="J38" i="179"/>
  <c r="H38" i="179"/>
  <c r="W37" i="179"/>
  <c r="P37" i="179"/>
  <c r="P38" i="179" s="1"/>
  <c r="W33" i="179"/>
  <c r="W38" i="179" s="1"/>
  <c r="V33" i="179"/>
  <c r="S33" i="179"/>
  <c r="S38" i="179" s="1"/>
  <c r="R33" i="179"/>
  <c r="R38" i="179" s="1"/>
  <c r="O33" i="179"/>
  <c r="N33" i="179"/>
  <c r="K33" i="179"/>
  <c r="K38" i="179" s="1"/>
  <c r="J33" i="179"/>
  <c r="G33" i="179"/>
  <c r="G38" i="179" s="1"/>
  <c r="F33" i="179"/>
  <c r="F38" i="179" s="1"/>
  <c r="W38" i="178"/>
  <c r="S38" i="178"/>
  <c r="O38" i="178"/>
  <c r="N38" i="178"/>
  <c r="P37" i="178"/>
  <c r="W33" i="178"/>
  <c r="X33" i="178" s="1"/>
  <c r="X38" i="178" s="1"/>
  <c r="V33" i="178"/>
  <c r="V38" i="178" s="1"/>
  <c r="S33" i="178"/>
  <c r="T33" i="178" s="1"/>
  <c r="T38" i="178" s="1"/>
  <c r="R33" i="178"/>
  <c r="R38" i="178" s="1"/>
  <c r="O33" i="178"/>
  <c r="P33" i="178" s="1"/>
  <c r="P38" i="178" s="1"/>
  <c r="N33" i="178"/>
  <c r="L33" i="178"/>
  <c r="L38" i="178" s="1"/>
  <c r="K33" i="178"/>
  <c r="K38" i="178" s="1"/>
  <c r="J33" i="178"/>
  <c r="J38" i="178" s="1"/>
  <c r="G33" i="178"/>
  <c r="H33" i="178" s="1"/>
  <c r="H38" i="178" s="1"/>
  <c r="F33" i="178"/>
  <c r="F38" i="178" s="1"/>
  <c r="G38" i="178" l="1"/>
  <c r="N21" i="176" l="1"/>
  <c r="N24" i="176" s="1"/>
  <c r="N15" i="176"/>
  <c r="N23" i="176" s="1"/>
  <c r="N21" i="175"/>
  <c r="N24" i="175" s="1"/>
  <c r="N15" i="175"/>
  <c r="N23" i="175" s="1"/>
  <c r="N25" i="175" s="1"/>
  <c r="N23" i="174"/>
  <c r="N25" i="174" s="1"/>
  <c r="N21" i="174"/>
  <c r="N24" i="174" s="1"/>
  <c r="N15" i="174"/>
  <c r="N25" i="176" l="1"/>
  <c r="W38" i="173" l="1"/>
  <c r="V38" i="173"/>
  <c r="S38" i="173"/>
  <c r="R38" i="173"/>
  <c r="O38" i="173"/>
  <c r="N38" i="173"/>
  <c r="K38" i="173"/>
  <c r="J38" i="173"/>
  <c r="W33" i="173"/>
  <c r="V33" i="173"/>
  <c r="S33" i="173"/>
  <c r="R33" i="173"/>
  <c r="O33" i="173"/>
  <c r="N33" i="173"/>
  <c r="K33" i="173"/>
  <c r="J33" i="173"/>
  <c r="G33" i="173"/>
  <c r="F33" i="173"/>
  <c r="N24" i="172" l="1"/>
  <c r="L24" i="172"/>
  <c r="L25" i="172" s="1"/>
  <c r="F24" i="172"/>
  <c r="N23" i="172"/>
  <c r="N25" i="172" s="1"/>
  <c r="L23" i="172"/>
  <c r="J23" i="172"/>
  <c r="J25" i="172" s="1"/>
  <c r="H23" i="172"/>
  <c r="F23" i="172"/>
  <c r="F25" i="172" s="1"/>
  <c r="N21" i="172"/>
  <c r="L21" i="172"/>
  <c r="J21" i="172"/>
  <c r="J24" i="172" s="1"/>
  <c r="H21" i="172"/>
  <c r="H24" i="172" s="1"/>
  <c r="F21" i="172"/>
  <c r="H25" i="172" l="1"/>
  <c r="H52" i="169" l="1"/>
  <c r="F48" i="169"/>
  <c r="G47" i="169"/>
  <c r="F47" i="169"/>
  <c r="H47" i="169" s="1"/>
  <c r="F43" i="169"/>
  <c r="G42" i="169"/>
  <c r="F42" i="169"/>
  <c r="H42" i="169" s="1"/>
  <c r="K38" i="169"/>
  <c r="F37" i="169"/>
  <c r="H37" i="169" s="1"/>
  <c r="F36" i="169"/>
  <c r="F35" i="169"/>
  <c r="G34" i="169"/>
  <c r="F34" i="169"/>
  <c r="L33" i="169"/>
  <c r="H33" i="169"/>
  <c r="F32" i="169"/>
  <c r="G31" i="169"/>
  <c r="F31" i="169"/>
  <c r="H31" i="169" s="1"/>
  <c r="F30" i="169"/>
  <c r="G29" i="169"/>
  <c r="G38" i="169" s="1"/>
  <c r="F29" i="169"/>
  <c r="H29" i="169" s="1"/>
  <c r="H38" i="169" s="1"/>
  <c r="H25" i="169"/>
  <c r="L21" i="169"/>
  <c r="K21" i="169"/>
  <c r="J21" i="169"/>
  <c r="G21" i="169"/>
  <c r="F21" i="169"/>
  <c r="H20" i="169"/>
  <c r="H19" i="169"/>
  <c r="H18" i="169"/>
  <c r="H17" i="169"/>
  <c r="H16" i="169"/>
  <c r="H15" i="169"/>
  <c r="H14" i="169"/>
  <c r="H13" i="169"/>
  <c r="H21" i="169" s="1"/>
  <c r="K9" i="169"/>
  <c r="J9" i="169"/>
  <c r="H9" i="169"/>
  <c r="G9" i="169"/>
  <c r="F9" i="169"/>
  <c r="H8" i="169"/>
  <c r="H7" i="169"/>
  <c r="H6" i="169"/>
  <c r="H5" i="169"/>
  <c r="F38" i="169" l="1"/>
  <c r="H21" i="168" l="1"/>
  <c r="P52" i="167" l="1"/>
  <c r="L52" i="167"/>
  <c r="H52" i="167"/>
  <c r="P47" i="167"/>
  <c r="L47" i="167"/>
  <c r="H47" i="167"/>
  <c r="P42" i="167"/>
  <c r="L42" i="167"/>
  <c r="H42" i="167"/>
  <c r="O38" i="167"/>
  <c r="N38" i="167"/>
  <c r="K38" i="167"/>
  <c r="J38" i="167"/>
  <c r="G38" i="167"/>
  <c r="F38" i="167"/>
  <c r="P37" i="167"/>
  <c r="L37" i="167"/>
  <c r="H37" i="167"/>
  <c r="P33" i="167"/>
  <c r="L33" i="167"/>
  <c r="H33" i="167"/>
  <c r="P31" i="167"/>
  <c r="L31" i="167"/>
  <c r="H31" i="167"/>
  <c r="P29" i="167"/>
  <c r="P38" i="167" s="1"/>
  <c r="L29" i="167"/>
  <c r="L38" i="167" s="1"/>
  <c r="H29" i="167"/>
  <c r="H38" i="167" s="1"/>
  <c r="P25" i="167"/>
  <c r="L25" i="167"/>
  <c r="H25" i="167"/>
  <c r="O21" i="167"/>
  <c r="N21" i="167"/>
  <c r="K21" i="167"/>
  <c r="J21" i="167"/>
  <c r="G21" i="167"/>
  <c r="F21" i="167"/>
  <c r="P20" i="167"/>
  <c r="L20" i="167"/>
  <c r="H20" i="167"/>
  <c r="P19" i="167"/>
  <c r="L19" i="167"/>
  <c r="H19" i="167"/>
  <c r="P18" i="167"/>
  <c r="L18" i="167"/>
  <c r="H18" i="167"/>
  <c r="P17" i="167"/>
  <c r="L17" i="167"/>
  <c r="H17" i="167"/>
  <c r="P16" i="167"/>
  <c r="L16" i="167"/>
  <c r="H16" i="167"/>
  <c r="P15" i="167"/>
  <c r="L15" i="167"/>
  <c r="H15" i="167"/>
  <c r="P14" i="167"/>
  <c r="L14" i="167"/>
  <c r="H14" i="167"/>
  <c r="P13" i="167"/>
  <c r="P21" i="167" s="1"/>
  <c r="L13" i="167"/>
  <c r="L21" i="167" s="1"/>
  <c r="H13" i="167"/>
  <c r="H21" i="167" s="1"/>
  <c r="O9" i="167"/>
  <c r="N9" i="167"/>
  <c r="K9" i="167"/>
  <c r="J9" i="167"/>
  <c r="G9" i="167"/>
  <c r="F9" i="167"/>
  <c r="P8" i="167"/>
  <c r="L8" i="167"/>
  <c r="H8" i="167"/>
  <c r="P7" i="167"/>
  <c r="L7" i="167"/>
  <c r="H7" i="167"/>
  <c r="P6" i="167"/>
  <c r="L6" i="167"/>
  <c r="H6" i="167"/>
  <c r="P5" i="167"/>
  <c r="P9" i="167" s="1"/>
  <c r="L5" i="167"/>
  <c r="L9" i="167" s="1"/>
  <c r="H5" i="167"/>
  <c r="H9" i="167" s="1"/>
  <c r="X52" i="166"/>
  <c r="T52" i="166"/>
  <c r="P52" i="166"/>
  <c r="L52" i="166"/>
  <c r="H52" i="166"/>
  <c r="X47" i="166"/>
  <c r="T47" i="166"/>
  <c r="P47" i="166"/>
  <c r="L47" i="166"/>
  <c r="H47" i="166"/>
  <c r="X42" i="166"/>
  <c r="T42" i="166"/>
  <c r="P42" i="166"/>
  <c r="L42" i="166"/>
  <c r="H42" i="166"/>
  <c r="W38" i="166"/>
  <c r="V38" i="166"/>
  <c r="S38" i="166"/>
  <c r="R38" i="166"/>
  <c r="O38" i="166"/>
  <c r="N38" i="166"/>
  <c r="K38" i="166"/>
  <c r="J38" i="166"/>
  <c r="G38" i="166"/>
  <c r="F38" i="166"/>
  <c r="X37" i="166"/>
  <c r="T37" i="166"/>
  <c r="P37" i="166"/>
  <c r="L37" i="166"/>
  <c r="H37" i="166"/>
  <c r="X33" i="166"/>
  <c r="T33" i="166"/>
  <c r="P33" i="166"/>
  <c r="L33" i="166"/>
  <c r="H33" i="166"/>
  <c r="X31" i="166"/>
  <c r="T31" i="166"/>
  <c r="P31" i="166"/>
  <c r="L31" i="166"/>
  <c r="H31" i="166"/>
  <c r="X29" i="166"/>
  <c r="X38" i="166" s="1"/>
  <c r="T29" i="166"/>
  <c r="T38" i="166" s="1"/>
  <c r="P29" i="166"/>
  <c r="P38" i="166" s="1"/>
  <c r="L29" i="166"/>
  <c r="L38" i="166" s="1"/>
  <c r="H29" i="166"/>
  <c r="H38" i="166" s="1"/>
  <c r="X25" i="166"/>
  <c r="T25" i="166"/>
  <c r="P25" i="166"/>
  <c r="L25" i="166"/>
  <c r="H25" i="166"/>
  <c r="W21" i="166"/>
  <c r="S21" i="166"/>
  <c r="R21" i="166"/>
  <c r="O21" i="166"/>
  <c r="N21" i="166"/>
  <c r="K21" i="166"/>
  <c r="J21" i="166"/>
  <c r="G21" i="166"/>
  <c r="F21" i="166"/>
  <c r="X20" i="166"/>
  <c r="T20" i="166"/>
  <c r="P20" i="166"/>
  <c r="L20" i="166"/>
  <c r="H20" i="166"/>
  <c r="X19" i="166"/>
  <c r="T19" i="166"/>
  <c r="P19" i="166"/>
  <c r="L19" i="166"/>
  <c r="H19" i="166"/>
  <c r="X18" i="166"/>
  <c r="T18" i="166"/>
  <c r="P18" i="166"/>
  <c r="L18" i="166"/>
  <c r="H18" i="166"/>
  <c r="X17" i="166"/>
  <c r="T17" i="166"/>
  <c r="P17" i="166"/>
  <c r="L17" i="166"/>
  <c r="H17" i="166"/>
  <c r="X16" i="166"/>
  <c r="T16" i="166"/>
  <c r="P16" i="166"/>
  <c r="L16" i="166"/>
  <c r="H16" i="166"/>
  <c r="X15" i="166"/>
  <c r="T15" i="166"/>
  <c r="P15" i="166"/>
  <c r="L15" i="166"/>
  <c r="H15" i="166"/>
  <c r="X14" i="166"/>
  <c r="T14" i="166"/>
  <c r="P14" i="166"/>
  <c r="L14" i="166"/>
  <c r="H14" i="166"/>
  <c r="X13" i="166"/>
  <c r="X21" i="166" s="1"/>
  <c r="T13" i="166"/>
  <c r="T21" i="166" s="1"/>
  <c r="P13" i="166"/>
  <c r="P21" i="166" s="1"/>
  <c r="L13" i="166"/>
  <c r="L21" i="166" s="1"/>
  <c r="H13" i="166"/>
  <c r="H21" i="166" s="1"/>
  <c r="W9" i="166"/>
  <c r="V9" i="166"/>
  <c r="S9" i="166"/>
  <c r="R9" i="166"/>
  <c r="O9" i="166"/>
  <c r="N9" i="166"/>
  <c r="L9" i="166"/>
  <c r="K9" i="166"/>
  <c r="J9" i="166"/>
  <c r="G9" i="166"/>
  <c r="F9" i="166"/>
  <c r="X8" i="166"/>
  <c r="T8" i="166"/>
  <c r="P8" i="166"/>
  <c r="L8" i="166"/>
  <c r="H8" i="166"/>
  <c r="X7" i="166"/>
  <c r="T7" i="166"/>
  <c r="P7" i="166"/>
  <c r="L7" i="166"/>
  <c r="H7" i="166"/>
  <c r="X6" i="166"/>
  <c r="T6" i="166"/>
  <c r="P6" i="166"/>
  <c r="L6" i="166"/>
  <c r="H6" i="166"/>
  <c r="X5" i="166"/>
  <c r="X9" i="166" s="1"/>
  <c r="T5" i="166"/>
  <c r="T9" i="166" s="1"/>
  <c r="P5" i="166"/>
  <c r="P9" i="166" s="1"/>
  <c r="L5" i="166"/>
  <c r="H5" i="166"/>
  <c r="H9" i="166" s="1"/>
  <c r="X52" i="163" l="1"/>
  <c r="T52" i="163"/>
  <c r="P52" i="163"/>
  <c r="L52" i="163"/>
  <c r="X47" i="163"/>
  <c r="T47" i="163"/>
  <c r="P47" i="163"/>
  <c r="L47" i="163"/>
  <c r="H47" i="163"/>
  <c r="X42" i="163"/>
  <c r="T42" i="163"/>
  <c r="P42" i="163"/>
  <c r="L42" i="163"/>
  <c r="W38" i="163"/>
  <c r="V38" i="163"/>
  <c r="S38" i="163"/>
  <c r="R38" i="163"/>
  <c r="O38" i="163"/>
  <c r="N38" i="163"/>
  <c r="L38" i="163"/>
  <c r="K38" i="163"/>
  <c r="J38" i="163"/>
  <c r="X37" i="163"/>
  <c r="T37" i="163"/>
  <c r="P37" i="163"/>
  <c r="L37" i="163"/>
  <c r="X33" i="163"/>
  <c r="T33" i="163"/>
  <c r="P33" i="163"/>
  <c r="L33" i="163"/>
  <c r="H33" i="163"/>
  <c r="X31" i="163"/>
  <c r="T31" i="163"/>
  <c r="P31" i="163"/>
  <c r="L31" i="163"/>
  <c r="H31" i="163"/>
  <c r="X29" i="163"/>
  <c r="X38" i="163" s="1"/>
  <c r="T29" i="163"/>
  <c r="T38" i="163" s="1"/>
  <c r="P29" i="163"/>
  <c r="P38" i="163" s="1"/>
  <c r="L29" i="163"/>
  <c r="H29" i="163"/>
  <c r="X25" i="163"/>
  <c r="T25" i="163"/>
  <c r="P25" i="163"/>
  <c r="L25" i="163"/>
  <c r="H25" i="163"/>
  <c r="W21" i="163"/>
  <c r="V21" i="163"/>
  <c r="S21" i="163"/>
  <c r="R21" i="163"/>
  <c r="O21" i="163"/>
  <c r="N21" i="163"/>
  <c r="K21" i="163"/>
  <c r="J21" i="163"/>
  <c r="X20" i="163"/>
  <c r="T20" i="163"/>
  <c r="P20" i="163"/>
  <c r="P21" i="163" s="1"/>
  <c r="L20" i="163"/>
  <c r="H20" i="163"/>
  <c r="X19" i="163"/>
  <c r="T19" i="163"/>
  <c r="P19" i="163"/>
  <c r="L19" i="163"/>
  <c r="H19" i="163"/>
  <c r="X18" i="163"/>
  <c r="T18" i="163"/>
  <c r="P18" i="163"/>
  <c r="L18" i="163"/>
  <c r="H18" i="163"/>
  <c r="X17" i="163"/>
  <c r="T17" i="163"/>
  <c r="P17" i="163"/>
  <c r="L17" i="163"/>
  <c r="H17" i="163"/>
  <c r="X16" i="163"/>
  <c r="T16" i="163"/>
  <c r="P16" i="163"/>
  <c r="L16" i="163"/>
  <c r="H16" i="163"/>
  <c r="X15" i="163"/>
  <c r="T15" i="163"/>
  <c r="P15" i="163"/>
  <c r="L15" i="163"/>
  <c r="H15" i="163"/>
  <c r="X14" i="163"/>
  <c r="T14" i="163"/>
  <c r="P14" i="163"/>
  <c r="L14" i="163"/>
  <c r="H14" i="163"/>
  <c r="X13" i="163"/>
  <c r="X21" i="163" s="1"/>
  <c r="T13" i="163"/>
  <c r="T21" i="163" s="1"/>
  <c r="P13" i="163"/>
  <c r="L13" i="163"/>
  <c r="L21" i="163" s="1"/>
  <c r="H13" i="163"/>
  <c r="W9" i="163"/>
  <c r="V9" i="163"/>
  <c r="S9" i="163"/>
  <c r="R9" i="163"/>
  <c r="O9" i="163"/>
  <c r="N9" i="163"/>
  <c r="L9" i="163"/>
  <c r="K9" i="163"/>
  <c r="J9" i="163"/>
  <c r="X8" i="163"/>
  <c r="T8" i="163"/>
  <c r="P8" i="163"/>
  <c r="L8" i="163"/>
  <c r="X7" i="163"/>
  <c r="T7" i="163"/>
  <c r="P7" i="163"/>
  <c r="L7" i="163"/>
  <c r="X6" i="163"/>
  <c r="T6" i="163"/>
  <c r="P6" i="163"/>
  <c r="L6" i="163"/>
  <c r="X5" i="163"/>
  <c r="X9" i="163" s="1"/>
  <c r="T5" i="163"/>
  <c r="T9" i="163" s="1"/>
  <c r="P5" i="163"/>
  <c r="P9" i="163" s="1"/>
  <c r="L5" i="163"/>
  <c r="X52" i="162"/>
  <c r="T52" i="162"/>
  <c r="P52" i="162"/>
  <c r="L52" i="162"/>
  <c r="X47" i="162"/>
  <c r="T47" i="162"/>
  <c r="P47" i="162"/>
  <c r="L47" i="162"/>
  <c r="H47" i="162"/>
  <c r="X42" i="162"/>
  <c r="T42" i="162"/>
  <c r="P42" i="162"/>
  <c r="L42" i="162"/>
  <c r="W38" i="162"/>
  <c r="V38" i="162"/>
  <c r="S38" i="162"/>
  <c r="R38" i="162"/>
  <c r="O38" i="162"/>
  <c r="N38" i="162"/>
  <c r="K38" i="162"/>
  <c r="J38" i="162"/>
  <c r="X37" i="162"/>
  <c r="T37" i="162"/>
  <c r="P37" i="162"/>
  <c r="L37" i="162"/>
  <c r="H37" i="162"/>
  <c r="X33" i="162"/>
  <c r="X38" i="162" s="1"/>
  <c r="T33" i="162"/>
  <c r="P33" i="162"/>
  <c r="L33" i="162"/>
  <c r="H33" i="162"/>
  <c r="X31" i="162"/>
  <c r="T31" i="162"/>
  <c r="P31" i="162"/>
  <c r="L31" i="162"/>
  <c r="L38" i="162" s="1"/>
  <c r="H31" i="162"/>
  <c r="X29" i="162"/>
  <c r="T29" i="162"/>
  <c r="T38" i="162" s="1"/>
  <c r="P29" i="162"/>
  <c r="P38" i="162" s="1"/>
  <c r="L29" i="162"/>
  <c r="H29" i="162"/>
  <c r="X25" i="162"/>
  <c r="T25" i="162"/>
  <c r="P25" i="162"/>
  <c r="L25" i="162"/>
  <c r="H25" i="162"/>
  <c r="W21" i="162"/>
  <c r="V21" i="162"/>
  <c r="S21" i="162"/>
  <c r="R21" i="162"/>
  <c r="O21" i="162"/>
  <c r="N21" i="162"/>
  <c r="K21" i="162"/>
  <c r="J21" i="162"/>
  <c r="X20" i="162"/>
  <c r="T20" i="162"/>
  <c r="P20" i="162"/>
  <c r="L20" i="162"/>
  <c r="H20" i="162"/>
  <c r="X19" i="162"/>
  <c r="T19" i="162"/>
  <c r="P19" i="162"/>
  <c r="L19" i="162"/>
  <c r="H19" i="162"/>
  <c r="X18" i="162"/>
  <c r="T18" i="162"/>
  <c r="P18" i="162"/>
  <c r="L18" i="162"/>
  <c r="H18" i="162"/>
  <c r="X17" i="162"/>
  <c r="T17" i="162"/>
  <c r="P17" i="162"/>
  <c r="L17" i="162"/>
  <c r="H17" i="162"/>
  <c r="X16" i="162"/>
  <c r="T16" i="162"/>
  <c r="P16" i="162"/>
  <c r="L16" i="162"/>
  <c r="H16" i="162"/>
  <c r="X15" i="162"/>
  <c r="T15" i="162"/>
  <c r="P15" i="162"/>
  <c r="L15" i="162"/>
  <c r="H15" i="162"/>
  <c r="X14" i="162"/>
  <c r="T14" i="162"/>
  <c r="T21" i="162" s="1"/>
  <c r="P14" i="162"/>
  <c r="L14" i="162"/>
  <c r="H14" i="162"/>
  <c r="X13" i="162"/>
  <c r="X21" i="162" s="1"/>
  <c r="T13" i="162"/>
  <c r="P13" i="162"/>
  <c r="P21" i="162" s="1"/>
  <c r="L13" i="162"/>
  <c r="L21" i="162" s="1"/>
  <c r="H13" i="162"/>
  <c r="W9" i="162"/>
  <c r="V9" i="162"/>
  <c r="S9" i="162"/>
  <c r="R9" i="162"/>
  <c r="O9" i="162"/>
  <c r="N9" i="162"/>
  <c r="K9" i="162"/>
  <c r="J9" i="162"/>
  <c r="X8" i="162"/>
  <c r="T8" i="162"/>
  <c r="P8" i="162"/>
  <c r="L8" i="162"/>
  <c r="X7" i="162"/>
  <c r="T7" i="162"/>
  <c r="P7" i="162"/>
  <c r="L7" i="162"/>
  <c r="X6" i="162"/>
  <c r="T6" i="162"/>
  <c r="P6" i="162"/>
  <c r="L6" i="162"/>
  <c r="X5" i="162"/>
  <c r="X9" i="162" s="1"/>
  <c r="T5" i="162"/>
  <c r="T9" i="162" s="1"/>
  <c r="P5" i="162"/>
  <c r="P9" i="162" s="1"/>
  <c r="L5" i="162"/>
  <c r="L9" i="162" s="1"/>
  <c r="X52" i="161"/>
  <c r="T52" i="161"/>
  <c r="P52" i="161"/>
  <c r="L52" i="161"/>
  <c r="H52" i="161"/>
  <c r="X47" i="161"/>
  <c r="T47" i="161"/>
  <c r="P47" i="161"/>
  <c r="L47" i="161"/>
  <c r="H47" i="161"/>
  <c r="X42" i="161"/>
  <c r="T42" i="161"/>
  <c r="P42" i="161"/>
  <c r="L42" i="161"/>
  <c r="H42" i="161"/>
  <c r="W38" i="161"/>
  <c r="V38" i="161"/>
  <c r="S38" i="161"/>
  <c r="R38" i="161"/>
  <c r="O38" i="161"/>
  <c r="N38" i="161"/>
  <c r="K38" i="161"/>
  <c r="J38" i="161"/>
  <c r="G38" i="161"/>
  <c r="F38" i="161"/>
  <c r="X37" i="161"/>
  <c r="T37" i="161"/>
  <c r="P37" i="161"/>
  <c r="L37" i="161"/>
  <c r="H37" i="161"/>
  <c r="X33" i="161"/>
  <c r="T33" i="161"/>
  <c r="P33" i="161"/>
  <c r="P38" i="161" s="1"/>
  <c r="L33" i="161"/>
  <c r="H33" i="161"/>
  <c r="X31" i="161"/>
  <c r="T31" i="161"/>
  <c r="P31" i="161"/>
  <c r="L31" i="161"/>
  <c r="H31" i="161"/>
  <c r="H38" i="161" s="1"/>
  <c r="X29" i="161"/>
  <c r="X38" i="161" s="1"/>
  <c r="T29" i="161"/>
  <c r="T38" i="161" s="1"/>
  <c r="P29" i="161"/>
  <c r="L29" i="161"/>
  <c r="L38" i="161" s="1"/>
  <c r="H29" i="161"/>
  <c r="X25" i="161"/>
  <c r="T25" i="161"/>
  <c r="P25" i="161"/>
  <c r="L25" i="161"/>
  <c r="H25" i="161"/>
  <c r="W21" i="161"/>
  <c r="V21" i="161"/>
  <c r="S21" i="161"/>
  <c r="R21" i="161"/>
  <c r="O21" i="161"/>
  <c r="N21" i="161"/>
  <c r="K21" i="161"/>
  <c r="J21" i="161"/>
  <c r="G21" i="161"/>
  <c r="F21" i="161"/>
  <c r="X20" i="161"/>
  <c r="T20" i="161"/>
  <c r="P20" i="161"/>
  <c r="L20" i="161"/>
  <c r="H20" i="161"/>
  <c r="X19" i="161"/>
  <c r="T19" i="161"/>
  <c r="P19" i="161"/>
  <c r="L19" i="161"/>
  <c r="H19" i="161"/>
  <c r="X18" i="161"/>
  <c r="T18" i="161"/>
  <c r="P18" i="161"/>
  <c r="L18" i="161"/>
  <c r="H18" i="161"/>
  <c r="X17" i="161"/>
  <c r="T17" i="161"/>
  <c r="P17" i="161"/>
  <c r="L17" i="161"/>
  <c r="H17" i="161"/>
  <c r="X16" i="161"/>
  <c r="T16" i="161"/>
  <c r="P16" i="161"/>
  <c r="L16" i="161"/>
  <c r="H16" i="161"/>
  <c r="X15" i="161"/>
  <c r="T15" i="161"/>
  <c r="P15" i="161"/>
  <c r="L15" i="161"/>
  <c r="H15" i="161"/>
  <c r="H21" i="161" s="1"/>
  <c r="X14" i="161"/>
  <c r="T14" i="161"/>
  <c r="P14" i="161"/>
  <c r="L14" i="161"/>
  <c r="H14" i="161"/>
  <c r="X13" i="161"/>
  <c r="X21" i="161" s="1"/>
  <c r="T13" i="161"/>
  <c r="T21" i="161" s="1"/>
  <c r="P13" i="161"/>
  <c r="P21" i="161" s="1"/>
  <c r="L13" i="161"/>
  <c r="L21" i="161" s="1"/>
  <c r="H13" i="161"/>
  <c r="W9" i="161"/>
  <c r="V9" i="161"/>
  <c r="S9" i="161"/>
  <c r="R9" i="161"/>
  <c r="P9" i="161"/>
  <c r="O9" i="161"/>
  <c r="N9" i="161"/>
  <c r="K9" i="161"/>
  <c r="J9" i="161"/>
  <c r="G9" i="161"/>
  <c r="F9" i="161"/>
  <c r="X8" i="161"/>
  <c r="T8" i="161"/>
  <c r="P8" i="161"/>
  <c r="L8" i="161"/>
  <c r="H8" i="161"/>
  <c r="X7" i="161"/>
  <c r="T7" i="161"/>
  <c r="P7" i="161"/>
  <c r="L7" i="161"/>
  <c r="H7" i="161"/>
  <c r="X6" i="161"/>
  <c r="T6" i="161"/>
  <c r="P6" i="161"/>
  <c r="L6" i="161"/>
  <c r="H6" i="161"/>
  <c r="X5" i="161"/>
  <c r="X9" i="161" s="1"/>
  <c r="T5" i="161"/>
  <c r="T9" i="161" s="1"/>
  <c r="P5" i="161"/>
  <c r="L5" i="161"/>
  <c r="L9" i="161" s="1"/>
  <c r="H5" i="161"/>
  <c r="H9" i="161" s="1"/>
  <c r="X52" i="160"/>
  <c r="T52" i="160"/>
  <c r="P52" i="160"/>
  <c r="L52" i="160"/>
  <c r="H52" i="160"/>
  <c r="X47" i="160"/>
  <c r="T47" i="160"/>
  <c r="P47" i="160"/>
  <c r="L47" i="160"/>
  <c r="H47" i="160"/>
  <c r="X42" i="160"/>
  <c r="T42" i="160"/>
  <c r="P42" i="160"/>
  <c r="L42" i="160"/>
  <c r="H42" i="160"/>
  <c r="W38" i="160"/>
  <c r="V38" i="160"/>
  <c r="T38" i="160"/>
  <c r="S38" i="160"/>
  <c r="R38" i="160"/>
  <c r="O38" i="160"/>
  <c r="N38" i="160"/>
  <c r="K38" i="160"/>
  <c r="J38" i="160"/>
  <c r="H38" i="160"/>
  <c r="G38" i="160"/>
  <c r="F38" i="160"/>
  <c r="X37" i="160"/>
  <c r="T37" i="160"/>
  <c r="P37" i="160"/>
  <c r="L37" i="160"/>
  <c r="H37" i="160"/>
  <c r="X33" i="160"/>
  <c r="T33" i="160"/>
  <c r="P33" i="160"/>
  <c r="L33" i="160"/>
  <c r="H33" i="160"/>
  <c r="X31" i="160"/>
  <c r="T31" i="160"/>
  <c r="P31" i="160"/>
  <c r="L31" i="160"/>
  <c r="H31" i="160"/>
  <c r="X29" i="160"/>
  <c r="X38" i="160" s="1"/>
  <c r="T29" i="160"/>
  <c r="P29" i="160"/>
  <c r="P38" i="160" s="1"/>
  <c r="L29" i="160"/>
  <c r="L38" i="160" s="1"/>
  <c r="H29" i="160"/>
  <c r="X25" i="160"/>
  <c r="T25" i="160"/>
  <c r="P25" i="160"/>
  <c r="L25" i="160"/>
  <c r="H25" i="160"/>
  <c r="W21" i="160"/>
  <c r="S21" i="160"/>
  <c r="R21" i="160"/>
  <c r="O21" i="160"/>
  <c r="N21" i="160"/>
  <c r="K21" i="160"/>
  <c r="J21" i="160"/>
  <c r="G21" i="160"/>
  <c r="F21" i="160"/>
  <c r="X20" i="160"/>
  <c r="T20" i="160"/>
  <c r="P20" i="160"/>
  <c r="L20" i="160"/>
  <c r="H20" i="160"/>
  <c r="X19" i="160"/>
  <c r="T19" i="160"/>
  <c r="P19" i="160"/>
  <c r="L19" i="160"/>
  <c r="H19" i="160"/>
  <c r="X18" i="160"/>
  <c r="T18" i="160"/>
  <c r="P18" i="160"/>
  <c r="L18" i="160"/>
  <c r="H18" i="160"/>
  <c r="X17" i="160"/>
  <c r="T17" i="160"/>
  <c r="P17" i="160"/>
  <c r="L17" i="160"/>
  <c r="H17" i="160"/>
  <c r="X16" i="160"/>
  <c r="T16" i="160"/>
  <c r="P16" i="160"/>
  <c r="L16" i="160"/>
  <c r="H16" i="160"/>
  <c r="X15" i="160"/>
  <c r="T15" i="160"/>
  <c r="P15" i="160"/>
  <c r="L15" i="160"/>
  <c r="H15" i="160"/>
  <c r="H21" i="160" s="1"/>
  <c r="X14" i="160"/>
  <c r="T14" i="160"/>
  <c r="P14" i="160"/>
  <c r="L14" i="160"/>
  <c r="H14" i="160"/>
  <c r="X13" i="160"/>
  <c r="X21" i="160" s="1"/>
  <c r="T13" i="160"/>
  <c r="T21" i="160" s="1"/>
  <c r="P13" i="160"/>
  <c r="P21" i="160" s="1"/>
  <c r="L13" i="160"/>
  <c r="L21" i="160" s="1"/>
  <c r="H13" i="160"/>
  <c r="W9" i="160"/>
  <c r="V9" i="160"/>
  <c r="S9" i="160"/>
  <c r="R9" i="160"/>
  <c r="O9" i="160"/>
  <c r="N9" i="160"/>
  <c r="K9" i="160"/>
  <c r="J9" i="160"/>
  <c r="G9" i="160"/>
  <c r="F9" i="160"/>
  <c r="X8" i="160"/>
  <c r="T8" i="160"/>
  <c r="P8" i="160"/>
  <c r="L8" i="160"/>
  <c r="H8" i="160"/>
  <c r="X7" i="160"/>
  <c r="T7" i="160"/>
  <c r="P7" i="160"/>
  <c r="P9" i="160" s="1"/>
  <c r="L7" i="160"/>
  <c r="H7" i="160"/>
  <c r="X6" i="160"/>
  <c r="T6" i="160"/>
  <c r="P6" i="160"/>
  <c r="L6" i="160"/>
  <c r="H6" i="160"/>
  <c r="X5" i="160"/>
  <c r="X9" i="160" s="1"/>
  <c r="T5" i="160"/>
  <c r="T9" i="160" s="1"/>
  <c r="P5" i="160"/>
  <c r="L5" i="160"/>
  <c r="L9" i="160" s="1"/>
  <c r="H5" i="160"/>
  <c r="H9" i="160" s="1"/>
  <c r="L52" i="155" l="1"/>
  <c r="H52" i="155"/>
  <c r="L47" i="155"/>
  <c r="H47" i="155"/>
  <c r="L42" i="155"/>
  <c r="H42" i="155"/>
  <c r="K38" i="155"/>
  <c r="J38" i="155"/>
  <c r="G38" i="155"/>
  <c r="F38" i="155"/>
  <c r="L37" i="155"/>
  <c r="H37" i="155"/>
  <c r="L33" i="155"/>
  <c r="H33" i="155"/>
  <c r="L31" i="155"/>
  <c r="H31" i="155"/>
  <c r="H38" i="155" s="1"/>
  <c r="L29" i="155"/>
  <c r="L38" i="155" s="1"/>
  <c r="H29" i="155"/>
  <c r="L25" i="155"/>
  <c r="H25" i="155"/>
  <c r="K21" i="155"/>
  <c r="J21" i="155"/>
  <c r="G21" i="155"/>
  <c r="F21" i="155"/>
  <c r="L20" i="155"/>
  <c r="H20" i="155"/>
  <c r="L19" i="155"/>
  <c r="H19" i="155"/>
  <c r="L18" i="155"/>
  <c r="H18" i="155"/>
  <c r="L17" i="155"/>
  <c r="H17" i="155"/>
  <c r="L16" i="155"/>
  <c r="H16" i="155"/>
  <c r="L15" i="155"/>
  <c r="L21" i="155" s="1"/>
  <c r="H15" i="155"/>
  <c r="L14" i="155"/>
  <c r="H14" i="155"/>
  <c r="H21" i="155" s="1"/>
  <c r="L13" i="155"/>
  <c r="H13" i="155"/>
  <c r="K9" i="155"/>
  <c r="J9" i="155"/>
  <c r="G9" i="155"/>
  <c r="F9" i="155"/>
  <c r="L8" i="155"/>
  <c r="H8" i="155"/>
  <c r="L7" i="155"/>
  <c r="H7" i="155"/>
  <c r="L6" i="155"/>
  <c r="H6" i="155"/>
  <c r="L5" i="155"/>
  <c r="L9" i="155" s="1"/>
  <c r="H5" i="155"/>
  <c r="H9" i="155" s="1"/>
  <c r="X52" i="154"/>
  <c r="T52" i="154"/>
  <c r="P52" i="154"/>
  <c r="L52" i="154"/>
  <c r="X47" i="154"/>
  <c r="T47" i="154"/>
  <c r="P47" i="154"/>
  <c r="L47" i="154"/>
  <c r="H47" i="154"/>
  <c r="X42" i="154"/>
  <c r="T42" i="154"/>
  <c r="P42" i="154"/>
  <c r="L42" i="154"/>
  <c r="W38" i="154"/>
  <c r="V38" i="154"/>
  <c r="S38" i="154"/>
  <c r="R38" i="154"/>
  <c r="O38" i="154"/>
  <c r="N38" i="154"/>
  <c r="K38" i="154"/>
  <c r="J38" i="154"/>
  <c r="X37" i="154"/>
  <c r="T37" i="154"/>
  <c r="P37" i="154"/>
  <c r="L37" i="154"/>
  <c r="X33" i="154"/>
  <c r="T33" i="154"/>
  <c r="P33" i="154"/>
  <c r="L33" i="154"/>
  <c r="H33" i="154"/>
  <c r="X31" i="154"/>
  <c r="T31" i="154"/>
  <c r="P31" i="154"/>
  <c r="L31" i="154"/>
  <c r="H31" i="154"/>
  <c r="X29" i="154"/>
  <c r="X38" i="154" s="1"/>
  <c r="T29" i="154"/>
  <c r="T38" i="154" s="1"/>
  <c r="P29" i="154"/>
  <c r="P38" i="154" s="1"/>
  <c r="L29" i="154"/>
  <c r="L38" i="154" s="1"/>
  <c r="H29" i="154"/>
  <c r="X25" i="154"/>
  <c r="T25" i="154"/>
  <c r="P25" i="154"/>
  <c r="L25" i="154"/>
  <c r="G25" i="154"/>
  <c r="H25" i="154" s="1"/>
  <c r="W21" i="154"/>
  <c r="V21" i="154"/>
  <c r="S21" i="154"/>
  <c r="R21" i="154"/>
  <c r="O21" i="154"/>
  <c r="N21" i="154"/>
  <c r="K21" i="154"/>
  <c r="J21" i="154"/>
  <c r="X20" i="154"/>
  <c r="T20" i="154"/>
  <c r="P20" i="154"/>
  <c r="L20" i="154"/>
  <c r="H20" i="154"/>
  <c r="X19" i="154"/>
  <c r="T19" i="154"/>
  <c r="P19" i="154"/>
  <c r="L19" i="154"/>
  <c r="H19" i="154"/>
  <c r="X18" i="154"/>
  <c r="T18" i="154"/>
  <c r="P18" i="154"/>
  <c r="L18" i="154"/>
  <c r="H18" i="154"/>
  <c r="X17" i="154"/>
  <c r="T17" i="154"/>
  <c r="P17" i="154"/>
  <c r="L17" i="154"/>
  <c r="H17" i="154"/>
  <c r="X16" i="154"/>
  <c r="T16" i="154"/>
  <c r="P16" i="154"/>
  <c r="L16" i="154"/>
  <c r="H16" i="154"/>
  <c r="X15" i="154"/>
  <c r="T15" i="154"/>
  <c r="P15" i="154"/>
  <c r="L15" i="154"/>
  <c r="H15" i="154"/>
  <c r="X14" i="154"/>
  <c r="T14" i="154"/>
  <c r="P14" i="154"/>
  <c r="L14" i="154"/>
  <c r="H14" i="154"/>
  <c r="X13" i="154"/>
  <c r="X21" i="154" s="1"/>
  <c r="T13" i="154"/>
  <c r="T21" i="154" s="1"/>
  <c r="P13" i="154"/>
  <c r="P21" i="154" s="1"/>
  <c r="L13" i="154"/>
  <c r="L21" i="154" s="1"/>
  <c r="H13" i="154"/>
  <c r="W9" i="154"/>
  <c r="V9" i="154"/>
  <c r="S9" i="154"/>
  <c r="R9" i="154"/>
  <c r="O9" i="154"/>
  <c r="N9" i="154"/>
  <c r="L9" i="154"/>
  <c r="K9" i="154"/>
  <c r="J9" i="154"/>
  <c r="X8" i="154"/>
  <c r="T8" i="154"/>
  <c r="P8" i="154"/>
  <c r="L8" i="154"/>
  <c r="X7" i="154"/>
  <c r="T7" i="154"/>
  <c r="P7" i="154"/>
  <c r="L7" i="154"/>
  <c r="X6" i="154"/>
  <c r="T6" i="154"/>
  <c r="P6" i="154"/>
  <c r="P9" i="154" s="1"/>
  <c r="L6" i="154"/>
  <c r="X5" i="154"/>
  <c r="X9" i="154" s="1"/>
  <c r="T5" i="154"/>
  <c r="T9" i="154" s="1"/>
  <c r="P5" i="154"/>
  <c r="L5" i="154"/>
  <c r="X52" i="153"/>
  <c r="T52" i="153"/>
  <c r="P52" i="153"/>
  <c r="L52" i="153"/>
  <c r="X47" i="153"/>
  <c r="T47" i="153"/>
  <c r="P47" i="153"/>
  <c r="L47" i="153"/>
  <c r="H47" i="153"/>
  <c r="X42" i="153"/>
  <c r="T42" i="153"/>
  <c r="P42" i="153"/>
  <c r="L42" i="153"/>
  <c r="X38" i="153"/>
  <c r="W38" i="153"/>
  <c r="V38" i="153"/>
  <c r="S38" i="153"/>
  <c r="R38" i="153"/>
  <c r="O38" i="153"/>
  <c r="N38" i="153"/>
  <c r="K38" i="153"/>
  <c r="J38" i="153"/>
  <c r="X37" i="153"/>
  <c r="T37" i="153"/>
  <c r="P37" i="153"/>
  <c r="L37" i="153"/>
  <c r="H37" i="153"/>
  <c r="X33" i="153"/>
  <c r="T33" i="153"/>
  <c r="P33" i="153"/>
  <c r="L33" i="153"/>
  <c r="H33" i="153"/>
  <c r="X31" i="153"/>
  <c r="T31" i="153"/>
  <c r="P31" i="153"/>
  <c r="L31" i="153"/>
  <c r="H31" i="153"/>
  <c r="X29" i="153"/>
  <c r="T29" i="153"/>
  <c r="T38" i="153" s="1"/>
  <c r="P29" i="153"/>
  <c r="P38" i="153" s="1"/>
  <c r="L29" i="153"/>
  <c r="L38" i="153" s="1"/>
  <c r="H29" i="153"/>
  <c r="X25" i="153"/>
  <c r="T25" i="153"/>
  <c r="P25" i="153"/>
  <c r="L25" i="153"/>
  <c r="G25" i="153"/>
  <c r="H25" i="153" s="1"/>
  <c r="W21" i="153"/>
  <c r="V21" i="153"/>
  <c r="S21" i="153"/>
  <c r="R21" i="153"/>
  <c r="O21" i="153"/>
  <c r="N21" i="153"/>
  <c r="K21" i="153"/>
  <c r="J21" i="153"/>
  <c r="X20" i="153"/>
  <c r="T20" i="153"/>
  <c r="P20" i="153"/>
  <c r="L20" i="153"/>
  <c r="H20" i="153"/>
  <c r="X19" i="153"/>
  <c r="T19" i="153"/>
  <c r="P19" i="153"/>
  <c r="L19" i="153"/>
  <c r="H19" i="153"/>
  <c r="X18" i="153"/>
  <c r="T18" i="153"/>
  <c r="P18" i="153"/>
  <c r="L18" i="153"/>
  <c r="H18" i="153"/>
  <c r="X17" i="153"/>
  <c r="T17" i="153"/>
  <c r="P17" i="153"/>
  <c r="L17" i="153"/>
  <c r="H17" i="153"/>
  <c r="X16" i="153"/>
  <c r="T16" i="153"/>
  <c r="P16" i="153"/>
  <c r="L16" i="153"/>
  <c r="H16" i="153"/>
  <c r="X15" i="153"/>
  <c r="T15" i="153"/>
  <c r="P15" i="153"/>
  <c r="L15" i="153"/>
  <c r="H15" i="153"/>
  <c r="X14" i="153"/>
  <c r="T14" i="153"/>
  <c r="P14" i="153"/>
  <c r="L14" i="153"/>
  <c r="H14" i="153"/>
  <c r="X13" i="153"/>
  <c r="X21" i="153" s="1"/>
  <c r="T13" i="153"/>
  <c r="T21" i="153" s="1"/>
  <c r="P13" i="153"/>
  <c r="P21" i="153" s="1"/>
  <c r="L13" i="153"/>
  <c r="L21" i="153" s="1"/>
  <c r="H13" i="153"/>
  <c r="W9" i="153"/>
  <c r="V9" i="153"/>
  <c r="T9" i="153"/>
  <c r="S9" i="153"/>
  <c r="R9" i="153"/>
  <c r="O9" i="153"/>
  <c r="N9" i="153"/>
  <c r="K9" i="153"/>
  <c r="J9" i="153"/>
  <c r="X8" i="153"/>
  <c r="T8" i="153"/>
  <c r="P8" i="153"/>
  <c r="L8" i="153"/>
  <c r="X7" i="153"/>
  <c r="T7" i="153"/>
  <c r="P7" i="153"/>
  <c r="L7" i="153"/>
  <c r="X6" i="153"/>
  <c r="T6" i="153"/>
  <c r="P6" i="153"/>
  <c r="P9" i="153" s="1"/>
  <c r="L6" i="153"/>
  <c r="X5" i="153"/>
  <c r="X9" i="153" s="1"/>
  <c r="T5" i="153"/>
  <c r="P5" i="153"/>
  <c r="L5" i="153"/>
  <c r="L9" i="153" s="1"/>
  <c r="X52" i="152"/>
  <c r="T52" i="152"/>
  <c r="P52" i="152"/>
  <c r="L52" i="152"/>
  <c r="H52" i="152"/>
  <c r="X47" i="152"/>
  <c r="T47" i="152"/>
  <c r="P47" i="152"/>
  <c r="L47" i="152"/>
  <c r="H47" i="152"/>
  <c r="X42" i="152"/>
  <c r="T42" i="152"/>
  <c r="P42" i="152"/>
  <c r="L42" i="152"/>
  <c r="H42" i="152"/>
  <c r="X38" i="152"/>
  <c r="W38" i="152"/>
  <c r="V38" i="152"/>
  <c r="T38" i="152"/>
  <c r="S38" i="152"/>
  <c r="R38" i="152"/>
  <c r="O38" i="152"/>
  <c r="N38" i="152"/>
  <c r="K38" i="152"/>
  <c r="J38" i="152"/>
  <c r="G38" i="152"/>
  <c r="F38" i="152"/>
  <c r="X37" i="152"/>
  <c r="T37" i="152"/>
  <c r="P37" i="152"/>
  <c r="L37" i="152"/>
  <c r="H37" i="152"/>
  <c r="X33" i="152"/>
  <c r="T33" i="152"/>
  <c r="P33" i="152"/>
  <c r="L33" i="152"/>
  <c r="H33" i="152"/>
  <c r="X31" i="152"/>
  <c r="T31" i="152"/>
  <c r="P31" i="152"/>
  <c r="L31" i="152"/>
  <c r="H31" i="152"/>
  <c r="X29" i="152"/>
  <c r="T29" i="152"/>
  <c r="P29" i="152"/>
  <c r="P38" i="152" s="1"/>
  <c r="L29" i="152"/>
  <c r="L38" i="152" s="1"/>
  <c r="H29" i="152"/>
  <c r="H38" i="152" s="1"/>
  <c r="X25" i="152"/>
  <c r="T25" i="152"/>
  <c r="P25" i="152"/>
  <c r="L25" i="152"/>
  <c r="H25" i="152"/>
  <c r="W21" i="152"/>
  <c r="V21" i="152"/>
  <c r="S21" i="152"/>
  <c r="R21" i="152"/>
  <c r="O21" i="152"/>
  <c r="N21" i="152"/>
  <c r="K21" i="152"/>
  <c r="J21" i="152"/>
  <c r="G21" i="152"/>
  <c r="F21" i="152"/>
  <c r="X20" i="152"/>
  <c r="T20" i="152"/>
  <c r="P20" i="152"/>
  <c r="L20" i="152"/>
  <c r="H20" i="152"/>
  <c r="X19" i="152"/>
  <c r="T19" i="152"/>
  <c r="P19" i="152"/>
  <c r="L19" i="152"/>
  <c r="H19" i="152"/>
  <c r="X18" i="152"/>
  <c r="T18" i="152"/>
  <c r="P18" i="152"/>
  <c r="L18" i="152"/>
  <c r="H18" i="152"/>
  <c r="X17" i="152"/>
  <c r="T17" i="152"/>
  <c r="P17" i="152"/>
  <c r="L17" i="152"/>
  <c r="H17" i="152"/>
  <c r="X16" i="152"/>
  <c r="T16" i="152"/>
  <c r="P16" i="152"/>
  <c r="L16" i="152"/>
  <c r="H16" i="152"/>
  <c r="X15" i="152"/>
  <c r="X21" i="152" s="1"/>
  <c r="T15" i="152"/>
  <c r="P15" i="152"/>
  <c r="L15" i="152"/>
  <c r="H15" i="152"/>
  <c r="X14" i="152"/>
  <c r="T14" i="152"/>
  <c r="P14" i="152"/>
  <c r="L14" i="152"/>
  <c r="H14" i="152"/>
  <c r="X13" i="152"/>
  <c r="T13" i="152"/>
  <c r="T21" i="152" s="1"/>
  <c r="P13" i="152"/>
  <c r="P21" i="152" s="1"/>
  <c r="L13" i="152"/>
  <c r="L21" i="152" s="1"/>
  <c r="H13" i="152"/>
  <c r="H21" i="152" s="1"/>
  <c r="W9" i="152"/>
  <c r="V9" i="152"/>
  <c r="S9" i="152"/>
  <c r="R9" i="152"/>
  <c r="O9" i="152"/>
  <c r="N9" i="152"/>
  <c r="K9" i="152"/>
  <c r="J9" i="152"/>
  <c r="H9" i="152"/>
  <c r="G9" i="152"/>
  <c r="F9" i="152"/>
  <c r="X8" i="152"/>
  <c r="T8" i="152"/>
  <c r="P8" i="152"/>
  <c r="L8" i="152"/>
  <c r="H8" i="152"/>
  <c r="X7" i="152"/>
  <c r="T7" i="152"/>
  <c r="P7" i="152"/>
  <c r="P9" i="152" s="1"/>
  <c r="L7" i="152"/>
  <c r="H7" i="152"/>
  <c r="X6" i="152"/>
  <c r="T6" i="152"/>
  <c r="P6" i="152"/>
  <c r="L6" i="152"/>
  <c r="H6" i="152"/>
  <c r="X5" i="152"/>
  <c r="X9" i="152" s="1"/>
  <c r="T5" i="152"/>
  <c r="T9" i="152" s="1"/>
  <c r="P5" i="152"/>
  <c r="L5" i="152"/>
  <c r="L9" i="152" s="1"/>
  <c r="H5" i="152"/>
  <c r="X52" i="151"/>
  <c r="T52" i="151"/>
  <c r="P52" i="151"/>
  <c r="L52" i="151"/>
  <c r="H52" i="151"/>
  <c r="X47" i="151"/>
  <c r="T47" i="151"/>
  <c r="P47" i="151"/>
  <c r="L47" i="151"/>
  <c r="H47" i="151"/>
  <c r="X42" i="151"/>
  <c r="T42" i="151"/>
  <c r="P42" i="151"/>
  <c r="L42" i="151"/>
  <c r="H42" i="151"/>
  <c r="W38" i="151"/>
  <c r="V38" i="151"/>
  <c r="S38" i="151"/>
  <c r="R38" i="151"/>
  <c r="O38" i="151"/>
  <c r="N38" i="151"/>
  <c r="K38" i="151"/>
  <c r="J38" i="151"/>
  <c r="G38" i="151"/>
  <c r="F38" i="151"/>
  <c r="X37" i="151"/>
  <c r="T37" i="151"/>
  <c r="P37" i="151"/>
  <c r="L37" i="151"/>
  <c r="H37" i="151"/>
  <c r="X33" i="151"/>
  <c r="T33" i="151"/>
  <c r="P33" i="151"/>
  <c r="L33" i="151"/>
  <c r="H33" i="151"/>
  <c r="X31" i="151"/>
  <c r="T31" i="151"/>
  <c r="P31" i="151"/>
  <c r="L31" i="151"/>
  <c r="H31" i="151"/>
  <c r="X29" i="151"/>
  <c r="X38" i="151" s="1"/>
  <c r="T29" i="151"/>
  <c r="T38" i="151" s="1"/>
  <c r="P29" i="151"/>
  <c r="P38" i="151" s="1"/>
  <c r="L29" i="151"/>
  <c r="L38" i="151" s="1"/>
  <c r="H29" i="151"/>
  <c r="H38" i="151" s="1"/>
  <c r="X25" i="151"/>
  <c r="T25" i="151"/>
  <c r="P25" i="151"/>
  <c r="L25" i="151"/>
  <c r="H25" i="151"/>
  <c r="W21" i="151"/>
  <c r="S21" i="151"/>
  <c r="R21" i="151"/>
  <c r="O21" i="151"/>
  <c r="N21" i="151"/>
  <c r="K21" i="151"/>
  <c r="J21" i="151"/>
  <c r="G21" i="151"/>
  <c r="F21" i="151"/>
  <c r="X20" i="151"/>
  <c r="T20" i="151"/>
  <c r="P20" i="151"/>
  <c r="L20" i="151"/>
  <c r="H20" i="151"/>
  <c r="X19" i="151"/>
  <c r="T19" i="151"/>
  <c r="P19" i="151"/>
  <c r="L19" i="151"/>
  <c r="H19" i="151"/>
  <c r="X18" i="151"/>
  <c r="T18" i="151"/>
  <c r="P18" i="151"/>
  <c r="L18" i="151"/>
  <c r="H18" i="151"/>
  <c r="X17" i="151"/>
  <c r="T17" i="151"/>
  <c r="P17" i="151"/>
  <c r="L17" i="151"/>
  <c r="H17" i="151"/>
  <c r="X16" i="151"/>
  <c r="T16" i="151"/>
  <c r="P16" i="151"/>
  <c r="L16" i="151"/>
  <c r="H16" i="151"/>
  <c r="X15" i="151"/>
  <c r="T15" i="151"/>
  <c r="P15" i="151"/>
  <c r="L15" i="151"/>
  <c r="H15" i="151"/>
  <c r="X14" i="151"/>
  <c r="T14" i="151"/>
  <c r="P14" i="151"/>
  <c r="L14" i="151"/>
  <c r="H14" i="151"/>
  <c r="X13" i="151"/>
  <c r="X21" i="151" s="1"/>
  <c r="T13" i="151"/>
  <c r="T21" i="151" s="1"/>
  <c r="P13" i="151"/>
  <c r="P21" i="151" s="1"/>
  <c r="L13" i="151"/>
  <c r="L21" i="151" s="1"/>
  <c r="H13" i="151"/>
  <c r="H21" i="151" s="1"/>
  <c r="W9" i="151"/>
  <c r="V9" i="151"/>
  <c r="S9" i="151"/>
  <c r="R9" i="151"/>
  <c r="O9" i="151"/>
  <c r="N9" i="151"/>
  <c r="K9" i="151"/>
  <c r="J9" i="151"/>
  <c r="H9" i="151"/>
  <c r="G9" i="151"/>
  <c r="F9" i="151"/>
  <c r="X8" i="151"/>
  <c r="T8" i="151"/>
  <c r="P8" i="151"/>
  <c r="L8" i="151"/>
  <c r="H8" i="151"/>
  <c r="X7" i="151"/>
  <c r="T7" i="151"/>
  <c r="P7" i="151"/>
  <c r="P9" i="151" s="1"/>
  <c r="L7" i="151"/>
  <c r="H7" i="151"/>
  <c r="X6" i="151"/>
  <c r="T6" i="151"/>
  <c r="P6" i="151"/>
  <c r="L6" i="151"/>
  <c r="H6" i="151"/>
  <c r="X5" i="151"/>
  <c r="X9" i="151" s="1"/>
  <c r="T5" i="151"/>
  <c r="T9" i="151" s="1"/>
  <c r="P5" i="151"/>
  <c r="L5" i="151"/>
  <c r="L9" i="151" s="1"/>
  <c r="H5" i="151"/>
  <c r="T52" i="130" l="1"/>
  <c r="P52" i="130"/>
  <c r="L52" i="130"/>
  <c r="H52" i="130"/>
  <c r="T48" i="130"/>
  <c r="P48" i="130"/>
  <c r="L48" i="130"/>
  <c r="H48" i="130"/>
  <c r="T47" i="130"/>
  <c r="P47" i="130"/>
  <c r="L47" i="130"/>
  <c r="H47" i="130"/>
  <c r="T43" i="130"/>
  <c r="P43" i="130"/>
  <c r="L43" i="130"/>
  <c r="H43" i="130"/>
  <c r="T42" i="130"/>
  <c r="P42" i="130"/>
  <c r="L42" i="130"/>
  <c r="H42" i="130"/>
  <c r="T38" i="130"/>
  <c r="S38" i="130"/>
  <c r="R38" i="130"/>
  <c r="O38" i="130"/>
  <c r="N38" i="130"/>
  <c r="P38" i="130" s="1"/>
  <c r="K38" i="130"/>
  <c r="L38" i="130" s="1"/>
  <c r="J38" i="130"/>
  <c r="H38" i="130"/>
  <c r="G38" i="130"/>
  <c r="F38" i="130"/>
  <c r="T37" i="130"/>
  <c r="P37" i="130"/>
  <c r="L37" i="130"/>
  <c r="H37" i="130"/>
  <c r="T34" i="130"/>
  <c r="P34" i="130"/>
  <c r="L34" i="130"/>
  <c r="H34" i="130"/>
  <c r="T33" i="130"/>
  <c r="P33" i="130"/>
  <c r="L33" i="130"/>
  <c r="H33" i="130"/>
  <c r="T32" i="130"/>
  <c r="P32" i="130"/>
  <c r="L32" i="130"/>
  <c r="H32" i="130"/>
  <c r="T31" i="130"/>
  <c r="P31" i="130"/>
  <c r="L31" i="130"/>
  <c r="H31" i="130"/>
  <c r="T30" i="130"/>
  <c r="P30" i="130"/>
  <c r="L30" i="130"/>
  <c r="H30" i="130"/>
  <c r="T29" i="130"/>
  <c r="P29" i="130"/>
  <c r="L29" i="130"/>
  <c r="H29" i="130"/>
  <c r="T25" i="130"/>
  <c r="P25" i="130"/>
  <c r="L25" i="130"/>
  <c r="H25" i="130"/>
  <c r="S21" i="130"/>
  <c r="T21" i="130" s="1"/>
  <c r="R21" i="130"/>
  <c r="O21" i="130"/>
  <c r="P21" i="130" s="1"/>
  <c r="N21" i="130"/>
  <c r="L21" i="130"/>
  <c r="K21" i="130"/>
  <c r="J21" i="130"/>
  <c r="H21" i="130"/>
  <c r="G21" i="130"/>
  <c r="F21" i="130"/>
  <c r="T20" i="130"/>
  <c r="P20" i="130"/>
  <c r="L20" i="130"/>
  <c r="H20" i="130"/>
  <c r="T19" i="130"/>
  <c r="P19" i="130"/>
  <c r="L19" i="130"/>
  <c r="H19" i="130"/>
  <c r="T18" i="130"/>
  <c r="P18" i="130"/>
  <c r="L18" i="130"/>
  <c r="H18" i="130"/>
  <c r="T17" i="130"/>
  <c r="P17" i="130"/>
  <c r="L17" i="130"/>
  <c r="H17" i="130"/>
  <c r="T16" i="130"/>
  <c r="P16" i="130"/>
  <c r="L16" i="130"/>
  <c r="H16" i="130"/>
  <c r="T15" i="130"/>
  <c r="P15" i="130"/>
  <c r="L15" i="130"/>
  <c r="H15" i="130"/>
  <c r="T14" i="130"/>
  <c r="P14" i="130"/>
  <c r="L14" i="130"/>
  <c r="H14" i="130"/>
  <c r="T13" i="130"/>
  <c r="P13" i="130"/>
  <c r="L13" i="130"/>
  <c r="H13" i="130"/>
  <c r="T9" i="130"/>
  <c r="S9" i="130"/>
  <c r="R9" i="130"/>
  <c r="O9" i="130"/>
  <c r="N9" i="130"/>
  <c r="P9" i="130" s="1"/>
  <c r="K9" i="130"/>
  <c r="L9" i="130" s="1"/>
  <c r="J9" i="130"/>
  <c r="H9" i="130"/>
  <c r="G9" i="130"/>
  <c r="F9" i="130"/>
  <c r="T8" i="130"/>
  <c r="P8" i="130"/>
  <c r="L8" i="130"/>
  <c r="H8" i="130"/>
  <c r="T7" i="130"/>
  <c r="P7" i="130"/>
  <c r="L7" i="130"/>
  <c r="H7" i="130"/>
  <c r="T6" i="130"/>
  <c r="P6" i="130"/>
  <c r="L6" i="130"/>
  <c r="H6" i="130"/>
  <c r="T5" i="130"/>
  <c r="P5" i="130"/>
  <c r="L5" i="130"/>
  <c r="H5" i="130"/>
  <c r="L60" i="129"/>
  <c r="F60" i="129"/>
  <c r="N59" i="129"/>
  <c r="N60" i="129" s="1"/>
  <c r="L59" i="129"/>
  <c r="J59" i="129"/>
  <c r="J60" i="129" s="1"/>
  <c r="H59" i="129"/>
  <c r="H60" i="129" s="1"/>
  <c r="F59" i="129"/>
  <c r="J58" i="129"/>
  <c r="H58" i="129"/>
  <c r="F58" i="129"/>
  <c r="N57" i="129"/>
  <c r="N58" i="129" s="1"/>
  <c r="L57" i="129"/>
  <c r="L58" i="129" s="1"/>
  <c r="J57" i="129"/>
  <c r="H57" i="129"/>
  <c r="F57" i="129"/>
  <c r="P48" i="128"/>
  <c r="L48" i="128"/>
  <c r="H48" i="128"/>
  <c r="P47" i="128"/>
  <c r="L47" i="128"/>
  <c r="H47" i="128"/>
  <c r="P43" i="128"/>
  <c r="L43" i="128"/>
  <c r="H43" i="128"/>
  <c r="P42" i="128"/>
  <c r="L42" i="128"/>
  <c r="H42" i="128"/>
  <c r="O38" i="128"/>
  <c r="N38" i="128"/>
  <c r="K38" i="128"/>
  <c r="J38" i="128"/>
  <c r="G38" i="128"/>
  <c r="F38" i="128"/>
  <c r="P37" i="128"/>
  <c r="L37" i="128"/>
  <c r="H37" i="128"/>
  <c r="P34" i="128"/>
  <c r="L34" i="128"/>
  <c r="H34" i="128"/>
  <c r="P33" i="128"/>
  <c r="L33" i="128"/>
  <c r="H33" i="128"/>
  <c r="P32" i="128"/>
  <c r="L32" i="128"/>
  <c r="H32" i="128"/>
  <c r="P31" i="128"/>
  <c r="L31" i="128"/>
  <c r="H31" i="128"/>
  <c r="P30" i="128"/>
  <c r="L30" i="128"/>
  <c r="H30" i="128"/>
  <c r="P29" i="128"/>
  <c r="L29" i="128"/>
  <c r="H29" i="128"/>
  <c r="P25" i="128"/>
  <c r="L25" i="128"/>
  <c r="H25" i="128"/>
  <c r="O21" i="128"/>
  <c r="N21" i="128"/>
  <c r="K21" i="128"/>
  <c r="J21" i="128"/>
  <c r="G21" i="128"/>
  <c r="F21" i="128"/>
  <c r="P20" i="128"/>
  <c r="L20" i="128"/>
  <c r="H20" i="128"/>
  <c r="P19" i="128"/>
  <c r="L19" i="128"/>
  <c r="H19" i="128"/>
  <c r="P18" i="128"/>
  <c r="L18" i="128"/>
  <c r="H18" i="128"/>
  <c r="P17" i="128"/>
  <c r="L17" i="128"/>
  <c r="H17" i="128"/>
  <c r="P16" i="128"/>
  <c r="L16" i="128"/>
  <c r="H16" i="128"/>
  <c r="P15" i="128"/>
  <c r="L15" i="128"/>
  <c r="H15" i="128"/>
  <c r="P14" i="128"/>
  <c r="L14" i="128"/>
  <c r="H14" i="128"/>
  <c r="P13" i="128"/>
  <c r="L13" i="128"/>
  <c r="H13" i="128"/>
  <c r="O9" i="128"/>
  <c r="N9" i="128"/>
  <c r="K9" i="128"/>
  <c r="J9" i="128"/>
  <c r="G9" i="128"/>
  <c r="F9" i="128"/>
  <c r="P8" i="128"/>
  <c r="L8" i="128"/>
  <c r="H8" i="128"/>
  <c r="P7" i="128"/>
  <c r="L7" i="128"/>
  <c r="H7" i="128"/>
  <c r="P6" i="128"/>
  <c r="L6" i="128"/>
  <c r="H6" i="128"/>
  <c r="P5" i="128"/>
  <c r="L5" i="128"/>
  <c r="L9" i="128" s="1"/>
  <c r="H5" i="128"/>
  <c r="H9" i="128" s="1"/>
  <c r="W38" i="126"/>
  <c r="V38" i="126"/>
  <c r="T38" i="126"/>
  <c r="S38" i="126"/>
  <c r="R38" i="126"/>
  <c r="P38" i="126"/>
  <c r="O38" i="126"/>
  <c r="N38" i="126"/>
  <c r="L38" i="126"/>
  <c r="K38" i="126"/>
  <c r="J38" i="126"/>
  <c r="H38" i="126"/>
  <c r="G38" i="126"/>
  <c r="F38" i="126"/>
  <c r="X33" i="126"/>
  <c r="X38" i="126" s="1"/>
  <c r="X21" i="126"/>
  <c r="W21" i="126"/>
  <c r="V21" i="126"/>
  <c r="T21" i="126"/>
  <c r="S21" i="126"/>
  <c r="R21" i="126"/>
  <c r="P21" i="126"/>
  <c r="O21" i="126"/>
  <c r="N21" i="126"/>
  <c r="L21" i="126"/>
  <c r="K21" i="126"/>
  <c r="J21" i="126"/>
  <c r="H21" i="126"/>
  <c r="G21" i="126"/>
  <c r="F21" i="126"/>
  <c r="W9" i="126"/>
  <c r="V9" i="126"/>
  <c r="S9" i="126"/>
  <c r="R9" i="126"/>
  <c r="O9" i="126"/>
  <c r="N9" i="126"/>
  <c r="K9" i="126"/>
  <c r="J9" i="126"/>
  <c r="G9" i="126"/>
  <c r="F9" i="126"/>
  <c r="X8" i="126"/>
  <c r="T8" i="126"/>
  <c r="P8" i="126"/>
  <c r="L8" i="126"/>
  <c r="H8" i="126"/>
  <c r="X7" i="126"/>
  <c r="T7" i="126"/>
  <c r="P7" i="126"/>
  <c r="L7" i="126"/>
  <c r="H7" i="126"/>
  <c r="X6" i="126"/>
  <c r="T6" i="126"/>
  <c r="P6" i="126"/>
  <c r="L6" i="126"/>
  <c r="H6" i="126"/>
  <c r="X5" i="126"/>
  <c r="X9" i="126" s="1"/>
  <c r="T5" i="126"/>
  <c r="T9" i="126" s="1"/>
  <c r="P5" i="126"/>
  <c r="P9" i="126" s="1"/>
  <c r="L5" i="126"/>
  <c r="L9" i="126" s="1"/>
  <c r="H5" i="126"/>
  <c r="H9" i="126" s="1"/>
  <c r="X38" i="125"/>
  <c r="W38" i="125"/>
  <c r="V38" i="125"/>
  <c r="T38" i="125"/>
  <c r="S38" i="125"/>
  <c r="R38" i="125"/>
  <c r="P38" i="125"/>
  <c r="O38" i="125"/>
  <c r="N38" i="125"/>
  <c r="L38" i="125"/>
  <c r="K38" i="125"/>
  <c r="J38" i="125"/>
  <c r="H38" i="125"/>
  <c r="G38" i="125"/>
  <c r="F38" i="125"/>
  <c r="X21" i="125"/>
  <c r="W21" i="125"/>
  <c r="V21" i="125"/>
  <c r="T21" i="125"/>
  <c r="S21" i="125"/>
  <c r="R21" i="125"/>
  <c r="P21" i="125"/>
  <c r="O21" i="125"/>
  <c r="N21" i="125"/>
  <c r="L21" i="125"/>
  <c r="K21" i="125"/>
  <c r="J21" i="125"/>
  <c r="H21" i="125"/>
  <c r="G21" i="125"/>
  <c r="F21" i="125"/>
  <c r="W9" i="125"/>
  <c r="V9" i="125"/>
  <c r="S9" i="125"/>
  <c r="R9" i="125"/>
  <c r="O9" i="125"/>
  <c r="N9" i="125"/>
  <c r="K9" i="125"/>
  <c r="J9" i="125"/>
  <c r="G9" i="125"/>
  <c r="F9" i="125"/>
  <c r="X8" i="125"/>
  <c r="T8" i="125"/>
  <c r="P8" i="125"/>
  <c r="L8" i="125"/>
  <c r="H8" i="125"/>
  <c r="X7" i="125"/>
  <c r="T7" i="125"/>
  <c r="P7" i="125"/>
  <c r="P9" i="125" s="1"/>
  <c r="L7" i="125"/>
  <c r="H7" i="125"/>
  <c r="X6" i="125"/>
  <c r="T6" i="125"/>
  <c r="T9" i="125" s="1"/>
  <c r="P6" i="125"/>
  <c r="L6" i="125"/>
  <c r="H6" i="125"/>
  <c r="X5" i="125"/>
  <c r="X9" i="125" s="1"/>
  <c r="T5" i="125"/>
  <c r="P5" i="125"/>
  <c r="L5" i="125"/>
  <c r="L9" i="125" s="1"/>
  <c r="H5" i="125"/>
  <c r="H9" i="125" s="1"/>
  <c r="X38" i="124"/>
  <c r="W38" i="124"/>
  <c r="V38" i="124"/>
  <c r="T38" i="124"/>
  <c r="S38" i="124"/>
  <c r="R38" i="124"/>
  <c r="P38" i="124"/>
  <c r="O38" i="124"/>
  <c r="N38" i="124"/>
  <c r="L38" i="124"/>
  <c r="K38" i="124"/>
  <c r="J38" i="124"/>
  <c r="H38" i="124"/>
  <c r="G38" i="124"/>
  <c r="F38" i="124"/>
  <c r="X21" i="124"/>
  <c r="W21" i="124"/>
  <c r="V21" i="124"/>
  <c r="T21" i="124"/>
  <c r="S21" i="124"/>
  <c r="R21" i="124"/>
  <c r="P21" i="124"/>
  <c r="O21" i="124"/>
  <c r="N21" i="124"/>
  <c r="L21" i="124"/>
  <c r="K21" i="124"/>
  <c r="J21" i="124"/>
  <c r="H21" i="124"/>
  <c r="G21" i="124"/>
  <c r="F21" i="124"/>
  <c r="X9" i="124"/>
  <c r="W9" i="124"/>
  <c r="V9" i="124"/>
  <c r="S9" i="124"/>
  <c r="R9" i="124"/>
  <c r="O9" i="124"/>
  <c r="N9" i="124"/>
  <c r="K9" i="124"/>
  <c r="J9" i="124"/>
  <c r="G9" i="124"/>
  <c r="F9" i="124"/>
  <c r="X8" i="124"/>
  <c r="T8" i="124"/>
  <c r="P8" i="124"/>
  <c r="L8" i="124"/>
  <c r="H8" i="124"/>
  <c r="X7" i="124"/>
  <c r="T7" i="124"/>
  <c r="P7" i="124"/>
  <c r="L7" i="124"/>
  <c r="H7" i="124"/>
  <c r="X6" i="124"/>
  <c r="T6" i="124"/>
  <c r="T9" i="124" s="1"/>
  <c r="P6" i="124"/>
  <c r="L6" i="124"/>
  <c r="H6" i="124"/>
  <c r="X5" i="124"/>
  <c r="T5" i="124"/>
  <c r="P5" i="124"/>
  <c r="P9" i="124" s="1"/>
  <c r="L5" i="124"/>
  <c r="L9" i="124" s="1"/>
  <c r="H5" i="124"/>
  <c r="H9" i="124" s="1"/>
  <c r="S9" i="120"/>
  <c r="T9" i="120" s="1"/>
  <c r="R9" i="120"/>
  <c r="P9" i="120"/>
  <c r="O9" i="120"/>
  <c r="N9" i="120"/>
  <c r="L9" i="120"/>
  <c r="K9" i="120"/>
  <c r="J9" i="120"/>
  <c r="H9" i="120"/>
  <c r="G9" i="120"/>
  <c r="F9" i="120"/>
  <c r="W9" i="119"/>
  <c r="V9" i="119"/>
  <c r="X9" i="119" s="1"/>
  <c r="S9" i="119"/>
  <c r="T9" i="119" s="1"/>
  <c r="R9" i="119"/>
  <c r="P9" i="119"/>
  <c r="O9" i="119"/>
  <c r="N9" i="119"/>
  <c r="K9" i="119"/>
  <c r="L9" i="119" s="1"/>
  <c r="J9" i="119"/>
  <c r="G9" i="119"/>
  <c r="H9" i="119" s="1"/>
  <c r="F9" i="119"/>
  <c r="X9" i="118"/>
  <c r="W9" i="118"/>
  <c r="V9" i="118"/>
  <c r="T9" i="118"/>
  <c r="S9" i="118"/>
  <c r="R9" i="118"/>
  <c r="P9" i="118"/>
  <c r="O9" i="118"/>
  <c r="N9" i="118"/>
  <c r="K9" i="118"/>
  <c r="J9" i="118"/>
  <c r="L9" i="118" s="1"/>
  <c r="G9" i="118"/>
  <c r="H9" i="118" s="1"/>
  <c r="F9" i="118"/>
  <c r="X9" i="117"/>
  <c r="W9" i="117"/>
  <c r="V9" i="117"/>
  <c r="S9" i="117"/>
  <c r="T9" i="117" s="1"/>
  <c r="R9" i="117"/>
  <c r="O9" i="117"/>
  <c r="P9" i="117" s="1"/>
  <c r="N9" i="117"/>
  <c r="L9" i="117"/>
  <c r="K9" i="117"/>
  <c r="J9" i="117"/>
  <c r="H9" i="117"/>
  <c r="G9" i="117"/>
  <c r="F9" i="117"/>
  <c r="X9" i="116"/>
  <c r="W9" i="116"/>
  <c r="V9" i="116"/>
  <c r="S9" i="116"/>
  <c r="R9" i="116"/>
  <c r="T9" i="116" s="1"/>
  <c r="O9" i="116"/>
  <c r="P9" i="116" s="1"/>
  <c r="N9" i="116"/>
  <c r="L9" i="116"/>
  <c r="K9" i="116"/>
  <c r="J9" i="116"/>
  <c r="G9" i="116"/>
  <c r="H9" i="116" s="1"/>
  <c r="F9" i="116"/>
  <c r="N21" i="108"/>
  <c r="L21" i="108"/>
  <c r="J21" i="108"/>
  <c r="H21" i="108"/>
  <c r="N15" i="108"/>
  <c r="N23" i="108" s="1"/>
  <c r="L15" i="108"/>
  <c r="L23" i="108" s="1"/>
  <c r="J15" i="108"/>
  <c r="J23" i="108" s="1"/>
  <c r="H15" i="108"/>
  <c r="H23" i="108" s="1"/>
  <c r="X52" i="104"/>
  <c r="X47" i="104"/>
  <c r="X42" i="104"/>
  <c r="W38" i="104"/>
  <c r="V38" i="104"/>
  <c r="X37" i="104"/>
  <c r="X33" i="104"/>
  <c r="X31" i="104"/>
  <c r="X29" i="104"/>
  <c r="X38" i="104" s="1"/>
  <c r="X25" i="104"/>
  <c r="W21" i="104"/>
  <c r="V21" i="104"/>
  <c r="X20" i="104"/>
  <c r="X19" i="104"/>
  <c r="X18" i="104"/>
  <c r="X17" i="104"/>
  <c r="X16" i="104"/>
  <c r="X15" i="104"/>
  <c r="X21" i="104" s="1"/>
  <c r="X14" i="104"/>
  <c r="X13" i="104"/>
  <c r="W9" i="104"/>
  <c r="V9" i="104"/>
  <c r="X8" i="104"/>
  <c r="X9" i="104" s="1"/>
  <c r="X7" i="104"/>
  <c r="X6" i="104"/>
  <c r="X5" i="104"/>
  <c r="W21" i="103"/>
  <c r="N24" i="102"/>
  <c r="N21" i="102"/>
  <c r="N15" i="102"/>
  <c r="N23" i="102" s="1"/>
  <c r="N25" i="102" s="1"/>
  <c r="P42" i="96"/>
  <c r="H42" i="96"/>
  <c r="W9" i="88"/>
  <c r="S9" i="88"/>
  <c r="R9" i="88"/>
  <c r="O9" i="88"/>
  <c r="N9" i="88"/>
  <c r="K9" i="88"/>
  <c r="G9" i="88"/>
  <c r="V8" i="88"/>
  <c r="V9" i="88" s="1"/>
  <c r="T8" i="88"/>
  <c r="R8" i="88"/>
  <c r="N8" i="88"/>
  <c r="P8" i="88" s="1"/>
  <c r="L8" i="88"/>
  <c r="J8" i="88"/>
  <c r="J9" i="88" s="1"/>
  <c r="F8" i="88"/>
  <c r="F9" i="88" s="1"/>
  <c r="X7" i="88"/>
  <c r="T7" i="88"/>
  <c r="P7" i="88"/>
  <c r="L7" i="88"/>
  <c r="H7" i="88"/>
  <c r="X6" i="88"/>
  <c r="T6" i="88"/>
  <c r="P6" i="88"/>
  <c r="L6" i="88"/>
  <c r="L9" i="88" s="1"/>
  <c r="H6" i="88"/>
  <c r="X5" i="88"/>
  <c r="T5" i="88"/>
  <c r="T9" i="88" s="1"/>
  <c r="P5" i="88"/>
  <c r="P9" i="88" s="1"/>
  <c r="L5" i="88"/>
  <c r="H5" i="88"/>
  <c r="L52" i="87"/>
  <c r="H52" i="87"/>
  <c r="J50" i="87"/>
  <c r="F50" i="87"/>
  <c r="L47" i="87"/>
  <c r="H47" i="87"/>
  <c r="J45" i="87"/>
  <c r="F45" i="87"/>
  <c r="L42" i="87"/>
  <c r="H42" i="87"/>
  <c r="J40" i="87"/>
  <c r="F40" i="87"/>
  <c r="K38" i="87"/>
  <c r="J38" i="87"/>
  <c r="G38" i="87"/>
  <c r="F38" i="87"/>
  <c r="L37" i="87"/>
  <c r="H37" i="87"/>
  <c r="L33" i="87"/>
  <c r="H33" i="87"/>
  <c r="L31" i="87"/>
  <c r="H31" i="87"/>
  <c r="L29" i="87"/>
  <c r="L38" i="87" s="1"/>
  <c r="H29" i="87"/>
  <c r="H38" i="87" s="1"/>
  <c r="J27" i="87"/>
  <c r="F27" i="87"/>
  <c r="L25" i="87"/>
  <c r="H25" i="87"/>
  <c r="J23" i="87"/>
  <c r="F23" i="87"/>
  <c r="L21" i="87"/>
  <c r="K21" i="87"/>
  <c r="J21" i="87"/>
  <c r="G21" i="87"/>
  <c r="F21" i="87"/>
  <c r="L20" i="87"/>
  <c r="H20" i="87"/>
  <c r="L19" i="87"/>
  <c r="H19" i="87"/>
  <c r="L18" i="87"/>
  <c r="H18" i="87"/>
  <c r="L17" i="87"/>
  <c r="H17" i="87"/>
  <c r="L16" i="87"/>
  <c r="H16" i="87"/>
  <c r="L15" i="87"/>
  <c r="H15" i="87"/>
  <c r="L14" i="87"/>
  <c r="H14" i="87"/>
  <c r="L13" i="87"/>
  <c r="H13" i="87"/>
  <c r="H21" i="87" s="1"/>
  <c r="J11" i="87"/>
  <c r="F11" i="87"/>
  <c r="W9" i="87"/>
  <c r="S9" i="87"/>
  <c r="R9" i="87"/>
  <c r="O9" i="87"/>
  <c r="N9" i="87"/>
  <c r="K9" i="87"/>
  <c r="G9" i="87"/>
  <c r="V8" i="87"/>
  <c r="V9" i="87" s="1"/>
  <c r="T8" i="87"/>
  <c r="R8" i="87"/>
  <c r="N8" i="87"/>
  <c r="P8" i="87" s="1"/>
  <c r="L8" i="87"/>
  <c r="J8" i="87"/>
  <c r="J9" i="87" s="1"/>
  <c r="F8" i="87"/>
  <c r="F9" i="87" s="1"/>
  <c r="X7" i="87"/>
  <c r="T7" i="87"/>
  <c r="P7" i="87"/>
  <c r="L7" i="87"/>
  <c r="H7" i="87"/>
  <c r="X6" i="87"/>
  <c r="T6" i="87"/>
  <c r="P6" i="87"/>
  <c r="L6" i="87"/>
  <c r="L9" i="87" s="1"/>
  <c r="H6" i="87"/>
  <c r="X5" i="87"/>
  <c r="T5" i="87"/>
  <c r="T9" i="87" s="1"/>
  <c r="P5" i="87"/>
  <c r="P9" i="87" s="1"/>
  <c r="L5" i="87"/>
  <c r="H5" i="87"/>
  <c r="H24" i="83"/>
  <c r="F23" i="83"/>
  <c r="H21" i="83"/>
  <c r="F21" i="83"/>
  <c r="F24" i="83" s="1"/>
  <c r="F25" i="83" s="1"/>
  <c r="H15" i="83"/>
  <c r="H23" i="83" s="1"/>
  <c r="H25" i="83" s="1"/>
  <c r="F15" i="83"/>
  <c r="P38" i="128" l="1"/>
  <c r="P21" i="128"/>
  <c r="L21" i="128"/>
  <c r="P9" i="128"/>
  <c r="H38" i="128"/>
  <c r="H21" i="128"/>
  <c r="L38" i="128"/>
  <c r="H8" i="87"/>
  <c r="H9" i="87" s="1"/>
  <c r="X8" i="87"/>
  <c r="X9" i="87" s="1"/>
  <c r="H8" i="88"/>
  <c r="H9" i="88" s="1"/>
  <c r="X8" i="88"/>
  <c r="X9" i="88" s="1"/>
  <c r="N24" i="108"/>
  <c r="N25" i="108" s="1"/>
  <c r="L24" i="108"/>
  <c r="L25" i="108" s="1"/>
  <c r="H24" i="108"/>
  <c r="H25" i="108" s="1"/>
  <c r="J24" i="108"/>
  <c r="J25" i="108" s="1"/>
  <c r="P52" i="79" l="1"/>
  <c r="L52" i="79"/>
  <c r="H52" i="79"/>
  <c r="P47" i="79"/>
  <c r="L47" i="79"/>
  <c r="H47" i="79"/>
  <c r="P42" i="79"/>
  <c r="L42" i="79"/>
  <c r="H42" i="79"/>
  <c r="O38" i="79"/>
  <c r="N38" i="79"/>
  <c r="K38" i="79"/>
  <c r="J38" i="79"/>
  <c r="G38" i="79"/>
  <c r="F38" i="79"/>
  <c r="P37" i="79"/>
  <c r="L37" i="79"/>
  <c r="H37" i="79"/>
  <c r="P33" i="79"/>
  <c r="L33" i="79"/>
  <c r="H33" i="79"/>
  <c r="P31" i="79"/>
  <c r="L31" i="79"/>
  <c r="H31" i="79"/>
  <c r="P29" i="79"/>
  <c r="P38" i="79" s="1"/>
  <c r="L29" i="79"/>
  <c r="H29" i="79"/>
  <c r="H38" i="79" s="1"/>
  <c r="P25" i="79"/>
  <c r="L25" i="79"/>
  <c r="H25" i="79"/>
  <c r="O21" i="79"/>
  <c r="N21" i="79"/>
  <c r="K21" i="79"/>
  <c r="J21" i="79"/>
  <c r="G21" i="79"/>
  <c r="F21" i="79"/>
  <c r="P20" i="79"/>
  <c r="L20" i="79"/>
  <c r="H20" i="79"/>
  <c r="P19" i="79"/>
  <c r="L19" i="79"/>
  <c r="H19" i="79"/>
  <c r="P18" i="79"/>
  <c r="L18" i="79"/>
  <c r="H18" i="79"/>
  <c r="P17" i="79"/>
  <c r="L17" i="79"/>
  <c r="H17" i="79"/>
  <c r="P16" i="79"/>
  <c r="L16" i="79"/>
  <c r="H16" i="79"/>
  <c r="P15" i="79"/>
  <c r="L15" i="79"/>
  <c r="H15" i="79"/>
  <c r="P14" i="79"/>
  <c r="L14" i="79"/>
  <c r="H14" i="79"/>
  <c r="P13" i="79"/>
  <c r="L13" i="79"/>
  <c r="H13" i="79"/>
  <c r="O9" i="79"/>
  <c r="N9" i="79"/>
  <c r="K9" i="79"/>
  <c r="J9" i="79"/>
  <c r="G9" i="79"/>
  <c r="F9" i="79"/>
  <c r="P8" i="79"/>
  <c r="L8" i="79"/>
  <c r="H8" i="79"/>
  <c r="P7" i="79"/>
  <c r="L7" i="79"/>
  <c r="H7" i="79"/>
  <c r="P6" i="79"/>
  <c r="L6" i="79"/>
  <c r="H6" i="79"/>
  <c r="P5" i="79"/>
  <c r="P9" i="79" s="1"/>
  <c r="L5" i="79"/>
  <c r="H5" i="79"/>
  <c r="G53" i="78"/>
  <c r="X52" i="78"/>
  <c r="T52" i="78"/>
  <c r="P52" i="78"/>
  <c r="L52" i="78"/>
  <c r="X47" i="78"/>
  <c r="T47" i="78"/>
  <c r="P47" i="78"/>
  <c r="L47" i="78"/>
  <c r="H47" i="78"/>
  <c r="X42" i="78"/>
  <c r="T42" i="78"/>
  <c r="P42" i="78"/>
  <c r="L42" i="78"/>
  <c r="W38" i="78"/>
  <c r="V38" i="78"/>
  <c r="S38" i="78"/>
  <c r="R38" i="78"/>
  <c r="O38" i="78"/>
  <c r="N38" i="78"/>
  <c r="K38" i="78"/>
  <c r="J38" i="78"/>
  <c r="X37" i="78"/>
  <c r="T37" i="78"/>
  <c r="P37" i="78"/>
  <c r="L37" i="78"/>
  <c r="X33" i="78"/>
  <c r="T33" i="78"/>
  <c r="P33" i="78"/>
  <c r="L33" i="78"/>
  <c r="H33" i="78"/>
  <c r="X31" i="78"/>
  <c r="T31" i="78"/>
  <c r="P31" i="78"/>
  <c r="L31" i="78"/>
  <c r="H31" i="78"/>
  <c r="X29" i="78"/>
  <c r="T29" i="78"/>
  <c r="P29" i="78"/>
  <c r="P38" i="78" s="1"/>
  <c r="L29" i="78"/>
  <c r="L38" i="78" s="1"/>
  <c r="H29" i="78"/>
  <c r="X25" i="78"/>
  <c r="T25" i="78"/>
  <c r="P25" i="78"/>
  <c r="L25" i="78"/>
  <c r="G25" i="78"/>
  <c r="W21" i="78"/>
  <c r="V21" i="78"/>
  <c r="S21" i="78"/>
  <c r="R21" i="78"/>
  <c r="O21" i="78"/>
  <c r="N21" i="78"/>
  <c r="K21" i="78"/>
  <c r="J21" i="78"/>
  <c r="X20" i="78"/>
  <c r="T20" i="78"/>
  <c r="P20" i="78"/>
  <c r="L20" i="78"/>
  <c r="H20" i="78"/>
  <c r="X19" i="78"/>
  <c r="T19" i="78"/>
  <c r="P19" i="78"/>
  <c r="L19" i="78"/>
  <c r="H19" i="78"/>
  <c r="X18" i="78"/>
  <c r="T18" i="78"/>
  <c r="P18" i="78"/>
  <c r="L18" i="78"/>
  <c r="H18" i="78"/>
  <c r="X17" i="78"/>
  <c r="T17" i="78"/>
  <c r="P17" i="78"/>
  <c r="L17" i="78"/>
  <c r="H17" i="78"/>
  <c r="X16" i="78"/>
  <c r="T16" i="78"/>
  <c r="P16" i="78"/>
  <c r="L16" i="78"/>
  <c r="H16" i="78"/>
  <c r="X15" i="78"/>
  <c r="T15" i="78"/>
  <c r="P15" i="78"/>
  <c r="L15" i="78"/>
  <c r="H15" i="78"/>
  <c r="X14" i="78"/>
  <c r="T14" i="78"/>
  <c r="P14" i="78"/>
  <c r="L14" i="78"/>
  <c r="H14" i="78"/>
  <c r="X13" i="78"/>
  <c r="T13" i="78"/>
  <c r="P13" i="78"/>
  <c r="L13" i="78"/>
  <c r="H13" i="78"/>
  <c r="W9" i="78"/>
  <c r="V9" i="78"/>
  <c r="S9" i="78"/>
  <c r="R9" i="78"/>
  <c r="O9" i="78"/>
  <c r="N9" i="78"/>
  <c r="K9" i="78"/>
  <c r="J9" i="78"/>
  <c r="X8" i="78"/>
  <c r="T8" i="78"/>
  <c r="P8" i="78"/>
  <c r="L8" i="78"/>
  <c r="X7" i="78"/>
  <c r="T7" i="78"/>
  <c r="P7" i="78"/>
  <c r="L7" i="78"/>
  <c r="X6" i="78"/>
  <c r="T6" i="78"/>
  <c r="P6" i="78"/>
  <c r="L6" i="78"/>
  <c r="X5" i="78"/>
  <c r="T5" i="78"/>
  <c r="T9" i="78" s="1"/>
  <c r="P5" i="78"/>
  <c r="P9" i="78" s="1"/>
  <c r="L5" i="78"/>
  <c r="L9" i="78" s="1"/>
  <c r="X52" i="77"/>
  <c r="T52" i="77"/>
  <c r="P52" i="77"/>
  <c r="L52" i="77"/>
  <c r="H52" i="77"/>
  <c r="X47" i="77"/>
  <c r="T47" i="77"/>
  <c r="P47" i="77"/>
  <c r="L47" i="77"/>
  <c r="H47" i="77"/>
  <c r="X42" i="77"/>
  <c r="T42" i="77"/>
  <c r="P42" i="77"/>
  <c r="L42" i="77"/>
  <c r="H42" i="77"/>
  <c r="W38" i="77"/>
  <c r="V38" i="77"/>
  <c r="S38" i="77"/>
  <c r="R38" i="77"/>
  <c r="O38" i="77"/>
  <c r="N38" i="77"/>
  <c r="K38" i="77"/>
  <c r="J38" i="77"/>
  <c r="G38" i="77"/>
  <c r="F38" i="77"/>
  <c r="X37" i="77"/>
  <c r="T37" i="77"/>
  <c r="P37" i="77"/>
  <c r="L37" i="77"/>
  <c r="H37" i="77"/>
  <c r="X33" i="77"/>
  <c r="T33" i="77"/>
  <c r="P33" i="77"/>
  <c r="P38" i="77" s="1"/>
  <c r="L33" i="77"/>
  <c r="H33" i="77"/>
  <c r="X31" i="77"/>
  <c r="T31" i="77"/>
  <c r="P31" i="77"/>
  <c r="L31" i="77"/>
  <c r="H31" i="77"/>
  <c r="X29" i="77"/>
  <c r="X38" i="77" s="1"/>
  <c r="T29" i="77"/>
  <c r="T38" i="77" s="1"/>
  <c r="P29" i="77"/>
  <c r="L29" i="77"/>
  <c r="L38" i="77" s="1"/>
  <c r="H29" i="77"/>
  <c r="H38" i="77" s="1"/>
  <c r="X25" i="77"/>
  <c r="T25" i="77"/>
  <c r="P25" i="77"/>
  <c r="L25" i="77"/>
  <c r="H25" i="77"/>
  <c r="W21" i="77"/>
  <c r="V21" i="77"/>
  <c r="S21" i="77"/>
  <c r="R21" i="77"/>
  <c r="O21" i="77"/>
  <c r="N21" i="77"/>
  <c r="K21" i="77"/>
  <c r="J21" i="77"/>
  <c r="G21" i="77"/>
  <c r="F21" i="77"/>
  <c r="X20" i="77"/>
  <c r="T20" i="77"/>
  <c r="P20" i="77"/>
  <c r="L20" i="77"/>
  <c r="H20" i="77"/>
  <c r="X19" i="77"/>
  <c r="T19" i="77"/>
  <c r="P19" i="77"/>
  <c r="L19" i="77"/>
  <c r="H19" i="77"/>
  <c r="X18" i="77"/>
  <c r="T18" i="77"/>
  <c r="P18" i="77"/>
  <c r="L18" i="77"/>
  <c r="H18" i="77"/>
  <c r="X17" i="77"/>
  <c r="T17" i="77"/>
  <c r="P17" i="77"/>
  <c r="L17" i="77"/>
  <c r="H17" i="77"/>
  <c r="X16" i="77"/>
  <c r="T16" i="77"/>
  <c r="P16" i="77"/>
  <c r="L16" i="77"/>
  <c r="H16" i="77"/>
  <c r="X15" i="77"/>
  <c r="T15" i="77"/>
  <c r="P15" i="77"/>
  <c r="L15" i="77"/>
  <c r="H15" i="77"/>
  <c r="X14" i="77"/>
  <c r="T14" i="77"/>
  <c r="P14" i="77"/>
  <c r="L14" i="77"/>
  <c r="H14" i="77"/>
  <c r="X13" i="77"/>
  <c r="T13" i="77"/>
  <c r="T21" i="77" s="1"/>
  <c r="P13" i="77"/>
  <c r="L13" i="77"/>
  <c r="H13" i="77"/>
  <c r="W9" i="77"/>
  <c r="V9" i="77"/>
  <c r="S9" i="77"/>
  <c r="R9" i="77"/>
  <c r="O9" i="77"/>
  <c r="N9" i="77"/>
  <c r="K9" i="77"/>
  <c r="J9" i="77"/>
  <c r="G9" i="77"/>
  <c r="F9" i="77"/>
  <c r="X8" i="77"/>
  <c r="T8" i="77"/>
  <c r="P8" i="77"/>
  <c r="L8" i="77"/>
  <c r="H8" i="77"/>
  <c r="X7" i="77"/>
  <c r="T7" i="77"/>
  <c r="P7" i="77"/>
  <c r="L7" i="77"/>
  <c r="H7" i="77"/>
  <c r="X6" i="77"/>
  <c r="T6" i="77"/>
  <c r="P6" i="77"/>
  <c r="L6" i="77"/>
  <c r="H6" i="77"/>
  <c r="X5" i="77"/>
  <c r="X9" i="77" s="1"/>
  <c r="T5" i="77"/>
  <c r="P5" i="77"/>
  <c r="P9" i="77" s="1"/>
  <c r="L5" i="77"/>
  <c r="L9" i="77" s="1"/>
  <c r="H5" i="77"/>
  <c r="X52" i="76"/>
  <c r="T52" i="76"/>
  <c r="P52" i="76"/>
  <c r="L52" i="76"/>
  <c r="H52" i="76"/>
  <c r="X47" i="76"/>
  <c r="T47" i="76"/>
  <c r="P47" i="76"/>
  <c r="L47" i="76"/>
  <c r="H47" i="76"/>
  <c r="X42" i="76"/>
  <c r="T42" i="76"/>
  <c r="P42" i="76"/>
  <c r="L42" i="76"/>
  <c r="H42" i="76"/>
  <c r="W38" i="76"/>
  <c r="V38" i="76"/>
  <c r="S38" i="76"/>
  <c r="R38" i="76"/>
  <c r="O38" i="76"/>
  <c r="N38" i="76"/>
  <c r="K38" i="76"/>
  <c r="J38" i="76"/>
  <c r="G38" i="76"/>
  <c r="F38" i="76"/>
  <c r="X37" i="76"/>
  <c r="T37" i="76"/>
  <c r="P37" i="76"/>
  <c r="L37" i="76"/>
  <c r="H37" i="76"/>
  <c r="X33" i="76"/>
  <c r="T33" i="76"/>
  <c r="P33" i="76"/>
  <c r="L33" i="76"/>
  <c r="H33" i="76"/>
  <c r="X31" i="76"/>
  <c r="T31" i="76"/>
  <c r="P31" i="76"/>
  <c r="L31" i="76"/>
  <c r="H31" i="76"/>
  <c r="X29" i="76"/>
  <c r="X38" i="76" s="1"/>
  <c r="T29" i="76"/>
  <c r="T38" i="76" s="1"/>
  <c r="P29" i="76"/>
  <c r="L29" i="76"/>
  <c r="L38" i="76" s="1"/>
  <c r="H29" i="76"/>
  <c r="X25" i="76"/>
  <c r="T25" i="76"/>
  <c r="H25" i="76"/>
  <c r="W21" i="76"/>
  <c r="S21" i="76"/>
  <c r="R21" i="76"/>
  <c r="O21" i="76"/>
  <c r="N21" i="76"/>
  <c r="K21" i="76"/>
  <c r="J21" i="76"/>
  <c r="G21" i="76"/>
  <c r="F21" i="76"/>
  <c r="X20" i="76"/>
  <c r="T20" i="76"/>
  <c r="P20" i="76"/>
  <c r="L20" i="76"/>
  <c r="H20" i="76"/>
  <c r="X19" i="76"/>
  <c r="T19" i="76"/>
  <c r="P19" i="76"/>
  <c r="L19" i="76"/>
  <c r="H19" i="76"/>
  <c r="X18" i="76"/>
  <c r="T18" i="76"/>
  <c r="P18" i="76"/>
  <c r="L18" i="76"/>
  <c r="H18" i="76"/>
  <c r="X17" i="76"/>
  <c r="T17" i="76"/>
  <c r="P17" i="76"/>
  <c r="L17" i="76"/>
  <c r="H17" i="76"/>
  <c r="X16" i="76"/>
  <c r="T16" i="76"/>
  <c r="P16" i="76"/>
  <c r="L16" i="76"/>
  <c r="H16" i="76"/>
  <c r="X15" i="76"/>
  <c r="T15" i="76"/>
  <c r="P15" i="76"/>
  <c r="L15" i="76"/>
  <c r="H15" i="76"/>
  <c r="X14" i="76"/>
  <c r="T14" i="76"/>
  <c r="P14" i="76"/>
  <c r="L14" i="76"/>
  <c r="H14" i="76"/>
  <c r="X13" i="76"/>
  <c r="T13" i="76"/>
  <c r="T21" i="76" s="1"/>
  <c r="P13" i="76"/>
  <c r="L13" i="76"/>
  <c r="H13" i="76"/>
  <c r="W9" i="76"/>
  <c r="V9" i="76"/>
  <c r="S9" i="76"/>
  <c r="R9" i="76"/>
  <c r="O9" i="76"/>
  <c r="N9" i="76"/>
  <c r="K9" i="76"/>
  <c r="J9" i="76"/>
  <c r="G9" i="76"/>
  <c r="F9" i="76"/>
  <c r="X8" i="76"/>
  <c r="T8" i="76"/>
  <c r="P8" i="76"/>
  <c r="L8" i="76"/>
  <c r="H8" i="76"/>
  <c r="X7" i="76"/>
  <c r="T7" i="76"/>
  <c r="P7" i="76"/>
  <c r="L7" i="76"/>
  <c r="H7" i="76"/>
  <c r="X6" i="76"/>
  <c r="T6" i="76"/>
  <c r="P6" i="76"/>
  <c r="L6" i="76"/>
  <c r="H6" i="76"/>
  <c r="X5" i="76"/>
  <c r="T5" i="76"/>
  <c r="T9" i="76" s="1"/>
  <c r="P5" i="76"/>
  <c r="L5" i="76"/>
  <c r="L9" i="76" s="1"/>
  <c r="H5" i="76"/>
  <c r="H9" i="76" s="1"/>
  <c r="P21" i="76" l="1"/>
  <c r="P21" i="78"/>
  <c r="P9" i="76"/>
  <c r="H38" i="76"/>
  <c r="T9" i="77"/>
  <c r="X21" i="77"/>
  <c r="H9" i="79"/>
  <c r="L21" i="76"/>
  <c r="X21" i="76"/>
  <c r="T38" i="78"/>
  <c r="L9" i="79"/>
  <c r="X9" i="76"/>
  <c r="L21" i="78"/>
  <c r="X38" i="78"/>
  <c r="H21" i="79"/>
  <c r="P21" i="77"/>
  <c r="X9" i="78"/>
  <c r="L21" i="79"/>
  <c r="H21" i="76"/>
  <c r="P38" i="76"/>
  <c r="H21" i="77"/>
  <c r="T21" i="78"/>
  <c r="P21" i="79"/>
  <c r="L38" i="79"/>
  <c r="H9" i="77"/>
  <c r="L21" i="77"/>
  <c r="X21" i="78"/>
  <c r="L5" i="71"/>
  <c r="P5" i="71"/>
  <c r="T5" i="71"/>
  <c r="L6" i="71"/>
  <c r="L9" i="71" s="1"/>
  <c r="P6" i="71"/>
  <c r="T6" i="71"/>
  <c r="L7" i="71"/>
  <c r="P7" i="71"/>
  <c r="T7" i="71"/>
  <c r="L8" i="71"/>
  <c r="P8" i="71"/>
  <c r="T8" i="71"/>
  <c r="J9" i="71"/>
  <c r="K9" i="71"/>
  <c r="N9" i="71"/>
  <c r="O9" i="71"/>
  <c r="R9" i="71"/>
  <c r="S9" i="71"/>
  <c r="L13" i="71"/>
  <c r="P13" i="71"/>
  <c r="T13" i="71"/>
  <c r="L14" i="71"/>
  <c r="P14" i="71"/>
  <c r="T14" i="71"/>
  <c r="L15" i="71"/>
  <c r="P15" i="71"/>
  <c r="T15" i="71"/>
  <c r="L16" i="71"/>
  <c r="P16" i="71"/>
  <c r="T16" i="71"/>
  <c r="L17" i="71"/>
  <c r="P17" i="71"/>
  <c r="T17" i="71"/>
  <c r="L18" i="71"/>
  <c r="P18" i="71"/>
  <c r="T18" i="71"/>
  <c r="L19" i="71"/>
  <c r="P19" i="71"/>
  <c r="T19" i="71"/>
  <c r="L20" i="71"/>
  <c r="P20" i="71"/>
  <c r="T20" i="71"/>
  <c r="J21" i="71"/>
  <c r="K21" i="71"/>
  <c r="N21" i="71"/>
  <c r="O21" i="71"/>
  <c r="R21" i="71"/>
  <c r="S21" i="71"/>
  <c r="L25" i="71"/>
  <c r="P25" i="71"/>
  <c r="T25" i="71"/>
  <c r="L29" i="71"/>
  <c r="L38" i="71" s="1"/>
  <c r="P29" i="71"/>
  <c r="T29" i="71"/>
  <c r="L31" i="71"/>
  <c r="P31" i="71"/>
  <c r="T31" i="71"/>
  <c r="T38" i="71" s="1"/>
  <c r="L33" i="71"/>
  <c r="P33" i="71"/>
  <c r="P38" i="71" s="1"/>
  <c r="T33" i="71"/>
  <c r="L37" i="71"/>
  <c r="P37" i="71"/>
  <c r="T37" i="71"/>
  <c r="J38" i="71"/>
  <c r="K38" i="71"/>
  <c r="N38" i="71"/>
  <c r="O38" i="71"/>
  <c r="R38" i="71"/>
  <c r="S38" i="71"/>
  <c r="L42" i="71"/>
  <c r="P42" i="71"/>
  <c r="T42" i="71"/>
  <c r="L47" i="71"/>
  <c r="P47" i="71"/>
  <c r="T47" i="71"/>
  <c r="L52" i="71"/>
  <c r="P52" i="71"/>
  <c r="T52" i="71"/>
  <c r="H5" i="70"/>
  <c r="L5" i="70"/>
  <c r="P5" i="70"/>
  <c r="P9" i="70" s="1"/>
  <c r="T5" i="70"/>
  <c r="X5" i="70"/>
  <c r="H6" i="70"/>
  <c r="L6" i="70"/>
  <c r="P6" i="70"/>
  <c r="T6" i="70"/>
  <c r="X6" i="70"/>
  <c r="H7" i="70"/>
  <c r="L7" i="70"/>
  <c r="P7" i="70"/>
  <c r="T7" i="70"/>
  <c r="X7" i="70"/>
  <c r="H8" i="70"/>
  <c r="L8" i="70"/>
  <c r="L9" i="70" s="1"/>
  <c r="P8" i="70"/>
  <c r="T8" i="70"/>
  <c r="X8" i="70"/>
  <c r="F9" i="70"/>
  <c r="G9" i="70"/>
  <c r="J9" i="70"/>
  <c r="K9" i="70"/>
  <c r="N9" i="70"/>
  <c r="O9" i="70"/>
  <c r="R9" i="70"/>
  <c r="S9" i="70"/>
  <c r="V9" i="70"/>
  <c r="W9" i="70"/>
  <c r="H13" i="70"/>
  <c r="L13" i="70"/>
  <c r="P13" i="70"/>
  <c r="T13" i="70"/>
  <c r="X13" i="70"/>
  <c r="X21" i="70" s="1"/>
  <c r="H14" i="70"/>
  <c r="L14" i="70"/>
  <c r="P14" i="70"/>
  <c r="T14" i="70"/>
  <c r="X14" i="70"/>
  <c r="H15" i="70"/>
  <c r="L15" i="70"/>
  <c r="P15" i="70"/>
  <c r="P21" i="70" s="1"/>
  <c r="T15" i="70"/>
  <c r="X15" i="70"/>
  <c r="H16" i="70"/>
  <c r="L16" i="70"/>
  <c r="P16" i="70"/>
  <c r="T16" i="70"/>
  <c r="X16" i="70"/>
  <c r="H17" i="70"/>
  <c r="L17" i="70"/>
  <c r="P17" i="70"/>
  <c r="T17" i="70"/>
  <c r="X17" i="70"/>
  <c r="H18" i="70"/>
  <c r="L18" i="70"/>
  <c r="P18" i="70"/>
  <c r="T18" i="70"/>
  <c r="X18" i="70"/>
  <c r="H19" i="70"/>
  <c r="L19" i="70"/>
  <c r="P19" i="70"/>
  <c r="T19" i="70"/>
  <c r="X19" i="70"/>
  <c r="H20" i="70"/>
  <c r="L20" i="70"/>
  <c r="L21" i="70" s="1"/>
  <c r="P20" i="70"/>
  <c r="T20" i="70"/>
  <c r="X20" i="70"/>
  <c r="F21" i="70"/>
  <c r="G21" i="70"/>
  <c r="J21" i="70"/>
  <c r="K21" i="70"/>
  <c r="N21" i="70"/>
  <c r="O21" i="70"/>
  <c r="R21" i="70"/>
  <c r="S21" i="70"/>
  <c r="V21" i="70"/>
  <c r="W21" i="70"/>
  <c r="H25" i="70"/>
  <c r="L25" i="70"/>
  <c r="P25" i="70"/>
  <c r="T25" i="70"/>
  <c r="X25" i="70"/>
  <c r="H29" i="70"/>
  <c r="L29" i="70"/>
  <c r="P29" i="70"/>
  <c r="T29" i="70"/>
  <c r="X29" i="70"/>
  <c r="H31" i="70"/>
  <c r="L31" i="70"/>
  <c r="L38" i="70" s="1"/>
  <c r="P31" i="70"/>
  <c r="T31" i="70"/>
  <c r="X31" i="70"/>
  <c r="H33" i="70"/>
  <c r="L33" i="70"/>
  <c r="P33" i="70"/>
  <c r="T33" i="70"/>
  <c r="X33" i="70"/>
  <c r="H37" i="70"/>
  <c r="L37" i="70"/>
  <c r="P37" i="70"/>
  <c r="T37" i="70"/>
  <c r="X37" i="70"/>
  <c r="F38" i="70"/>
  <c r="G38" i="70"/>
  <c r="J38" i="70"/>
  <c r="K38" i="70"/>
  <c r="N38" i="70"/>
  <c r="O38" i="70"/>
  <c r="R38" i="70"/>
  <c r="S38" i="70"/>
  <c r="V38" i="70"/>
  <c r="W38" i="70"/>
  <c r="H42" i="70"/>
  <c r="L42" i="70"/>
  <c r="P42" i="70"/>
  <c r="T42" i="70"/>
  <c r="X42" i="70"/>
  <c r="H47" i="70"/>
  <c r="L47" i="70"/>
  <c r="P47" i="70"/>
  <c r="T47" i="70"/>
  <c r="X47" i="70"/>
  <c r="H52" i="70"/>
  <c r="L52" i="70"/>
  <c r="P52" i="70"/>
  <c r="T52" i="70"/>
  <c r="X52" i="70"/>
  <c r="H5" i="69"/>
  <c r="L5" i="69"/>
  <c r="P5" i="69"/>
  <c r="T5" i="69"/>
  <c r="X5" i="69"/>
  <c r="H6" i="69"/>
  <c r="L6" i="69"/>
  <c r="L9" i="69" s="1"/>
  <c r="P6" i="69"/>
  <c r="T6" i="69"/>
  <c r="X6" i="69"/>
  <c r="H7" i="69"/>
  <c r="L7" i="69"/>
  <c r="P7" i="69"/>
  <c r="T7" i="69"/>
  <c r="X7" i="69"/>
  <c r="X9" i="69" s="1"/>
  <c r="H8" i="69"/>
  <c r="L8" i="69"/>
  <c r="P8" i="69"/>
  <c r="T8" i="69"/>
  <c r="X8" i="69"/>
  <c r="F9" i="69"/>
  <c r="G9" i="69"/>
  <c r="J9" i="69"/>
  <c r="K9" i="69"/>
  <c r="N9" i="69"/>
  <c r="O9" i="69"/>
  <c r="R9" i="69"/>
  <c r="S9" i="69"/>
  <c r="T9" i="69"/>
  <c r="V9" i="69"/>
  <c r="W9" i="69"/>
  <c r="H13" i="69"/>
  <c r="L13" i="69"/>
  <c r="P13" i="69"/>
  <c r="T13" i="69"/>
  <c r="X13" i="69"/>
  <c r="H14" i="69"/>
  <c r="L14" i="69"/>
  <c r="P14" i="69"/>
  <c r="P21" i="69" s="1"/>
  <c r="T14" i="69"/>
  <c r="X14" i="69"/>
  <c r="H15" i="69"/>
  <c r="L15" i="69"/>
  <c r="P15" i="69"/>
  <c r="T15" i="69"/>
  <c r="X15" i="69"/>
  <c r="H16" i="69"/>
  <c r="L16" i="69"/>
  <c r="P16" i="69"/>
  <c r="T16" i="69"/>
  <c r="X16" i="69"/>
  <c r="H17" i="69"/>
  <c r="L17" i="69"/>
  <c r="P17" i="69"/>
  <c r="T17" i="69"/>
  <c r="X17" i="69"/>
  <c r="H18" i="69"/>
  <c r="L18" i="69"/>
  <c r="P18" i="69"/>
  <c r="T18" i="69"/>
  <c r="X18" i="69"/>
  <c r="H19" i="69"/>
  <c r="L19" i="69"/>
  <c r="P19" i="69"/>
  <c r="T19" i="69"/>
  <c r="X19" i="69"/>
  <c r="H20" i="69"/>
  <c r="L20" i="69"/>
  <c r="P20" i="69"/>
  <c r="T20" i="69"/>
  <c r="X20" i="69"/>
  <c r="F21" i="69"/>
  <c r="G21" i="69"/>
  <c r="J21" i="69"/>
  <c r="K21" i="69"/>
  <c r="N21" i="69"/>
  <c r="O21" i="69"/>
  <c r="R21" i="69"/>
  <c r="S21" i="69"/>
  <c r="W21" i="69"/>
  <c r="H25" i="69"/>
  <c r="T25" i="69"/>
  <c r="X25" i="69"/>
  <c r="H29" i="69"/>
  <c r="L29" i="69"/>
  <c r="P29" i="69"/>
  <c r="T29" i="69"/>
  <c r="T38" i="69" s="1"/>
  <c r="X29" i="69"/>
  <c r="H31" i="69"/>
  <c r="L31" i="69"/>
  <c r="P31" i="69"/>
  <c r="T31" i="69"/>
  <c r="X31" i="69"/>
  <c r="H33" i="69"/>
  <c r="L33" i="69"/>
  <c r="P33" i="69"/>
  <c r="T33" i="69"/>
  <c r="X33" i="69"/>
  <c r="H37" i="69"/>
  <c r="L37" i="69"/>
  <c r="P37" i="69"/>
  <c r="T37" i="69"/>
  <c r="X37" i="69"/>
  <c r="X38" i="69" s="1"/>
  <c r="F38" i="69"/>
  <c r="G38" i="69"/>
  <c r="J38" i="69"/>
  <c r="K38" i="69"/>
  <c r="N38" i="69"/>
  <c r="O38" i="69"/>
  <c r="R38" i="69"/>
  <c r="S38" i="69"/>
  <c r="V38" i="69"/>
  <c r="W38" i="69"/>
  <c r="H42" i="69"/>
  <c r="L42" i="69"/>
  <c r="P42" i="69"/>
  <c r="T42" i="69"/>
  <c r="X42" i="69"/>
  <c r="H47" i="69"/>
  <c r="L47" i="69"/>
  <c r="P47" i="69"/>
  <c r="T47" i="69"/>
  <c r="X47" i="69"/>
  <c r="H52" i="69"/>
  <c r="L52" i="69"/>
  <c r="P52" i="69"/>
  <c r="T52" i="69"/>
  <c r="X52" i="69"/>
  <c r="H5" i="68"/>
  <c r="H9" i="68" s="1"/>
  <c r="L5" i="68"/>
  <c r="P5" i="68"/>
  <c r="T5" i="68"/>
  <c r="X5" i="68"/>
  <c r="H6" i="68"/>
  <c r="L6" i="68"/>
  <c r="L9" i="68" s="1"/>
  <c r="P6" i="68"/>
  <c r="T6" i="68"/>
  <c r="T9" i="68" s="1"/>
  <c r="X6" i="68"/>
  <c r="H7" i="68"/>
  <c r="L7" i="68"/>
  <c r="P7" i="68"/>
  <c r="T7" i="68"/>
  <c r="X7" i="68"/>
  <c r="H8" i="68"/>
  <c r="L8" i="68"/>
  <c r="P8" i="68"/>
  <c r="T8" i="68"/>
  <c r="X8" i="68"/>
  <c r="F9" i="68"/>
  <c r="G9" i="68"/>
  <c r="J9" i="68"/>
  <c r="K9" i="68"/>
  <c r="N9" i="68"/>
  <c r="O9" i="68"/>
  <c r="R9" i="68"/>
  <c r="S9" i="68"/>
  <c r="V9" i="68"/>
  <c r="W9" i="68"/>
  <c r="H13" i="68"/>
  <c r="L13" i="68"/>
  <c r="P13" i="68"/>
  <c r="T13" i="68"/>
  <c r="X13" i="68"/>
  <c r="H14" i="68"/>
  <c r="L14" i="68"/>
  <c r="P14" i="68"/>
  <c r="P21" i="68" s="1"/>
  <c r="T14" i="68"/>
  <c r="X14" i="68"/>
  <c r="X21" i="68" s="1"/>
  <c r="H15" i="68"/>
  <c r="L15" i="68"/>
  <c r="P15" i="68"/>
  <c r="T15" i="68"/>
  <c r="X15" i="68"/>
  <c r="H16" i="68"/>
  <c r="L16" i="68"/>
  <c r="P16" i="68"/>
  <c r="T16" i="68"/>
  <c r="X16" i="68"/>
  <c r="H17" i="68"/>
  <c r="L17" i="68"/>
  <c r="P17" i="68"/>
  <c r="T17" i="68"/>
  <c r="X17" i="68"/>
  <c r="H18" i="68"/>
  <c r="L18" i="68"/>
  <c r="P18" i="68"/>
  <c r="T18" i="68"/>
  <c r="X18" i="68"/>
  <c r="H19" i="68"/>
  <c r="L19" i="68"/>
  <c r="P19" i="68"/>
  <c r="T19" i="68"/>
  <c r="X19" i="68"/>
  <c r="H20" i="68"/>
  <c r="L20" i="68"/>
  <c r="P20" i="68"/>
  <c r="T20" i="68"/>
  <c r="X20" i="68"/>
  <c r="F21" i="68"/>
  <c r="G21" i="68"/>
  <c r="J21" i="68"/>
  <c r="K21" i="68"/>
  <c r="N21" i="68"/>
  <c r="O21" i="68"/>
  <c r="R21" i="68"/>
  <c r="S21" i="68"/>
  <c r="V21" i="68"/>
  <c r="W21" i="68"/>
  <c r="H25" i="68"/>
  <c r="L25" i="68"/>
  <c r="P25" i="68"/>
  <c r="T25" i="68"/>
  <c r="X25" i="68"/>
  <c r="H29" i="68"/>
  <c r="L29" i="68"/>
  <c r="L38" i="68" s="1"/>
  <c r="P29" i="68"/>
  <c r="T29" i="68"/>
  <c r="X29" i="68"/>
  <c r="H31" i="68"/>
  <c r="L31" i="68"/>
  <c r="P31" i="68"/>
  <c r="T31" i="68"/>
  <c r="X31" i="68"/>
  <c r="H33" i="68"/>
  <c r="L33" i="68"/>
  <c r="P33" i="68"/>
  <c r="T33" i="68"/>
  <c r="X33" i="68"/>
  <c r="H37" i="68"/>
  <c r="L37" i="68"/>
  <c r="P37" i="68"/>
  <c r="T37" i="68"/>
  <c r="X37" i="68"/>
  <c r="F38" i="68"/>
  <c r="G38" i="68"/>
  <c r="J38" i="68"/>
  <c r="K38" i="68"/>
  <c r="N38" i="68"/>
  <c r="O38" i="68"/>
  <c r="R38" i="68"/>
  <c r="S38" i="68"/>
  <c r="V38" i="68"/>
  <c r="W38" i="68"/>
  <c r="X38" i="68"/>
  <c r="H42" i="68"/>
  <c r="L42" i="68"/>
  <c r="P42" i="68"/>
  <c r="T42" i="68"/>
  <c r="X42" i="68"/>
  <c r="H47" i="68"/>
  <c r="L47" i="68"/>
  <c r="P47" i="68"/>
  <c r="T47" i="68"/>
  <c r="X47" i="68"/>
  <c r="H52" i="68"/>
  <c r="L52" i="68"/>
  <c r="P52" i="68"/>
  <c r="T52" i="68"/>
  <c r="X52" i="68"/>
  <c r="H5" i="67"/>
  <c r="H9" i="67" s="1"/>
  <c r="L5" i="67"/>
  <c r="P5" i="67"/>
  <c r="T5" i="67"/>
  <c r="X5" i="67"/>
  <c r="H6" i="67"/>
  <c r="L6" i="67"/>
  <c r="P6" i="67"/>
  <c r="T6" i="67"/>
  <c r="T9" i="67" s="1"/>
  <c r="X6" i="67"/>
  <c r="H7" i="67"/>
  <c r="L7" i="67"/>
  <c r="P7" i="67"/>
  <c r="T7" i="67"/>
  <c r="X7" i="67"/>
  <c r="H8" i="67"/>
  <c r="L8" i="67"/>
  <c r="L9" i="67" s="1"/>
  <c r="P8" i="67"/>
  <c r="T8" i="67"/>
  <c r="X8" i="67"/>
  <c r="F9" i="67"/>
  <c r="G9" i="67"/>
  <c r="J9" i="67"/>
  <c r="K9" i="67"/>
  <c r="N9" i="67"/>
  <c r="O9" i="67"/>
  <c r="R9" i="67"/>
  <c r="S9" i="67"/>
  <c r="V9" i="67"/>
  <c r="W9" i="67"/>
  <c r="H13" i="67"/>
  <c r="L13" i="67"/>
  <c r="P13" i="67"/>
  <c r="T13" i="67"/>
  <c r="X13" i="67"/>
  <c r="H14" i="67"/>
  <c r="L14" i="67"/>
  <c r="P14" i="67"/>
  <c r="T14" i="67"/>
  <c r="X14" i="67"/>
  <c r="H15" i="67"/>
  <c r="L15" i="67"/>
  <c r="P15" i="67"/>
  <c r="T15" i="67"/>
  <c r="X15" i="67"/>
  <c r="H16" i="67"/>
  <c r="L16" i="67"/>
  <c r="L21" i="67" s="1"/>
  <c r="P16" i="67"/>
  <c r="T16" i="67"/>
  <c r="X16" i="67"/>
  <c r="H17" i="67"/>
  <c r="L17" i="67"/>
  <c r="P17" i="67"/>
  <c r="T17" i="67"/>
  <c r="X17" i="67"/>
  <c r="H18" i="67"/>
  <c r="L18" i="67"/>
  <c r="P18" i="67"/>
  <c r="T18" i="67"/>
  <c r="X18" i="67"/>
  <c r="H19" i="67"/>
  <c r="L19" i="67"/>
  <c r="P19" i="67"/>
  <c r="T19" i="67"/>
  <c r="X19" i="67"/>
  <c r="H20" i="67"/>
  <c r="L20" i="67"/>
  <c r="P20" i="67"/>
  <c r="T20" i="67"/>
  <c r="X20" i="67"/>
  <c r="F21" i="67"/>
  <c r="G21" i="67"/>
  <c r="J21" i="67"/>
  <c r="K21" i="67"/>
  <c r="N21" i="67"/>
  <c r="O21" i="67"/>
  <c r="R21" i="67"/>
  <c r="S21" i="67"/>
  <c r="W21" i="67"/>
  <c r="X21" i="67"/>
  <c r="H25" i="67"/>
  <c r="L25" i="67"/>
  <c r="P25" i="67"/>
  <c r="T25" i="67"/>
  <c r="X25" i="67"/>
  <c r="H29" i="67"/>
  <c r="L29" i="67"/>
  <c r="P29" i="67"/>
  <c r="P38" i="67" s="1"/>
  <c r="T29" i="67"/>
  <c r="X29" i="67"/>
  <c r="X38" i="67" s="1"/>
  <c r="H31" i="67"/>
  <c r="L31" i="67"/>
  <c r="P31" i="67"/>
  <c r="T31" i="67"/>
  <c r="X31" i="67"/>
  <c r="H33" i="67"/>
  <c r="L33" i="67"/>
  <c r="P33" i="67"/>
  <c r="T33" i="67"/>
  <c r="X33" i="67"/>
  <c r="H37" i="67"/>
  <c r="L37" i="67"/>
  <c r="P37" i="67"/>
  <c r="T37" i="67"/>
  <c r="X37" i="67"/>
  <c r="F38" i="67"/>
  <c r="G38" i="67"/>
  <c r="J38" i="67"/>
  <c r="K38" i="67"/>
  <c r="L38" i="67"/>
  <c r="N38" i="67"/>
  <c r="O38" i="67"/>
  <c r="R38" i="67"/>
  <c r="S38" i="67"/>
  <c r="V38" i="67"/>
  <c r="W38" i="67"/>
  <c r="H42" i="67"/>
  <c r="L42" i="67"/>
  <c r="P42" i="67"/>
  <c r="T42" i="67"/>
  <c r="X42" i="67"/>
  <c r="H47" i="67"/>
  <c r="L47" i="67"/>
  <c r="P47" i="67"/>
  <c r="T47" i="67"/>
  <c r="X47" i="67"/>
  <c r="H52" i="67"/>
  <c r="L52" i="67"/>
  <c r="P52" i="67"/>
  <c r="T52" i="67"/>
  <c r="X52" i="67"/>
  <c r="H5" i="66"/>
  <c r="L5" i="66"/>
  <c r="P5" i="66"/>
  <c r="T5" i="66"/>
  <c r="X5" i="66"/>
  <c r="H6" i="66"/>
  <c r="L6" i="66"/>
  <c r="P6" i="66"/>
  <c r="T6" i="66"/>
  <c r="X6" i="66"/>
  <c r="H7" i="66"/>
  <c r="L7" i="66"/>
  <c r="P7" i="66"/>
  <c r="T7" i="66"/>
  <c r="X7" i="66"/>
  <c r="H8" i="66"/>
  <c r="L8" i="66"/>
  <c r="P8" i="66"/>
  <c r="T8" i="66"/>
  <c r="X8" i="66"/>
  <c r="F9" i="66"/>
  <c r="G9" i="66"/>
  <c r="J9" i="66"/>
  <c r="K9" i="66"/>
  <c r="N9" i="66"/>
  <c r="O9" i="66"/>
  <c r="R9" i="66"/>
  <c r="S9" i="66"/>
  <c r="V9" i="66"/>
  <c r="W9" i="66"/>
  <c r="H13" i="66"/>
  <c r="L13" i="66"/>
  <c r="P13" i="66"/>
  <c r="T13" i="66"/>
  <c r="X13" i="66"/>
  <c r="H14" i="66"/>
  <c r="L14" i="66"/>
  <c r="P14" i="66"/>
  <c r="T14" i="66"/>
  <c r="X14" i="66"/>
  <c r="H15" i="66"/>
  <c r="L15" i="66"/>
  <c r="L21" i="66" s="1"/>
  <c r="P15" i="66"/>
  <c r="T15" i="66"/>
  <c r="X15" i="66"/>
  <c r="H16" i="66"/>
  <c r="L16" i="66"/>
  <c r="P16" i="66"/>
  <c r="T16" i="66"/>
  <c r="X16" i="66"/>
  <c r="H17" i="66"/>
  <c r="L17" i="66"/>
  <c r="P17" i="66"/>
  <c r="T17" i="66"/>
  <c r="X17" i="66"/>
  <c r="H18" i="66"/>
  <c r="L18" i="66"/>
  <c r="P18" i="66"/>
  <c r="T18" i="66"/>
  <c r="X18" i="66"/>
  <c r="H19" i="66"/>
  <c r="L19" i="66"/>
  <c r="P19" i="66"/>
  <c r="T19" i="66"/>
  <c r="X19" i="66"/>
  <c r="H20" i="66"/>
  <c r="L20" i="66"/>
  <c r="P20" i="66"/>
  <c r="T20" i="66"/>
  <c r="X20" i="66"/>
  <c r="F21" i="66"/>
  <c r="G21" i="66"/>
  <c r="J21" i="66"/>
  <c r="K21" i="66"/>
  <c r="N21" i="66"/>
  <c r="O21" i="66"/>
  <c r="R21" i="66"/>
  <c r="S21" i="66"/>
  <c r="V21" i="66"/>
  <c r="W21" i="66"/>
  <c r="H25" i="66"/>
  <c r="L25" i="66"/>
  <c r="P25" i="66"/>
  <c r="T25" i="66"/>
  <c r="X25" i="66"/>
  <c r="H29" i="66"/>
  <c r="L29" i="66"/>
  <c r="P29" i="66"/>
  <c r="T29" i="66"/>
  <c r="X29" i="66"/>
  <c r="H31" i="66"/>
  <c r="L31" i="66"/>
  <c r="P31" i="66"/>
  <c r="T31" i="66"/>
  <c r="X31" i="66"/>
  <c r="H33" i="66"/>
  <c r="L33" i="66"/>
  <c r="L38" i="66" s="1"/>
  <c r="P33" i="66"/>
  <c r="T33" i="66"/>
  <c r="X33" i="66"/>
  <c r="H37" i="66"/>
  <c r="L37" i="66"/>
  <c r="P37" i="66"/>
  <c r="T37" i="66"/>
  <c r="X37" i="66"/>
  <c r="F38" i="66"/>
  <c r="G38" i="66"/>
  <c r="J38" i="66"/>
  <c r="K38" i="66"/>
  <c r="N38" i="66"/>
  <c r="O38" i="66"/>
  <c r="R38" i="66"/>
  <c r="S38" i="66"/>
  <c r="V38" i="66"/>
  <c r="W38" i="66"/>
  <c r="H42" i="66"/>
  <c r="L42" i="66"/>
  <c r="P42" i="66"/>
  <c r="T42" i="66"/>
  <c r="X42" i="66"/>
  <c r="H47" i="66"/>
  <c r="L47" i="66"/>
  <c r="P47" i="66"/>
  <c r="T47" i="66"/>
  <c r="X47" i="66"/>
  <c r="H52" i="66"/>
  <c r="L52" i="66"/>
  <c r="P52" i="66"/>
  <c r="T52" i="66"/>
  <c r="X52" i="66"/>
  <c r="H5" i="65"/>
  <c r="L5" i="65"/>
  <c r="P5" i="65"/>
  <c r="T5" i="65"/>
  <c r="X5" i="65"/>
  <c r="H6" i="65"/>
  <c r="L6" i="65"/>
  <c r="P6" i="65"/>
  <c r="T6" i="65"/>
  <c r="X6" i="65"/>
  <c r="H7" i="65"/>
  <c r="L7" i="65"/>
  <c r="P7" i="65"/>
  <c r="T7" i="65"/>
  <c r="T9" i="65" s="1"/>
  <c r="X7" i="65"/>
  <c r="H8" i="65"/>
  <c r="H9" i="65" s="1"/>
  <c r="L8" i="65"/>
  <c r="P8" i="65"/>
  <c r="T8" i="65"/>
  <c r="X8" i="65"/>
  <c r="F9" i="65"/>
  <c r="G9" i="65"/>
  <c r="J9" i="65"/>
  <c r="K9" i="65"/>
  <c r="N9" i="65"/>
  <c r="O9" i="65"/>
  <c r="R9" i="65"/>
  <c r="S9" i="65"/>
  <c r="V9" i="65"/>
  <c r="W9" i="65"/>
  <c r="H13" i="65"/>
  <c r="L13" i="65"/>
  <c r="P13" i="65"/>
  <c r="T13" i="65"/>
  <c r="X13" i="65"/>
  <c r="H14" i="65"/>
  <c r="L14" i="65"/>
  <c r="P14" i="65"/>
  <c r="T14" i="65"/>
  <c r="X14" i="65"/>
  <c r="H15" i="65"/>
  <c r="L15" i="65"/>
  <c r="P15" i="65"/>
  <c r="T15" i="65"/>
  <c r="X15" i="65"/>
  <c r="H16" i="65"/>
  <c r="L16" i="65"/>
  <c r="P16" i="65"/>
  <c r="T16" i="65"/>
  <c r="X16" i="65"/>
  <c r="H17" i="65"/>
  <c r="L17" i="65"/>
  <c r="P17" i="65"/>
  <c r="T17" i="65"/>
  <c r="X17" i="65"/>
  <c r="H18" i="65"/>
  <c r="L18" i="65"/>
  <c r="P18" i="65"/>
  <c r="T18" i="65"/>
  <c r="X18" i="65"/>
  <c r="H19" i="65"/>
  <c r="L19" i="65"/>
  <c r="P19" i="65"/>
  <c r="T19" i="65"/>
  <c r="X19" i="65"/>
  <c r="H20" i="65"/>
  <c r="L20" i="65"/>
  <c r="P20" i="65"/>
  <c r="T20" i="65"/>
  <c r="X20" i="65"/>
  <c r="F21" i="65"/>
  <c r="G21" i="65"/>
  <c r="J21" i="65"/>
  <c r="K21" i="65"/>
  <c r="N21" i="65"/>
  <c r="O21" i="65"/>
  <c r="R21" i="65"/>
  <c r="S21" i="65"/>
  <c r="W21" i="65"/>
  <c r="H25" i="65"/>
  <c r="L25" i="65"/>
  <c r="P25" i="65"/>
  <c r="T25" i="65"/>
  <c r="X25" i="65"/>
  <c r="H29" i="65"/>
  <c r="L29" i="65"/>
  <c r="P29" i="65"/>
  <c r="T29" i="65"/>
  <c r="X29" i="65"/>
  <c r="H31" i="65"/>
  <c r="L31" i="65"/>
  <c r="P31" i="65"/>
  <c r="T31" i="65"/>
  <c r="X31" i="65"/>
  <c r="H33" i="65"/>
  <c r="L33" i="65"/>
  <c r="P33" i="65"/>
  <c r="T33" i="65"/>
  <c r="X33" i="65"/>
  <c r="H37" i="65"/>
  <c r="L37" i="65"/>
  <c r="P37" i="65"/>
  <c r="T37" i="65"/>
  <c r="X37" i="65"/>
  <c r="F38" i="65"/>
  <c r="G38" i="65"/>
  <c r="J38" i="65"/>
  <c r="K38" i="65"/>
  <c r="L38" i="65"/>
  <c r="N38" i="65"/>
  <c r="O38" i="65"/>
  <c r="R38" i="65"/>
  <c r="S38" i="65"/>
  <c r="V38" i="65"/>
  <c r="W38" i="65"/>
  <c r="H42" i="65"/>
  <c r="L42" i="65"/>
  <c r="P42" i="65"/>
  <c r="T42" i="65"/>
  <c r="X42" i="65"/>
  <c r="H47" i="65"/>
  <c r="L47" i="65"/>
  <c r="P47" i="65"/>
  <c r="T47" i="65"/>
  <c r="X47" i="65"/>
  <c r="H52" i="65"/>
  <c r="L52" i="65"/>
  <c r="P52" i="65"/>
  <c r="T52" i="65"/>
  <c r="X52" i="65"/>
  <c r="H5" i="64"/>
  <c r="L5" i="64"/>
  <c r="P5" i="64"/>
  <c r="T5" i="64"/>
  <c r="X5" i="64"/>
  <c r="H6" i="64"/>
  <c r="L6" i="64"/>
  <c r="L9" i="64" s="1"/>
  <c r="P6" i="64"/>
  <c r="T6" i="64"/>
  <c r="X6" i="64"/>
  <c r="H7" i="64"/>
  <c r="L7" i="64"/>
  <c r="P7" i="64"/>
  <c r="T7" i="64"/>
  <c r="X7" i="64"/>
  <c r="H8" i="64"/>
  <c r="L8" i="64"/>
  <c r="P8" i="64"/>
  <c r="T8" i="64"/>
  <c r="X8" i="64"/>
  <c r="F9" i="64"/>
  <c r="G9" i="64"/>
  <c r="J9" i="64"/>
  <c r="K9" i="64"/>
  <c r="N9" i="64"/>
  <c r="O9" i="64"/>
  <c r="R9" i="64"/>
  <c r="S9" i="64"/>
  <c r="T9" i="64"/>
  <c r="V9" i="64"/>
  <c r="W9" i="64"/>
  <c r="H13" i="64"/>
  <c r="L13" i="64"/>
  <c r="P13" i="64"/>
  <c r="T13" i="64"/>
  <c r="X13" i="64"/>
  <c r="H14" i="64"/>
  <c r="L14" i="64"/>
  <c r="P14" i="64"/>
  <c r="T14" i="64"/>
  <c r="X14" i="64"/>
  <c r="H15" i="64"/>
  <c r="L15" i="64"/>
  <c r="P15" i="64"/>
  <c r="T15" i="64"/>
  <c r="X15" i="64"/>
  <c r="H16" i="64"/>
  <c r="L16" i="64"/>
  <c r="P16" i="64"/>
  <c r="T16" i="64"/>
  <c r="X16" i="64"/>
  <c r="H17" i="64"/>
  <c r="L17" i="64"/>
  <c r="P17" i="64"/>
  <c r="T17" i="64"/>
  <c r="X17" i="64"/>
  <c r="H18" i="64"/>
  <c r="L18" i="64"/>
  <c r="P18" i="64"/>
  <c r="T18" i="64"/>
  <c r="X18" i="64"/>
  <c r="H19" i="64"/>
  <c r="L19" i="64"/>
  <c r="P19" i="64"/>
  <c r="T19" i="64"/>
  <c r="X19" i="64"/>
  <c r="H20" i="64"/>
  <c r="L20" i="64"/>
  <c r="P20" i="64"/>
  <c r="T20" i="64"/>
  <c r="X20" i="64"/>
  <c r="F21" i="64"/>
  <c r="G21" i="64"/>
  <c r="J21" i="64"/>
  <c r="K21" i="64"/>
  <c r="N21" i="64"/>
  <c r="O21" i="64"/>
  <c r="R21" i="64"/>
  <c r="S21" i="64"/>
  <c r="V21" i="64"/>
  <c r="W21" i="64"/>
  <c r="H25" i="64"/>
  <c r="L25" i="64"/>
  <c r="P25" i="64"/>
  <c r="T25" i="64"/>
  <c r="X25" i="64"/>
  <c r="H29" i="64"/>
  <c r="H38" i="64" s="1"/>
  <c r="L29" i="64"/>
  <c r="P29" i="64"/>
  <c r="T29" i="64"/>
  <c r="X29" i="64"/>
  <c r="H31" i="64"/>
  <c r="L31" i="64"/>
  <c r="P31" i="64"/>
  <c r="T31" i="64"/>
  <c r="T38" i="64" s="1"/>
  <c r="X31" i="64"/>
  <c r="H33" i="64"/>
  <c r="L33" i="64"/>
  <c r="P33" i="64"/>
  <c r="T33" i="64"/>
  <c r="X33" i="64"/>
  <c r="X38" i="64" s="1"/>
  <c r="H37" i="64"/>
  <c r="L37" i="64"/>
  <c r="P37" i="64"/>
  <c r="T37" i="64"/>
  <c r="X37" i="64"/>
  <c r="F38" i="64"/>
  <c r="G38" i="64"/>
  <c r="J38" i="64"/>
  <c r="K38" i="64"/>
  <c r="N38" i="64"/>
  <c r="O38" i="64"/>
  <c r="R38" i="64"/>
  <c r="S38" i="64"/>
  <c r="V38" i="64"/>
  <c r="W38" i="64"/>
  <c r="H42" i="64"/>
  <c r="L42" i="64"/>
  <c r="P42" i="64"/>
  <c r="T42" i="64"/>
  <c r="X42" i="64"/>
  <c r="H47" i="64"/>
  <c r="L47" i="64"/>
  <c r="P47" i="64"/>
  <c r="T47" i="64"/>
  <c r="X47" i="64"/>
  <c r="H52" i="64"/>
  <c r="L52" i="64"/>
  <c r="P52" i="64"/>
  <c r="T52" i="64"/>
  <c r="X52" i="64"/>
  <c r="H5" i="63"/>
  <c r="H9" i="63" s="1"/>
  <c r="L5" i="63"/>
  <c r="P5" i="63"/>
  <c r="P9" i="63" s="1"/>
  <c r="T5" i="63"/>
  <c r="X5" i="63"/>
  <c r="H6" i="63"/>
  <c r="L6" i="63"/>
  <c r="P6" i="63"/>
  <c r="T6" i="63"/>
  <c r="T9" i="63" s="1"/>
  <c r="X6" i="63"/>
  <c r="H7" i="63"/>
  <c r="L7" i="63"/>
  <c r="P7" i="63"/>
  <c r="T7" i="63"/>
  <c r="X7" i="63"/>
  <c r="H8" i="63"/>
  <c r="L8" i="63"/>
  <c r="P8" i="63"/>
  <c r="T8" i="63"/>
  <c r="X8" i="63"/>
  <c r="F9" i="63"/>
  <c r="G9" i="63"/>
  <c r="J9" i="63"/>
  <c r="K9" i="63"/>
  <c r="N9" i="63"/>
  <c r="O9" i="63"/>
  <c r="R9" i="63"/>
  <c r="S9" i="63"/>
  <c r="V9" i="63"/>
  <c r="W9" i="63"/>
  <c r="H13" i="63"/>
  <c r="L13" i="63"/>
  <c r="P13" i="63"/>
  <c r="T13" i="63"/>
  <c r="X13" i="63"/>
  <c r="H14" i="63"/>
  <c r="L14" i="63"/>
  <c r="P14" i="63"/>
  <c r="T14" i="63"/>
  <c r="X14" i="63"/>
  <c r="H15" i="63"/>
  <c r="L15" i="63"/>
  <c r="P15" i="63"/>
  <c r="T15" i="63"/>
  <c r="X15" i="63"/>
  <c r="H16" i="63"/>
  <c r="L16" i="63"/>
  <c r="P16" i="63"/>
  <c r="T16" i="63"/>
  <c r="X16" i="63"/>
  <c r="H17" i="63"/>
  <c r="L17" i="63"/>
  <c r="P17" i="63"/>
  <c r="T17" i="63"/>
  <c r="X17" i="63"/>
  <c r="H18" i="63"/>
  <c r="L18" i="63"/>
  <c r="P18" i="63"/>
  <c r="T18" i="63"/>
  <c r="X18" i="63"/>
  <c r="H19" i="63"/>
  <c r="L19" i="63"/>
  <c r="P19" i="63"/>
  <c r="T19" i="63"/>
  <c r="X19" i="63"/>
  <c r="H20" i="63"/>
  <c r="L20" i="63"/>
  <c r="P20" i="63"/>
  <c r="T20" i="63"/>
  <c r="X20" i="63"/>
  <c r="F21" i="63"/>
  <c r="G21" i="63"/>
  <c r="J21" i="63"/>
  <c r="K21" i="63"/>
  <c r="N21" i="63"/>
  <c r="O21" i="63"/>
  <c r="R21" i="63"/>
  <c r="S21" i="63"/>
  <c r="W21" i="63"/>
  <c r="H25" i="63"/>
  <c r="L25" i="63"/>
  <c r="P25" i="63"/>
  <c r="T25" i="63"/>
  <c r="X25" i="63"/>
  <c r="H29" i="63"/>
  <c r="L29" i="63"/>
  <c r="P29" i="63"/>
  <c r="T29" i="63"/>
  <c r="X29" i="63"/>
  <c r="X38" i="63" s="1"/>
  <c r="H31" i="63"/>
  <c r="L31" i="63"/>
  <c r="P31" i="63"/>
  <c r="T31" i="63"/>
  <c r="X31" i="63"/>
  <c r="H33" i="63"/>
  <c r="L33" i="63"/>
  <c r="P33" i="63"/>
  <c r="T33" i="63"/>
  <c r="X33" i="63"/>
  <c r="H37" i="63"/>
  <c r="L37" i="63"/>
  <c r="L38" i="63" s="1"/>
  <c r="P37" i="63"/>
  <c r="T37" i="63"/>
  <c r="X37" i="63"/>
  <c r="F38" i="63"/>
  <c r="G38" i="63"/>
  <c r="J38" i="63"/>
  <c r="K38" i="63"/>
  <c r="N38" i="63"/>
  <c r="O38" i="63"/>
  <c r="R38" i="63"/>
  <c r="S38" i="63"/>
  <c r="V38" i="63"/>
  <c r="W38" i="63"/>
  <c r="H42" i="63"/>
  <c r="L42" i="63"/>
  <c r="P42" i="63"/>
  <c r="T42" i="63"/>
  <c r="X42" i="63"/>
  <c r="H47" i="63"/>
  <c r="L47" i="63"/>
  <c r="P47" i="63"/>
  <c r="T47" i="63"/>
  <c r="X47" i="63"/>
  <c r="H52" i="63"/>
  <c r="L52" i="63"/>
  <c r="P52" i="63"/>
  <c r="T52" i="63"/>
  <c r="X52" i="63"/>
  <c r="H5" i="62"/>
  <c r="L5" i="62"/>
  <c r="P5" i="62"/>
  <c r="P9" i="62" s="1"/>
  <c r="T5" i="62"/>
  <c r="X5" i="62"/>
  <c r="H6" i="62"/>
  <c r="L6" i="62"/>
  <c r="L9" i="62" s="1"/>
  <c r="P6" i="62"/>
  <c r="T6" i="62"/>
  <c r="X6" i="62"/>
  <c r="H7" i="62"/>
  <c r="L7" i="62"/>
  <c r="P7" i="62"/>
  <c r="T7" i="62"/>
  <c r="X7" i="62"/>
  <c r="H8" i="62"/>
  <c r="L8" i="62"/>
  <c r="P8" i="62"/>
  <c r="T8" i="62"/>
  <c r="X8" i="62"/>
  <c r="F9" i="62"/>
  <c r="G9" i="62"/>
  <c r="H9" i="62"/>
  <c r="J9" i="62"/>
  <c r="K9" i="62"/>
  <c r="N9" i="62"/>
  <c r="O9" i="62"/>
  <c r="R9" i="62"/>
  <c r="S9" i="62"/>
  <c r="V9" i="62"/>
  <c r="W9" i="62"/>
  <c r="H13" i="62"/>
  <c r="L13" i="62"/>
  <c r="P13" i="62"/>
  <c r="T13" i="62"/>
  <c r="X13" i="62"/>
  <c r="H14" i="62"/>
  <c r="L14" i="62"/>
  <c r="P14" i="62"/>
  <c r="T14" i="62"/>
  <c r="X14" i="62"/>
  <c r="H15" i="62"/>
  <c r="L15" i="62"/>
  <c r="P15" i="62"/>
  <c r="T15" i="62"/>
  <c r="X15" i="62"/>
  <c r="H16" i="62"/>
  <c r="L16" i="62"/>
  <c r="P16" i="62"/>
  <c r="T16" i="62"/>
  <c r="X16" i="62"/>
  <c r="H17" i="62"/>
  <c r="L17" i="62"/>
  <c r="P17" i="62"/>
  <c r="T17" i="62"/>
  <c r="X17" i="62"/>
  <c r="H18" i="62"/>
  <c r="L18" i="62"/>
  <c r="P18" i="62"/>
  <c r="T18" i="62"/>
  <c r="X18" i="62"/>
  <c r="H19" i="62"/>
  <c r="L19" i="62"/>
  <c r="P19" i="62"/>
  <c r="T19" i="62"/>
  <c r="X19" i="62"/>
  <c r="H20" i="62"/>
  <c r="L20" i="62"/>
  <c r="P20" i="62"/>
  <c r="T20" i="62"/>
  <c r="X20" i="62"/>
  <c r="F21" i="62"/>
  <c r="G21" i="62"/>
  <c r="J21" i="62"/>
  <c r="K21" i="62"/>
  <c r="N21" i="62"/>
  <c r="O21" i="62"/>
  <c r="R21" i="62"/>
  <c r="S21" i="62"/>
  <c r="W21" i="62"/>
  <c r="H25" i="62"/>
  <c r="L25" i="62"/>
  <c r="P25" i="62"/>
  <c r="T25" i="62"/>
  <c r="X25" i="62"/>
  <c r="H29" i="62"/>
  <c r="H38" i="62" s="1"/>
  <c r="L29" i="62"/>
  <c r="P29" i="62"/>
  <c r="T29" i="62"/>
  <c r="X29" i="62"/>
  <c r="H31" i="62"/>
  <c r="L31" i="62"/>
  <c r="P31" i="62"/>
  <c r="T31" i="62"/>
  <c r="T38" i="62" s="1"/>
  <c r="X31" i="62"/>
  <c r="H33" i="62"/>
  <c r="L33" i="62"/>
  <c r="P33" i="62"/>
  <c r="T33" i="62"/>
  <c r="X33" i="62"/>
  <c r="H37" i="62"/>
  <c r="L37" i="62"/>
  <c r="P37" i="62"/>
  <c r="T37" i="62"/>
  <c r="X37" i="62"/>
  <c r="F38" i="62"/>
  <c r="G38" i="62"/>
  <c r="J38" i="62"/>
  <c r="K38" i="62"/>
  <c r="N38" i="62"/>
  <c r="O38" i="62"/>
  <c r="R38" i="62"/>
  <c r="S38" i="62"/>
  <c r="V38" i="62"/>
  <c r="W38" i="62"/>
  <c r="X38" i="62"/>
  <c r="H42" i="62"/>
  <c r="L42" i="62"/>
  <c r="P42" i="62"/>
  <c r="T42" i="62"/>
  <c r="X42" i="62"/>
  <c r="H47" i="62"/>
  <c r="L47" i="62"/>
  <c r="P47" i="62"/>
  <c r="T47" i="62"/>
  <c r="X47" i="62"/>
  <c r="H52" i="62"/>
  <c r="L52" i="62"/>
  <c r="P52" i="62"/>
  <c r="T52" i="62"/>
  <c r="X52" i="62"/>
  <c r="H5" i="61"/>
  <c r="L5" i="61"/>
  <c r="P5" i="61"/>
  <c r="T5" i="61"/>
  <c r="H6" i="61"/>
  <c r="L6" i="61"/>
  <c r="P6" i="61"/>
  <c r="T6" i="61"/>
  <c r="H7" i="61"/>
  <c r="L7" i="61"/>
  <c r="P7" i="61"/>
  <c r="T7" i="61"/>
  <c r="H8" i="61"/>
  <c r="L8" i="61"/>
  <c r="P8" i="61"/>
  <c r="T8" i="61"/>
  <c r="F9" i="61"/>
  <c r="G9" i="61"/>
  <c r="N9" i="61"/>
  <c r="O9" i="61"/>
  <c r="R9" i="61"/>
  <c r="S9" i="61"/>
  <c r="H13" i="61"/>
  <c r="L13" i="61"/>
  <c r="P13" i="61"/>
  <c r="P21" i="61" s="1"/>
  <c r="T13" i="61"/>
  <c r="H14" i="61"/>
  <c r="L14" i="61"/>
  <c r="P14" i="61"/>
  <c r="T14" i="61"/>
  <c r="H15" i="61"/>
  <c r="L15" i="61"/>
  <c r="P15" i="61"/>
  <c r="T15" i="61"/>
  <c r="H16" i="61"/>
  <c r="L16" i="61"/>
  <c r="P16" i="61"/>
  <c r="T16" i="61"/>
  <c r="H17" i="61"/>
  <c r="L17" i="61"/>
  <c r="P17" i="61"/>
  <c r="T17" i="61"/>
  <c r="H18" i="61"/>
  <c r="L18" i="61"/>
  <c r="P18" i="61"/>
  <c r="T18" i="61"/>
  <c r="H19" i="61"/>
  <c r="L19" i="61"/>
  <c r="P19" i="61"/>
  <c r="T19" i="61"/>
  <c r="H20" i="61"/>
  <c r="L20" i="61"/>
  <c r="P20" i="61"/>
  <c r="T20" i="61"/>
  <c r="F21" i="61"/>
  <c r="G21" i="61"/>
  <c r="J21" i="61"/>
  <c r="K21" i="61"/>
  <c r="N21" i="61"/>
  <c r="O21" i="61"/>
  <c r="R21" i="61"/>
  <c r="S21" i="61"/>
  <c r="H25" i="61"/>
  <c r="L25" i="61"/>
  <c r="P25" i="61"/>
  <c r="T25" i="61"/>
  <c r="H29" i="61"/>
  <c r="L29" i="61"/>
  <c r="P29" i="61"/>
  <c r="T29" i="61"/>
  <c r="T38" i="61" s="1"/>
  <c r="H31" i="61"/>
  <c r="L31" i="61"/>
  <c r="P31" i="61"/>
  <c r="T31" i="61"/>
  <c r="H33" i="61"/>
  <c r="L33" i="61"/>
  <c r="P33" i="61"/>
  <c r="T33" i="61"/>
  <c r="H37" i="61"/>
  <c r="L37" i="61"/>
  <c r="P37" i="61"/>
  <c r="T37" i="61"/>
  <c r="F38" i="61"/>
  <c r="G38" i="61"/>
  <c r="J38" i="61"/>
  <c r="K38" i="61"/>
  <c r="N38" i="61"/>
  <c r="O38" i="61"/>
  <c r="P38" i="61"/>
  <c r="R38" i="61"/>
  <c r="S38" i="61"/>
  <c r="H42" i="61"/>
  <c r="L42" i="61"/>
  <c r="P42" i="61"/>
  <c r="T42" i="61"/>
  <c r="H47" i="61"/>
  <c r="L47" i="61"/>
  <c r="P47" i="61"/>
  <c r="T47" i="61"/>
  <c r="H52" i="61"/>
  <c r="L52" i="61"/>
  <c r="P52" i="61"/>
  <c r="T52" i="61"/>
  <c r="H5" i="60"/>
  <c r="L5" i="60"/>
  <c r="P5" i="60"/>
  <c r="T5" i="60"/>
  <c r="X5" i="60"/>
  <c r="H6" i="60"/>
  <c r="L6" i="60"/>
  <c r="P6" i="60"/>
  <c r="T6" i="60"/>
  <c r="X6" i="60"/>
  <c r="H7" i="60"/>
  <c r="L7" i="60"/>
  <c r="P7" i="60"/>
  <c r="T7" i="60"/>
  <c r="X7" i="60"/>
  <c r="H8" i="60"/>
  <c r="H9" i="60" s="1"/>
  <c r="L8" i="60"/>
  <c r="P8" i="60"/>
  <c r="T8" i="60"/>
  <c r="X8" i="60"/>
  <c r="F9" i="60"/>
  <c r="G9" i="60"/>
  <c r="J9" i="60"/>
  <c r="K9" i="60"/>
  <c r="N9" i="60"/>
  <c r="O9" i="60"/>
  <c r="R9" i="60"/>
  <c r="S9" i="60"/>
  <c r="V9" i="60"/>
  <c r="W9" i="60"/>
  <c r="H13" i="60"/>
  <c r="L13" i="60"/>
  <c r="L21" i="60" s="1"/>
  <c r="P13" i="60"/>
  <c r="T13" i="60"/>
  <c r="X13" i="60"/>
  <c r="H14" i="60"/>
  <c r="L14" i="60"/>
  <c r="P14" i="60"/>
  <c r="T14" i="60"/>
  <c r="X14" i="60"/>
  <c r="X21" i="60" s="1"/>
  <c r="H15" i="60"/>
  <c r="L15" i="60"/>
  <c r="P15" i="60"/>
  <c r="T15" i="60"/>
  <c r="X15" i="60"/>
  <c r="H16" i="60"/>
  <c r="L16" i="60"/>
  <c r="P16" i="60"/>
  <c r="P21" i="60" s="1"/>
  <c r="T16" i="60"/>
  <c r="X16" i="60"/>
  <c r="H17" i="60"/>
  <c r="L17" i="60"/>
  <c r="P17" i="60"/>
  <c r="T17" i="60"/>
  <c r="X17" i="60"/>
  <c r="H18" i="60"/>
  <c r="L18" i="60"/>
  <c r="P18" i="60"/>
  <c r="T18" i="60"/>
  <c r="X18" i="60"/>
  <c r="H19" i="60"/>
  <c r="L19" i="60"/>
  <c r="P19" i="60"/>
  <c r="T19" i="60"/>
  <c r="X19" i="60"/>
  <c r="H20" i="60"/>
  <c r="L20" i="60"/>
  <c r="P20" i="60"/>
  <c r="T20" i="60"/>
  <c r="X20" i="60"/>
  <c r="F21" i="60"/>
  <c r="G21" i="60"/>
  <c r="J21" i="60"/>
  <c r="K21" i="60"/>
  <c r="N21" i="60"/>
  <c r="O21" i="60"/>
  <c r="R21" i="60"/>
  <c r="S21" i="60"/>
  <c r="W21" i="60"/>
  <c r="H25" i="60"/>
  <c r="L25" i="60"/>
  <c r="P25" i="60"/>
  <c r="T25" i="60"/>
  <c r="X25" i="60"/>
  <c r="H29" i="60"/>
  <c r="L29" i="60"/>
  <c r="P29" i="60"/>
  <c r="T29" i="60"/>
  <c r="T38" i="60" s="1"/>
  <c r="X29" i="60"/>
  <c r="H31" i="60"/>
  <c r="L31" i="60"/>
  <c r="P31" i="60"/>
  <c r="T31" i="60"/>
  <c r="X31" i="60"/>
  <c r="H33" i="60"/>
  <c r="L33" i="60"/>
  <c r="P33" i="60"/>
  <c r="T33" i="60"/>
  <c r="X33" i="60"/>
  <c r="H37" i="60"/>
  <c r="L37" i="60"/>
  <c r="P37" i="60"/>
  <c r="T37" i="60"/>
  <c r="X37" i="60"/>
  <c r="F38" i="60"/>
  <c r="G38" i="60"/>
  <c r="H38" i="60"/>
  <c r="J38" i="60"/>
  <c r="K38" i="60"/>
  <c r="N38" i="60"/>
  <c r="O38" i="60"/>
  <c r="P38" i="60"/>
  <c r="R38" i="60"/>
  <c r="S38" i="60"/>
  <c r="V38" i="60"/>
  <c r="W38" i="60"/>
  <c r="H42" i="60"/>
  <c r="L42" i="60"/>
  <c r="P42" i="60"/>
  <c r="T42" i="60"/>
  <c r="X42" i="60"/>
  <c r="H47" i="60"/>
  <c r="L47" i="60"/>
  <c r="P47" i="60"/>
  <c r="T47" i="60"/>
  <c r="X47" i="60"/>
  <c r="H52" i="60"/>
  <c r="L52" i="60"/>
  <c r="P52" i="60"/>
  <c r="T52" i="60"/>
  <c r="X52" i="60"/>
  <c r="H5" i="59"/>
  <c r="H6" i="59"/>
  <c r="H7" i="59"/>
  <c r="H8" i="59"/>
  <c r="F9" i="59"/>
  <c r="G9" i="59"/>
  <c r="H13" i="59"/>
  <c r="H14" i="59"/>
  <c r="H15" i="59"/>
  <c r="H16" i="59"/>
  <c r="H17" i="59"/>
  <c r="H18" i="59"/>
  <c r="H19" i="59"/>
  <c r="H20" i="59"/>
  <c r="F21" i="59"/>
  <c r="G21" i="59"/>
  <c r="H25" i="59"/>
  <c r="H29" i="59"/>
  <c r="H31" i="59"/>
  <c r="H33" i="59"/>
  <c r="H37" i="59"/>
  <c r="F38" i="59"/>
  <c r="G38" i="59"/>
  <c r="H42" i="59"/>
  <c r="H47" i="59"/>
  <c r="H52" i="59"/>
  <c r="H5" i="58"/>
  <c r="L5" i="58"/>
  <c r="P5" i="58"/>
  <c r="T5" i="58"/>
  <c r="X5" i="58"/>
  <c r="H6" i="58"/>
  <c r="L6" i="58"/>
  <c r="P6" i="58"/>
  <c r="T6" i="58"/>
  <c r="X6" i="58"/>
  <c r="H7" i="58"/>
  <c r="L7" i="58"/>
  <c r="P7" i="58"/>
  <c r="T7" i="58"/>
  <c r="X7" i="58"/>
  <c r="H8" i="58"/>
  <c r="L8" i="58"/>
  <c r="P8" i="58"/>
  <c r="T8" i="58"/>
  <c r="X8" i="58"/>
  <c r="F9" i="58"/>
  <c r="G9" i="58"/>
  <c r="L9" i="58"/>
  <c r="N9" i="58"/>
  <c r="O9" i="58"/>
  <c r="R9" i="58"/>
  <c r="S9" i="58"/>
  <c r="V9" i="58"/>
  <c r="W9" i="58"/>
  <c r="H13" i="58"/>
  <c r="L13" i="58"/>
  <c r="P13" i="58"/>
  <c r="P21" i="58" s="1"/>
  <c r="T13" i="58"/>
  <c r="X13" i="58"/>
  <c r="H14" i="58"/>
  <c r="H21" i="58" s="1"/>
  <c r="L14" i="58"/>
  <c r="P14" i="58"/>
  <c r="T14" i="58"/>
  <c r="X14" i="58"/>
  <c r="H15" i="58"/>
  <c r="L15" i="58"/>
  <c r="P15" i="58"/>
  <c r="T15" i="58"/>
  <c r="X15" i="58"/>
  <c r="H16" i="58"/>
  <c r="L16" i="58"/>
  <c r="P16" i="58"/>
  <c r="T16" i="58"/>
  <c r="X16" i="58"/>
  <c r="H17" i="58"/>
  <c r="L17" i="58"/>
  <c r="P17" i="58"/>
  <c r="T17" i="58"/>
  <c r="X17" i="58"/>
  <c r="H18" i="58"/>
  <c r="L18" i="58"/>
  <c r="P18" i="58"/>
  <c r="T18" i="58"/>
  <c r="X18" i="58"/>
  <c r="H19" i="58"/>
  <c r="L19" i="58"/>
  <c r="P19" i="58"/>
  <c r="T19" i="58"/>
  <c r="X19" i="58"/>
  <c r="H20" i="58"/>
  <c r="L20" i="58"/>
  <c r="P20" i="58"/>
  <c r="T20" i="58"/>
  <c r="X20" i="58"/>
  <c r="F21" i="58"/>
  <c r="G21" i="58"/>
  <c r="N21" i="58"/>
  <c r="O21" i="58"/>
  <c r="R21" i="58"/>
  <c r="S21" i="58"/>
  <c r="W21" i="58"/>
  <c r="H25" i="58"/>
  <c r="L25" i="58"/>
  <c r="P25" i="58"/>
  <c r="T25" i="58"/>
  <c r="X25" i="58"/>
  <c r="H29" i="58"/>
  <c r="L29" i="58"/>
  <c r="P29" i="58"/>
  <c r="P38" i="58" s="1"/>
  <c r="T29" i="58"/>
  <c r="X29" i="58"/>
  <c r="X38" i="58" s="1"/>
  <c r="H31" i="58"/>
  <c r="L31" i="58"/>
  <c r="P31" i="58"/>
  <c r="T31" i="58"/>
  <c r="X31" i="58"/>
  <c r="H33" i="58"/>
  <c r="L33" i="58"/>
  <c r="P33" i="58"/>
  <c r="T33" i="58"/>
  <c r="X33" i="58"/>
  <c r="H37" i="58"/>
  <c r="L37" i="58"/>
  <c r="P37" i="58"/>
  <c r="T37" i="58"/>
  <c r="X37" i="58"/>
  <c r="F38" i="58"/>
  <c r="G38" i="58"/>
  <c r="J38" i="58"/>
  <c r="K38" i="58"/>
  <c r="L38" i="58"/>
  <c r="N38" i="58"/>
  <c r="O38" i="58"/>
  <c r="R38" i="58"/>
  <c r="S38" i="58"/>
  <c r="V38" i="58"/>
  <c r="W38" i="58"/>
  <c r="H42" i="58"/>
  <c r="L42" i="58"/>
  <c r="P42" i="58"/>
  <c r="T42" i="58"/>
  <c r="X42" i="58"/>
  <c r="H47" i="58"/>
  <c r="L47" i="58"/>
  <c r="P47" i="58"/>
  <c r="T47" i="58"/>
  <c r="X47" i="58"/>
  <c r="H52" i="58"/>
  <c r="L52" i="58"/>
  <c r="P52" i="58"/>
  <c r="T52" i="58"/>
  <c r="X52" i="58"/>
  <c r="H31" i="51"/>
  <c r="X21" i="58" l="1"/>
  <c r="L21" i="58"/>
  <c r="T21" i="61"/>
  <c r="P38" i="62"/>
  <c r="X9" i="63"/>
  <c r="P38" i="64"/>
  <c r="T38" i="67"/>
  <c r="X9" i="67"/>
  <c r="H9" i="69"/>
  <c r="P21" i="71"/>
  <c r="T21" i="60"/>
  <c r="H21" i="60"/>
  <c r="H38" i="61"/>
  <c r="L21" i="61"/>
  <c r="X21" i="62"/>
  <c r="L21" i="62"/>
  <c r="T21" i="62"/>
  <c r="T9" i="62"/>
  <c r="H21" i="64"/>
  <c r="P21" i="64"/>
  <c r="X21" i="64"/>
  <c r="P38" i="65"/>
  <c r="X38" i="65"/>
  <c r="P21" i="65"/>
  <c r="X9" i="65"/>
  <c r="L9" i="65"/>
  <c r="P21" i="66"/>
  <c r="X21" i="66"/>
  <c r="P9" i="67"/>
  <c r="L21" i="68"/>
  <c r="H38" i="69"/>
  <c r="P38" i="69"/>
  <c r="X9" i="70"/>
  <c r="T9" i="71"/>
  <c r="T21" i="58"/>
  <c r="T9" i="58"/>
  <c r="H21" i="59"/>
  <c r="P9" i="61"/>
  <c r="H21" i="62"/>
  <c r="P21" i="62"/>
  <c r="T38" i="63"/>
  <c r="H38" i="63"/>
  <c r="L9" i="63"/>
  <c r="L21" i="64"/>
  <c r="T21" i="64"/>
  <c r="T38" i="65"/>
  <c r="H38" i="65"/>
  <c r="X9" i="66"/>
  <c r="T21" i="67"/>
  <c r="H21" i="67"/>
  <c r="H38" i="68"/>
  <c r="T21" i="68"/>
  <c r="H21" i="68"/>
  <c r="H21" i="69"/>
  <c r="T9" i="70"/>
  <c r="H9" i="70"/>
  <c r="T38" i="58"/>
  <c r="H38" i="58"/>
  <c r="H9" i="58"/>
  <c r="P9" i="58"/>
  <c r="H38" i="59"/>
  <c r="H9" i="59"/>
  <c r="P9" i="60"/>
  <c r="X9" i="60"/>
  <c r="L9" i="61"/>
  <c r="P38" i="63"/>
  <c r="H21" i="65"/>
  <c r="L9" i="66"/>
  <c r="T9" i="66"/>
  <c r="H9" i="66"/>
  <c r="X21" i="69"/>
  <c r="P38" i="70"/>
  <c r="X38" i="70"/>
  <c r="L9" i="60"/>
  <c r="T9" i="60"/>
  <c r="L38" i="61"/>
  <c r="H9" i="61"/>
  <c r="T21" i="65"/>
  <c r="X21" i="65"/>
  <c r="P38" i="66"/>
  <c r="X38" i="66"/>
  <c r="P9" i="66"/>
  <c r="T38" i="68"/>
  <c r="L21" i="69"/>
  <c r="T21" i="69"/>
  <c r="P9" i="69"/>
  <c r="T38" i="70"/>
  <c r="H38" i="70"/>
  <c r="T21" i="70"/>
  <c r="H21" i="70"/>
  <c r="P9" i="71"/>
  <c r="X38" i="60"/>
  <c r="L38" i="60"/>
  <c r="T9" i="61"/>
  <c r="H21" i="63"/>
  <c r="X21" i="63"/>
  <c r="L21" i="63"/>
  <c r="T21" i="63"/>
  <c r="H9" i="64"/>
  <c r="P9" i="64"/>
  <c r="L21" i="65"/>
  <c r="P9" i="65"/>
  <c r="T38" i="66"/>
  <c r="H38" i="66"/>
  <c r="T21" i="66"/>
  <c r="H21" i="66"/>
  <c r="H38" i="67"/>
  <c r="P38" i="68"/>
  <c r="P9" i="68"/>
  <c r="X9" i="68"/>
  <c r="L38" i="69"/>
  <c r="X9" i="58"/>
  <c r="H21" i="61"/>
  <c r="L38" i="62"/>
  <c r="X9" i="62"/>
  <c r="P21" i="63"/>
  <c r="L38" i="64"/>
  <c r="X9" i="64"/>
  <c r="P21" i="67"/>
  <c r="L21" i="71"/>
  <c r="T21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岡本　武彦</author>
  </authors>
  <commentList>
    <comment ref="I8" authorId="0" shapeId="0" xr:uid="{F7C7B58B-A265-4E4F-9041-943DE50338E8}">
      <text>
        <r>
          <rPr>
            <b/>
            <sz val="9"/>
            <color indexed="81"/>
            <rFont val="MS P ゴシック"/>
            <family val="3"/>
            <charset val="128"/>
          </rPr>
          <t>岡本　武彦:</t>
        </r>
        <r>
          <rPr>
            <sz val="9"/>
            <color indexed="81"/>
            <rFont val="MS P ゴシック"/>
            <family val="3"/>
            <charset val="128"/>
          </rPr>
          <t xml:space="preserve">
小丸川４台停止に伴う需給調整力買う帆のため
軸の起動数増</t>
        </r>
      </text>
    </comment>
    <comment ref="I17" authorId="0" shapeId="0" xr:uid="{4F547E7C-0968-42F0-98D7-354B2DDF39C2}">
      <text>
        <r>
          <rPr>
            <b/>
            <sz val="9"/>
            <color indexed="81"/>
            <rFont val="MS P ゴシック"/>
            <family val="3"/>
            <charset val="128"/>
          </rPr>
          <t>岡本　武彦:
１～４Gケーブル切り離し作業のため停止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岡本　武彦</author>
  </authors>
  <commentList>
    <comment ref="M7" authorId="0" shapeId="0" xr:uid="{097FC4C7-75AD-401E-9C80-FB4B5BB5B7C7}">
      <text>
        <r>
          <rPr>
            <b/>
            <sz val="9"/>
            <color indexed="81"/>
            <rFont val="MS P ゴシック"/>
            <family val="3"/>
            <charset val="128"/>
          </rPr>
          <t>岡本　武彦:
北L受け入れのため再提出力増</t>
        </r>
      </text>
    </comment>
    <comment ref="Q7" authorId="0" shapeId="0" xr:uid="{A37A77FD-9FF2-4232-8BCB-2CE9BFFD6D7B}">
      <text>
        <r>
          <rPr>
            <b/>
            <sz val="9"/>
            <color indexed="81"/>
            <rFont val="MS P ゴシック"/>
            <family val="3"/>
            <charset val="128"/>
          </rPr>
          <t>岡本　武彦:
北L受け入れのため再提出力増</t>
        </r>
      </text>
    </comment>
    <comment ref="I8" authorId="0" shapeId="0" xr:uid="{9B4E58C4-10E0-430C-93E0-E0F1C0392C10}">
      <text>
        <r>
          <rPr>
            <b/>
            <sz val="9"/>
            <color indexed="81"/>
            <rFont val="MS P ゴシック"/>
            <family val="3"/>
            <charset val="128"/>
          </rPr>
          <t>岡本　武彦:
コールド起動試験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渋谷　絹史</author>
  </authors>
  <commentList>
    <comment ref="K3" authorId="0" shapeId="0" xr:uid="{0620FF45-361D-483D-AF6D-C1C106F13422}">
      <text>
        <r>
          <rPr>
            <b/>
            <sz val="9"/>
            <color indexed="81"/>
            <rFont val="MS P ゴシック"/>
            <family val="3"/>
            <charset val="128"/>
          </rPr>
          <t>渋谷　絹史:</t>
        </r>
        <r>
          <rPr>
            <sz val="9"/>
            <color indexed="81"/>
            <rFont val="MS P ゴシック"/>
            <family val="3"/>
            <charset val="128"/>
          </rPr>
          <t xml:space="preserve">
仮で作成、コマは要調整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渋谷　絹史</author>
  </authors>
  <commentList>
    <comment ref="Q8" authorId="0" shapeId="0" xr:uid="{05B25F04-13BB-4AE3-B4D4-A00E4E85601D}">
      <text>
        <r>
          <rPr>
            <b/>
            <sz val="9"/>
            <color indexed="81"/>
            <rFont val="MS P ゴシック"/>
            <family val="3"/>
            <charset val="128"/>
          </rPr>
          <t>渋谷　絹史:
受け入れ制約</t>
        </r>
      </text>
    </comment>
    <comment ref="S8" authorId="0" shapeId="0" xr:uid="{AF498256-1F47-4949-94C3-EEC8B37FF930}">
      <text>
        <r>
          <rPr>
            <b/>
            <sz val="9"/>
            <color indexed="81"/>
            <rFont val="MS P ゴシック"/>
            <family val="3"/>
            <charset val="128"/>
          </rPr>
          <t>渋谷　絹史:</t>
        </r>
        <r>
          <rPr>
            <sz val="9"/>
            <color indexed="81"/>
            <rFont val="MS P ゴシック"/>
            <family val="3"/>
            <charset val="128"/>
          </rPr>
          <t xml:space="preserve">
新大分：102.9
LFC2％：23.9</t>
        </r>
      </text>
    </comment>
    <comment ref="Y17" authorId="0" shapeId="0" xr:uid="{36012835-C6CA-4FCE-8438-CB8D795DA587}">
      <text>
        <r>
          <rPr>
            <b/>
            <sz val="9"/>
            <color indexed="81"/>
            <rFont val="MS P ゴシック"/>
            <family val="3"/>
            <charset val="128"/>
          </rPr>
          <t>渋谷　絹史:</t>
        </r>
        <r>
          <rPr>
            <sz val="9"/>
            <color indexed="81"/>
            <rFont val="MS P ゴシック"/>
            <family val="3"/>
            <charset val="128"/>
          </rPr>
          <t xml:space="preserve">
検討時は1,2,4の揚水不可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渋谷　絹史</author>
  </authors>
  <commentList>
    <comment ref="M17" authorId="0" shapeId="0" xr:uid="{7FB2E0D8-895D-4CE8-B0BF-FD05E5CFCDFD}">
      <text>
        <r>
          <rPr>
            <b/>
            <sz val="9"/>
            <color indexed="81"/>
            <rFont val="MS P ゴシック"/>
            <family val="3"/>
            <charset val="128"/>
          </rPr>
          <t>渋谷　絹史:</t>
        </r>
        <r>
          <rPr>
            <sz val="9"/>
            <color indexed="81"/>
            <rFont val="MS P ゴシック"/>
            <family val="3"/>
            <charset val="128"/>
          </rPr>
          <t xml:space="preserve">
日常点検</t>
        </r>
      </text>
    </comment>
  </commentList>
</comments>
</file>

<file path=xl/sharedStrings.xml><?xml version="1.0" encoding="utf-8"?>
<sst xmlns="http://schemas.openxmlformats.org/spreadsheetml/2006/main" count="28482" uniqueCount="249">
  <si>
    <t>場所</t>
    <rPh sb="0" eb="2">
      <t>バショ</t>
    </rPh>
    <phoneticPr fontId="1"/>
  </si>
  <si>
    <t>バイオマス専焼電源</t>
    <rPh sb="5" eb="7">
      <t>センショウ</t>
    </rPh>
    <rPh sb="7" eb="9">
      <t>デンゲン</t>
    </rPh>
    <phoneticPr fontId="1"/>
  </si>
  <si>
    <t>地域資源バイオマス</t>
    <rPh sb="0" eb="2">
      <t>チイキ</t>
    </rPh>
    <rPh sb="2" eb="4">
      <t>シゲン</t>
    </rPh>
    <phoneticPr fontId="1"/>
  </si>
  <si>
    <t>出力抑制指令計画時の下げ調整力最小時刻（※）</t>
    <rPh sb="0" eb="2">
      <t>シュツリョク</t>
    </rPh>
    <rPh sb="2" eb="4">
      <t>ヨクセイ</t>
    </rPh>
    <rPh sb="4" eb="6">
      <t>シレイ</t>
    </rPh>
    <rPh sb="6" eb="8">
      <t>ケイカク</t>
    </rPh>
    <rPh sb="8" eb="9">
      <t>ジ</t>
    </rPh>
    <rPh sb="10" eb="11">
      <t>サ</t>
    </rPh>
    <rPh sb="12" eb="15">
      <t>チョウセイリョク</t>
    </rPh>
    <rPh sb="15" eb="17">
      <t>サイショウ</t>
    </rPh>
    <rPh sb="17" eb="19">
      <t>ジコク</t>
    </rPh>
    <phoneticPr fontId="1"/>
  </si>
  <si>
    <t>想定誤差量</t>
    <rPh sb="0" eb="2">
      <t>ソウテイ</t>
    </rPh>
    <rPh sb="2" eb="4">
      <t>ゴサ</t>
    </rPh>
    <rPh sb="4" eb="5">
      <t>リョウ</t>
    </rPh>
    <phoneticPr fontId="1"/>
  </si>
  <si>
    <t>原子力</t>
    <rPh sb="0" eb="3">
      <t>ゲンシリョク</t>
    </rPh>
    <phoneticPr fontId="1"/>
  </si>
  <si>
    <t>一般水力</t>
    <rPh sb="0" eb="2">
      <t>イッパン</t>
    </rPh>
    <rPh sb="2" eb="4">
      <t>スイリョク</t>
    </rPh>
    <phoneticPr fontId="1"/>
  </si>
  <si>
    <t>地熱</t>
    <rPh sb="0" eb="2">
      <t>チネツ</t>
    </rPh>
    <phoneticPr fontId="1"/>
  </si>
  <si>
    <t>エリア
供給力</t>
    <phoneticPr fontId="1"/>
  </si>
  <si>
    <t>揚水
運転等</t>
    <phoneticPr fontId="1"/>
  </si>
  <si>
    <t>域外
送電</t>
    <phoneticPr fontId="1"/>
  </si>
  <si>
    <t>(F)</t>
    <phoneticPr fontId="1"/>
  </si>
  <si>
    <t>(G)</t>
    <phoneticPr fontId="1"/>
  </si>
  <si>
    <t>(L)</t>
    <phoneticPr fontId="1"/>
  </si>
  <si>
    <t>(J)</t>
    <phoneticPr fontId="1"/>
  </si>
  <si>
    <t>(K)</t>
    <phoneticPr fontId="1"/>
  </si>
  <si>
    <t>(I)</t>
    <phoneticPr fontId="1"/>
  </si>
  <si>
    <t>(H)</t>
    <phoneticPr fontId="1"/>
  </si>
  <si>
    <t>(E-1)</t>
    <phoneticPr fontId="1"/>
  </si>
  <si>
    <t>(E-2)</t>
    <phoneticPr fontId="1"/>
  </si>
  <si>
    <t>エリア
需要等</t>
    <rPh sb="4" eb="6">
      <t>ジュヨウ</t>
    </rPh>
    <rPh sb="6" eb="7">
      <t>トウ</t>
    </rPh>
    <phoneticPr fontId="1"/>
  </si>
  <si>
    <t>(A)</t>
    <phoneticPr fontId="1"/>
  </si>
  <si>
    <t>※１：優先給電ルールに基づく出力抑制後のエリア供給力。</t>
    <phoneticPr fontId="1"/>
  </si>
  <si>
    <t>※２：中国九州間連系線（関門連系線）の運用容量相当。</t>
  </si>
  <si>
    <t>［万ｋＷ］</t>
    <phoneticPr fontId="1"/>
  </si>
  <si>
    <r>
      <t xml:space="preserve">需給状況
</t>
    </r>
    <r>
      <rPr>
        <sz val="12"/>
        <color theme="1"/>
        <rFont val="Meiryo UI"/>
        <family val="3"/>
        <charset val="128"/>
      </rPr>
      <t>（万kW）</t>
    </r>
    <rPh sb="0" eb="2">
      <t>ジュキュウ</t>
    </rPh>
    <rPh sb="2" eb="4">
      <t>ジョウキョウ</t>
    </rPh>
    <phoneticPr fontId="1"/>
  </si>
  <si>
    <t>太陽光</t>
    <rPh sb="0" eb="3">
      <t>タイヨウコウ</t>
    </rPh>
    <phoneticPr fontId="1"/>
  </si>
  <si>
    <t>風力</t>
    <rPh sb="0" eb="2">
      <t>フウリョク</t>
    </rPh>
    <phoneticPr fontId="1"/>
  </si>
  <si>
    <t>エリア供給力 計①</t>
    <rPh sb="3" eb="6">
      <t>キョウキュウリョク</t>
    </rPh>
    <rPh sb="7" eb="8">
      <t>ケイ</t>
    </rPh>
    <phoneticPr fontId="1"/>
  </si>
  <si>
    <t>エリア需要（本土）②</t>
    <phoneticPr fontId="1"/>
  </si>
  <si>
    <t>(C-1)　　揚水式発電機の揚水運転③</t>
    <rPh sb="7" eb="10">
      <t>ヨウスイシキ</t>
    </rPh>
    <rPh sb="10" eb="12">
      <t>ハツデン</t>
    </rPh>
    <rPh sb="12" eb="13">
      <t>キ</t>
    </rPh>
    <rPh sb="14" eb="16">
      <t>ヨウスイ</t>
    </rPh>
    <rPh sb="16" eb="18">
      <t>ウンテン</t>
    </rPh>
    <phoneticPr fontId="1"/>
  </si>
  <si>
    <t>(C-2)　　　電力貯蔵装置の充電④</t>
    <rPh sb="8" eb="10">
      <t>デンリョク</t>
    </rPh>
    <rPh sb="10" eb="12">
      <t>チョゾウ</t>
    </rPh>
    <rPh sb="12" eb="14">
      <t>ソウチ</t>
    </rPh>
    <rPh sb="15" eb="17">
      <t>ジュウデン</t>
    </rPh>
    <phoneticPr fontId="1"/>
  </si>
  <si>
    <t>(B-1)　　約定済みの域外送電電力⑤</t>
    <rPh sb="7" eb="9">
      <t>ヤクジョウ</t>
    </rPh>
    <rPh sb="9" eb="10">
      <t>ス</t>
    </rPh>
    <rPh sb="12" eb="14">
      <t>イキガイ</t>
    </rPh>
    <rPh sb="14" eb="16">
      <t>ソウデン</t>
    </rPh>
    <rPh sb="16" eb="18">
      <t>デンリョク</t>
    </rPh>
    <phoneticPr fontId="1"/>
  </si>
  <si>
    <t>(B-2)　　 長周期広域周波数調整・三次調整力①② ⑥</t>
    <rPh sb="8" eb="11">
      <t>チョウシュウキ</t>
    </rPh>
    <rPh sb="11" eb="13">
      <t>コウイキ</t>
    </rPh>
    <rPh sb="13" eb="16">
      <t>シュウハスウ</t>
    </rPh>
    <rPh sb="16" eb="18">
      <t>チョウセイ</t>
    </rPh>
    <rPh sb="19" eb="20">
      <t>サン</t>
    </rPh>
    <rPh sb="20" eb="21">
      <t>ジ</t>
    </rPh>
    <rPh sb="21" eb="24">
      <t>チョウセイリョク</t>
    </rPh>
    <phoneticPr fontId="1"/>
  </si>
  <si>
    <t>エリア需要等 計⑦＝②ー（③＋④＋⑤＋⑥）</t>
    <rPh sb="3" eb="5">
      <t>ジュヨウ</t>
    </rPh>
    <rPh sb="5" eb="6">
      <t>トウ</t>
    </rPh>
    <rPh sb="7" eb="8">
      <t>ケイ</t>
    </rPh>
    <phoneticPr fontId="1"/>
  </si>
  <si>
    <r>
      <t xml:space="preserve">必要性
</t>
    </r>
    <r>
      <rPr>
        <sz val="12"/>
        <color theme="1"/>
        <rFont val="Meiryo UI"/>
        <family val="3"/>
        <charset val="128"/>
      </rPr>
      <t>（万kW）</t>
    </r>
    <rPh sb="0" eb="3">
      <t>ヒツヨウセイ</t>
    </rPh>
    <phoneticPr fontId="1"/>
  </si>
  <si>
    <t>エリア供給力 計①</t>
    <phoneticPr fontId="1"/>
  </si>
  <si>
    <t>エリア需要等 計⑦</t>
    <rPh sb="7" eb="8">
      <t>ケイ</t>
    </rPh>
    <phoneticPr fontId="1"/>
  </si>
  <si>
    <t>(D)</t>
    <phoneticPr fontId="1"/>
  </si>
  <si>
    <t>誤差量を織込んだ抑制必要量⑧＝(①－⑦)</t>
    <phoneticPr fontId="1"/>
  </si>
  <si>
    <t>○需給状況イメージ図</t>
    <rPh sb="1" eb="3">
      <t>ジュキュウ</t>
    </rPh>
    <rPh sb="3" eb="5">
      <t>ジョウキョウ</t>
    </rPh>
    <phoneticPr fontId="1"/>
  </si>
  <si>
    <t>○必要性のイメージ図</t>
    <rPh sb="1" eb="4">
      <t>ヒツヨウセイ</t>
    </rPh>
    <rPh sb="9" eb="10">
      <t>ズ</t>
    </rPh>
    <phoneticPr fontId="1"/>
  </si>
  <si>
    <t>九州本土</t>
  </si>
  <si>
    <t>【前日計画】</t>
  </si>
  <si>
    <t>【当日見直し】</t>
  </si>
  <si>
    <t>当日見直しがあれば記載</t>
  </si>
  <si>
    <t>調整力としてあらかじめ確保する発電設備等（火力）</t>
    <rPh sb="0" eb="3">
      <t>チョウセイリョク</t>
    </rPh>
    <rPh sb="11" eb="13">
      <t>カクホ</t>
    </rPh>
    <rPh sb="15" eb="17">
      <t>ハツデン</t>
    </rPh>
    <rPh sb="17" eb="19">
      <t>セツビ</t>
    </rPh>
    <rPh sb="19" eb="20">
      <t>トウ</t>
    </rPh>
    <rPh sb="21" eb="23">
      <t>カリョク</t>
    </rPh>
    <phoneticPr fontId="1"/>
  </si>
  <si>
    <t>調整力としてあらかじめ確保していない
発電設備等（火力）</t>
    <rPh sb="0" eb="3">
      <t>チョウセイリョク</t>
    </rPh>
    <rPh sb="11" eb="13">
      <t>カクホ</t>
    </rPh>
    <rPh sb="19" eb="21">
      <t>ハツデン</t>
    </rPh>
    <rPh sb="21" eb="23">
      <t>セツビ</t>
    </rPh>
    <rPh sb="23" eb="24">
      <t>トウ</t>
    </rPh>
    <rPh sb="25" eb="27">
      <t>カリョク</t>
    </rPh>
    <phoneticPr fontId="1"/>
  </si>
  <si>
    <t>12時30分～13時</t>
  </si>
  <si>
    <t>12時～12時30分</t>
  </si>
  <si>
    <t>11時30分～12時</t>
  </si>
  <si>
    <t>※３：蓄電設備の充電。　</t>
    <rPh sb="3" eb="5">
      <t>チクデン</t>
    </rPh>
    <rPh sb="5" eb="7">
      <t>セツビ</t>
    </rPh>
    <rPh sb="8" eb="10">
      <t>ジュウデン</t>
    </rPh>
    <phoneticPr fontId="1"/>
  </si>
  <si>
    <t>※４：調整力としてあらかじめ確保していない発電設備等　バイオマス混焼電源を含む。</t>
    <phoneticPr fontId="1"/>
  </si>
  <si>
    <t>※５：調整力としてあらかじめ確保する発電設備等</t>
    <phoneticPr fontId="1"/>
  </si>
  <si>
    <t>11時～11時30分</t>
  </si>
  <si>
    <t>くぁｚ</t>
    <phoneticPr fontId="1"/>
  </si>
  <si>
    <t>10時30分～11時</t>
  </si>
  <si>
    <t>［万ｋＷ］</t>
  </si>
  <si>
    <t>11時30分~12時</t>
    <rPh sb="2" eb="3">
      <t>ジ</t>
    </rPh>
    <rPh sb="5" eb="6">
      <t>フン</t>
    </rPh>
    <rPh sb="9" eb="10">
      <t>ジ</t>
    </rPh>
    <phoneticPr fontId="1"/>
  </si>
  <si>
    <t>10時~10時30分</t>
    <rPh sb="2" eb="3">
      <t>ジ</t>
    </rPh>
    <rPh sb="6" eb="7">
      <t>ジ</t>
    </rPh>
    <rPh sb="9" eb="10">
      <t>フン</t>
    </rPh>
    <phoneticPr fontId="1"/>
  </si>
  <si>
    <t>12時~12時30分</t>
    <rPh sb="2" eb="3">
      <t>ジ</t>
    </rPh>
    <rPh sb="6" eb="7">
      <t>ジ</t>
    </rPh>
    <rPh sb="9" eb="10">
      <t>フン</t>
    </rPh>
    <phoneticPr fontId="1"/>
  </si>
  <si>
    <t>【当日計画】</t>
    <rPh sb="1" eb="3">
      <t>トウジツ</t>
    </rPh>
    <phoneticPr fontId="1"/>
  </si>
  <si>
    <t>11時~11時30分</t>
    <rPh sb="2" eb="3">
      <t>ジ</t>
    </rPh>
    <rPh sb="6" eb="7">
      <t>ジ</t>
    </rPh>
    <rPh sb="9" eb="10">
      <t>フン</t>
    </rPh>
    <phoneticPr fontId="1"/>
  </si>
  <si>
    <t>10時30分~11時</t>
    <rPh sb="2" eb="3">
      <t>ジ</t>
    </rPh>
    <rPh sb="5" eb="6">
      <t>フン</t>
    </rPh>
    <rPh sb="9" eb="10">
      <t>ジ</t>
    </rPh>
    <phoneticPr fontId="1"/>
  </si>
  <si>
    <t>12時～12時30分</t>
    <rPh sb="2" eb="3">
      <t>ジ</t>
    </rPh>
    <rPh sb="6" eb="7">
      <t>ジ</t>
    </rPh>
    <rPh sb="9" eb="10">
      <t>フン</t>
    </rPh>
    <phoneticPr fontId="1"/>
  </si>
  <si>
    <t>当日見直しがあれば記載</t>
    <phoneticPr fontId="1"/>
  </si>
  <si>
    <t>11時30分～12時</t>
    <rPh sb="2" eb="3">
      <t>ジ</t>
    </rPh>
    <rPh sb="5" eb="6">
      <t>フン</t>
    </rPh>
    <rPh sb="9" eb="10">
      <t>ジ</t>
    </rPh>
    <phoneticPr fontId="1"/>
  </si>
  <si>
    <t>12時30分～13時</t>
    <phoneticPr fontId="1"/>
  </si>
  <si>
    <t>当日見直しがあれば記載</t>
    <rPh sb="2" eb="3">
      <t>ジ</t>
    </rPh>
    <rPh sb="5" eb="6">
      <t>フン</t>
    </rPh>
    <rPh sb="9" eb="10">
      <t>ジ</t>
    </rPh>
    <phoneticPr fontId="1"/>
  </si>
  <si>
    <t>【前日計画】</t>
    <rPh sb="1" eb="3">
      <t>ゼンジツ</t>
    </rPh>
    <rPh sb="3" eb="5">
      <t>ケイカク</t>
    </rPh>
    <phoneticPr fontId="0"/>
  </si>
  <si>
    <t>13時～13時30分</t>
    <rPh sb="9" eb="10">
      <t>フン</t>
    </rPh>
    <phoneticPr fontId="1"/>
  </si>
  <si>
    <t>13時～13時30分</t>
  </si>
  <si>
    <t xml:space="preserve">(f) その他	</t>
  </si>
  <si>
    <t>(d) 自家発設備など工場の生産調整に基づく計画</t>
    <rPh sb="4" eb="7">
      <t>ジカハツ</t>
    </rPh>
    <rPh sb="7" eb="9">
      <t>セツビ</t>
    </rPh>
    <rPh sb="11" eb="13">
      <t>コウジョウ</t>
    </rPh>
    <rPh sb="14" eb="16">
      <t>セイサン</t>
    </rPh>
    <rPh sb="16" eb="18">
      <t>チョウセイ</t>
    </rPh>
    <rPh sb="19" eb="20">
      <t>モト</t>
    </rPh>
    <rPh sb="22" eb="24">
      <t>ケイカク</t>
    </rPh>
    <phoneticPr fontId="22"/>
  </si>
  <si>
    <t>(b) 燃料貯蔵関係の出力変更</t>
    <rPh sb="4" eb="6">
      <t>ネンリョウ</t>
    </rPh>
    <rPh sb="6" eb="8">
      <t>チョゾウ</t>
    </rPh>
    <rPh sb="8" eb="10">
      <t>カンケイ</t>
    </rPh>
    <rPh sb="11" eb="13">
      <t>シュツリョク</t>
    </rPh>
    <rPh sb="13" eb="15">
      <t>ヘンコウ</t>
    </rPh>
    <phoneticPr fontId="22"/>
  </si>
  <si>
    <t>(e) 設備トラブルに伴う出力変更・停止</t>
    <rPh sb="4" eb="6">
      <t>セツビ</t>
    </rPh>
    <rPh sb="11" eb="12">
      <t>トモナ</t>
    </rPh>
    <rPh sb="13" eb="15">
      <t>シュツリョク</t>
    </rPh>
    <rPh sb="15" eb="17">
      <t>ヘンコウ</t>
    </rPh>
    <rPh sb="18" eb="20">
      <t>テイシ</t>
    </rPh>
    <phoneticPr fontId="22"/>
  </si>
  <si>
    <t>(c) 試運転・作業に伴う出力変更・停止</t>
    <rPh sb="4" eb="7">
      <t>シウンテン</t>
    </rPh>
    <rPh sb="8" eb="10">
      <t>サギョウ</t>
    </rPh>
    <rPh sb="11" eb="12">
      <t>トモナ</t>
    </rPh>
    <rPh sb="13" eb="15">
      <t>シュツリョク</t>
    </rPh>
    <rPh sb="15" eb="17">
      <t>ヘンコウ</t>
    </rPh>
    <rPh sb="18" eb="20">
      <t>テイシ</t>
    </rPh>
    <phoneticPr fontId="22"/>
  </si>
  <si>
    <t>(a) 連系線運用容量の維持・他供給区域の制約</t>
    <rPh sb="4" eb="6">
      <t>レンケイ</t>
    </rPh>
    <rPh sb="6" eb="7">
      <t>セン</t>
    </rPh>
    <rPh sb="7" eb="9">
      <t>ウンヨウ</t>
    </rPh>
    <rPh sb="9" eb="11">
      <t>ヨウリョウ</t>
    </rPh>
    <rPh sb="12" eb="14">
      <t>イジ</t>
    </rPh>
    <rPh sb="15" eb="16">
      <t>ホカ</t>
    </rPh>
    <rPh sb="16" eb="18">
      <t>キョウキュウ</t>
    </rPh>
    <rPh sb="18" eb="20">
      <t>クイキ</t>
    </rPh>
    <rPh sb="21" eb="23">
      <t>セイヤク</t>
    </rPh>
    <phoneticPr fontId="22"/>
  </si>
  <si>
    <t>(※)差異理由</t>
    <rPh sb="3" eb="5">
      <t>サイ</t>
    </rPh>
    <rPh sb="5" eb="7">
      <t>リユウ</t>
    </rPh>
    <phoneticPr fontId="1"/>
  </si>
  <si>
    <t>地域資源バイオマス出力抑制不可理由：A（燃料貯蔵が困難）B（燃料調達体制に支障を来たす）C（周辺環境に悪影響を及ぼす）</t>
    <phoneticPr fontId="1"/>
  </si>
  <si>
    <t>A(55),B(29),C(4)</t>
  </si>
  <si>
    <t>―</t>
  </si>
  <si>
    <t>出力抑制不可</t>
    <rPh sb="0" eb="2">
      <t>シュツリョク</t>
    </rPh>
    <rPh sb="2" eb="4">
      <t>ヨクセイ</t>
    </rPh>
    <rPh sb="4" eb="6">
      <t>フカ</t>
    </rPh>
    <phoneticPr fontId="1"/>
  </si>
  <si>
    <t>出力抑制可</t>
    <rPh sb="0" eb="2">
      <t>シュツリョク</t>
    </rPh>
    <rPh sb="2" eb="4">
      <t>ヨクセイ</t>
    </rPh>
    <rPh sb="4" eb="5">
      <t>カ</t>
    </rPh>
    <phoneticPr fontId="1"/>
  </si>
  <si>
    <t>理由Ａ～Ｃ毎
（発電所数）</t>
  </si>
  <si>
    <t>差異（②－①）</t>
  </si>
  <si>
    <t>前日計画②</t>
  </si>
  <si>
    <t>合意した
最低出力①
[出力率％]</t>
  </si>
  <si>
    <t>電源合計</t>
    <rPh sb="0" eb="2">
      <t>デンゲン</t>
    </rPh>
    <rPh sb="2" eb="4">
      <t>ゴウケイ</t>
    </rPh>
    <phoneticPr fontId="1"/>
  </si>
  <si>
    <t>優先給電ルールに基づく抑制、調整（７）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</si>
  <si>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（ｅ）</t>
    <phoneticPr fontId="1"/>
  </si>
  <si>
    <t>※2 発電設備の補修停止等を
  考慮した抑制日の最低出力</t>
    <rPh sb="3" eb="5">
      <t>ハツデン</t>
    </rPh>
    <rPh sb="5" eb="7">
      <t>セツビ</t>
    </rPh>
    <rPh sb="8" eb="10">
      <t>ホシュウ</t>
    </rPh>
    <rPh sb="10" eb="12">
      <t>テイシ</t>
    </rPh>
    <rPh sb="12" eb="13">
      <t>トウ</t>
    </rPh>
    <rPh sb="17" eb="19">
      <t>コウリョ</t>
    </rPh>
    <rPh sb="21" eb="23">
      <t>ヨクセイ</t>
    </rPh>
    <rPh sb="23" eb="24">
      <t>ビ</t>
    </rPh>
    <rPh sb="25" eb="27">
      <t>サイテイ</t>
    </rPh>
    <rPh sb="27" eb="29">
      <t>シュツリョク</t>
    </rPh>
    <phoneticPr fontId="1"/>
  </si>
  <si>
    <t>差異理由(※)</t>
  </si>
  <si>
    <t>合意した最低
出力① ※2
[出力率％]</t>
  </si>
  <si>
    <t>優先給電ルールに基づく抑制、調整（６）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</si>
  <si>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（ｆ）</t>
    <phoneticPr fontId="1"/>
  </si>
  <si>
    <t>※1 空容量＝（運用容量）
　－約定済み域外送電電力
　－三次調整力①②</t>
    <rPh sb="3" eb="4">
      <t>アキ</t>
    </rPh>
    <rPh sb="4" eb="6">
      <t>ヨウリョウ</t>
    </rPh>
    <rPh sb="8" eb="10">
      <t>ウンヨウ</t>
    </rPh>
    <rPh sb="10" eb="12">
      <t>ヨウリョウ</t>
    </rPh>
    <rPh sb="16" eb="18">
      <t>ヤクジョウ</t>
    </rPh>
    <rPh sb="18" eb="19">
      <t>ズ</t>
    </rPh>
    <rPh sb="20" eb="22">
      <t>イキガイ</t>
    </rPh>
    <rPh sb="22" eb="24">
      <t>ソウデン</t>
    </rPh>
    <rPh sb="24" eb="26">
      <t>デンリョク</t>
    </rPh>
    <rPh sb="29" eb="30">
      <t>サン</t>
    </rPh>
    <rPh sb="30" eb="31">
      <t>ジ</t>
    </rPh>
    <rPh sb="31" eb="34">
      <t>チョウセイリョク</t>
    </rPh>
    <phoneticPr fontId="1"/>
  </si>
  <si>
    <t>前日１２時時点
の空容量① ※1
（運用容量）</t>
  </si>
  <si>
    <t>中国九州間連系線
（関門連系線）</t>
    <rPh sb="0" eb="2">
      <t>チュウゴク</t>
    </rPh>
    <rPh sb="2" eb="4">
      <t>キュウシュウ</t>
    </rPh>
    <rPh sb="4" eb="5">
      <t>カン</t>
    </rPh>
    <rPh sb="5" eb="7">
      <t>レンケイ</t>
    </rPh>
    <rPh sb="7" eb="8">
      <t>セン</t>
    </rPh>
    <rPh sb="10" eb="12">
      <t>カンモン</t>
    </rPh>
    <rPh sb="12" eb="14">
      <t>レンケイ</t>
    </rPh>
    <rPh sb="14" eb="15">
      <t>セン</t>
    </rPh>
    <phoneticPr fontId="1"/>
  </si>
  <si>
    <t>長周期広域周波数調整
（連系線活用）</t>
    <rPh sb="0" eb="3">
      <t>チョウシュウキ</t>
    </rPh>
    <rPh sb="3" eb="5">
      <t>コウイキ</t>
    </rPh>
    <rPh sb="5" eb="8">
      <t>シュウハスウ</t>
    </rPh>
    <rPh sb="8" eb="10">
      <t>チョウセイ</t>
    </rPh>
    <rPh sb="12" eb="14">
      <t>レンケイ</t>
    </rPh>
    <rPh sb="14" eb="15">
      <t>セン</t>
    </rPh>
    <rPh sb="15" eb="17">
      <t>カツヨウ</t>
    </rPh>
    <phoneticPr fontId="1"/>
  </si>
  <si>
    <t>優先給電ルールに基づく抑制、調整（５）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</si>
  <si>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合計</t>
    <rPh sb="0" eb="2">
      <t>ゴウケイ</t>
    </rPh>
    <phoneticPr fontId="1"/>
  </si>
  <si>
    <t>（ｄ）</t>
    <phoneticPr fontId="1"/>
  </si>
  <si>
    <t>自家発余剰</t>
    <rPh sb="0" eb="3">
      <t>ジカハツ</t>
    </rPh>
    <rPh sb="3" eb="5">
      <t>ヨジョウ</t>
    </rPh>
    <phoneticPr fontId="1"/>
  </si>
  <si>
    <r>
      <t xml:space="preserve"> 発電設備の補修停止等を考慮した抑制日の最低出力
</t>
    </r>
    <r>
      <rPr>
        <sz val="7.5"/>
        <color rgb="FF002060"/>
        <rFont val="Meiryo UI"/>
        <family val="3"/>
        <charset val="128"/>
      </rPr>
      <t>（　　）内は、全設備運転時</t>
    </r>
    <rPh sb="1" eb="3">
      <t>ハツデン</t>
    </rPh>
    <rPh sb="3" eb="5">
      <t>セツビ</t>
    </rPh>
    <rPh sb="6" eb="8">
      <t>ホシュウ</t>
    </rPh>
    <rPh sb="8" eb="10">
      <t>テイシ</t>
    </rPh>
    <rPh sb="10" eb="11">
      <t>トウ</t>
    </rPh>
    <rPh sb="12" eb="14">
      <t>コウリョ</t>
    </rPh>
    <rPh sb="16" eb="18">
      <t>ヨクセイ</t>
    </rPh>
    <rPh sb="18" eb="19">
      <t>ビ</t>
    </rPh>
    <rPh sb="20" eb="22">
      <t>サイテイ</t>
    </rPh>
    <rPh sb="22" eb="24">
      <t>シュツリョク</t>
    </rPh>
    <rPh sb="29" eb="30">
      <t>ナイ</t>
    </rPh>
    <rPh sb="32" eb="33">
      <t>ゼン</t>
    </rPh>
    <rPh sb="33" eb="35">
      <t>セツビ</t>
    </rPh>
    <rPh sb="35" eb="37">
      <t>ウンテン</t>
    </rPh>
    <rPh sb="37" eb="38">
      <t>ジ</t>
    </rPh>
    <phoneticPr fontId="1"/>
  </si>
  <si>
    <t>（ｂ）</t>
    <phoneticPr fontId="1"/>
  </si>
  <si>
    <t>火力他</t>
    <rPh sb="0" eb="2">
      <t>カリョク</t>
    </rPh>
    <rPh sb="2" eb="3">
      <t>ホカ</t>
    </rPh>
    <phoneticPr fontId="1"/>
  </si>
  <si>
    <t>電制電源を除く</t>
    <rPh sb="0" eb="2">
      <t>デンセイ</t>
    </rPh>
    <rPh sb="2" eb="4">
      <t>デンゲン</t>
    </rPh>
    <rPh sb="3" eb="4">
      <t>ゲン</t>
    </rPh>
    <rPh sb="5" eb="6">
      <t>ノゾ</t>
    </rPh>
    <phoneticPr fontId="1"/>
  </si>
  <si>
    <t>（ａ）</t>
    <phoneticPr fontId="1"/>
  </si>
  <si>
    <t>Ｂ</t>
    <phoneticPr fontId="1"/>
  </si>
  <si>
    <t>Ａ</t>
    <phoneticPr fontId="1"/>
  </si>
  <si>
    <t>電制電源</t>
    <rPh sb="0" eb="2">
      <t>デンセイ</t>
    </rPh>
    <rPh sb="2" eb="4">
      <t>デンゲン</t>
    </rPh>
    <phoneticPr fontId="1"/>
  </si>
  <si>
    <t>最低出力①
[出力率％]</t>
  </si>
  <si>
    <t>発電所</t>
    <rPh sb="0" eb="2">
      <t>ハツデン</t>
    </rPh>
    <rPh sb="2" eb="3">
      <t>ショ</t>
    </rPh>
    <phoneticPr fontId="1"/>
  </si>
  <si>
    <t>種別</t>
    <rPh sb="0" eb="2">
      <t>シュベツ</t>
    </rPh>
    <phoneticPr fontId="1"/>
  </si>
  <si>
    <t>調整力としてあらかじめ確保していない発電設備等
（火力）</t>
    <rPh sb="0" eb="3">
      <t>チョウセイリョク</t>
    </rPh>
    <rPh sb="11" eb="13">
      <t>カクホ</t>
    </rPh>
    <rPh sb="18" eb="20">
      <t>ハツデン</t>
    </rPh>
    <rPh sb="20" eb="22">
      <t>セツビ</t>
    </rPh>
    <rPh sb="22" eb="23">
      <t>ナド</t>
    </rPh>
    <rPh sb="25" eb="27">
      <t>カリョク</t>
    </rPh>
    <phoneticPr fontId="1"/>
  </si>
  <si>
    <t>優先給電ルールに基づく抑制、調整（４）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</si>
  <si>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充電最大電力①</t>
  </si>
  <si>
    <t>豊前蓄電池変電所</t>
    <rPh sb="0" eb="2">
      <t>ブゼン</t>
    </rPh>
    <rPh sb="2" eb="5">
      <t>チクデンチ</t>
    </rPh>
    <rPh sb="5" eb="7">
      <t>ヘンデン</t>
    </rPh>
    <rPh sb="7" eb="8">
      <t>ショ</t>
    </rPh>
    <phoneticPr fontId="1"/>
  </si>
  <si>
    <t>需給バランス改善用の
蓄電設備の充電</t>
    <rPh sb="0" eb="2">
      <t>ジュキュウ</t>
    </rPh>
    <rPh sb="6" eb="8">
      <t>カイゼン</t>
    </rPh>
    <rPh sb="8" eb="9">
      <t>ヨウ</t>
    </rPh>
    <rPh sb="11" eb="13">
      <t>チクデン</t>
    </rPh>
    <rPh sb="13" eb="15">
      <t>セツビ</t>
    </rPh>
    <rPh sb="16" eb="18">
      <t>ジュウデン</t>
    </rPh>
    <phoneticPr fontId="1"/>
  </si>
  <si>
    <t>優先給電ルールに基づく抑制、調整（３）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</si>
  <si>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４</t>
    <phoneticPr fontId="1"/>
  </si>
  <si>
    <t>３</t>
    <phoneticPr fontId="1"/>
  </si>
  <si>
    <t>（ｃ）</t>
    <phoneticPr fontId="1"/>
  </si>
  <si>
    <t>２</t>
    <phoneticPr fontId="1"/>
  </si>
  <si>
    <t>１</t>
    <phoneticPr fontId="1"/>
  </si>
  <si>
    <t>小丸川</t>
    <rPh sb="0" eb="2">
      <t>オマル</t>
    </rPh>
    <rPh sb="2" eb="3">
      <t>ガワ</t>
    </rPh>
    <phoneticPr fontId="1"/>
  </si>
  <si>
    <t>天山</t>
    <rPh sb="0" eb="2">
      <t>テンザン</t>
    </rPh>
    <phoneticPr fontId="1"/>
  </si>
  <si>
    <t>大平</t>
    <rPh sb="0" eb="2">
      <t>オオヒラ</t>
    </rPh>
    <phoneticPr fontId="1"/>
  </si>
  <si>
    <t>揚水動力①</t>
  </si>
  <si>
    <t>号機</t>
    <rPh sb="0" eb="2">
      <t>ゴウキ</t>
    </rPh>
    <phoneticPr fontId="1"/>
  </si>
  <si>
    <t>揚水発電機の
揚水運転</t>
    <rPh sb="0" eb="2">
      <t>ヨウスイ</t>
    </rPh>
    <rPh sb="2" eb="4">
      <t>ハツデン</t>
    </rPh>
    <rPh sb="4" eb="5">
      <t>キ</t>
    </rPh>
    <rPh sb="7" eb="9">
      <t>ヨウスイ</t>
    </rPh>
    <rPh sb="9" eb="11">
      <t>ウンテン</t>
    </rPh>
    <phoneticPr fontId="1"/>
  </si>
  <si>
    <t>優先給電ルールに基づく抑制、調整（２）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</si>
  <si>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新大分（コンバインド）</t>
    <rPh sb="0" eb="1">
      <t>シン</t>
    </rPh>
    <rPh sb="1" eb="3">
      <t>オオイタ</t>
    </rPh>
    <phoneticPr fontId="1"/>
  </si>
  <si>
    <t>新小倉</t>
    <rPh sb="0" eb="1">
      <t>シン</t>
    </rPh>
    <rPh sb="1" eb="3">
      <t>コクラ</t>
    </rPh>
    <phoneticPr fontId="1"/>
  </si>
  <si>
    <t>ＬＮＧ</t>
    <phoneticPr fontId="1"/>
  </si>
  <si>
    <t>苓北</t>
    <rPh sb="0" eb="2">
      <t>レイホク</t>
    </rPh>
    <phoneticPr fontId="1"/>
  </si>
  <si>
    <t>松浦</t>
    <rPh sb="0" eb="2">
      <t>マツウラ</t>
    </rPh>
    <phoneticPr fontId="1"/>
  </si>
  <si>
    <t>石炭</t>
    <rPh sb="0" eb="2">
      <t>セキタン</t>
    </rPh>
    <phoneticPr fontId="1"/>
  </si>
  <si>
    <t>最低出力①</t>
  </si>
  <si>
    <t>燃料</t>
    <rPh sb="0" eb="2">
      <t>ネンリョウ</t>
    </rPh>
    <phoneticPr fontId="1"/>
  </si>
  <si>
    <r>
      <t xml:space="preserve">調整力として
あらかじめ確保する発電設備等
（火力）
</t>
    </r>
    <r>
      <rPr>
        <sz val="11"/>
        <color rgb="FF0070C0"/>
        <rFont val="Meiryo UI"/>
        <family val="3"/>
        <charset val="128"/>
      </rPr>
      <t>ＬＦＣ調整力
２％確保の発電所</t>
    </r>
    <rPh sb="0" eb="3">
      <t>チョウセイリョク</t>
    </rPh>
    <rPh sb="12" eb="14">
      <t>カクホ</t>
    </rPh>
    <rPh sb="16" eb="18">
      <t>ハツデン</t>
    </rPh>
    <rPh sb="18" eb="20">
      <t>セツビ</t>
    </rPh>
    <rPh sb="20" eb="21">
      <t>ナド</t>
    </rPh>
    <rPh sb="23" eb="25">
      <t>カリョク</t>
    </rPh>
    <rPh sb="30" eb="33">
      <t>チョウセイリョク</t>
    </rPh>
    <rPh sb="36" eb="38">
      <t>カクホ</t>
    </rPh>
    <rPh sb="39" eb="41">
      <t>ハツデン</t>
    </rPh>
    <rPh sb="41" eb="42">
      <t>ショ</t>
    </rPh>
    <phoneticPr fontId="1"/>
  </si>
  <si>
    <t>優先給電ルールに基づく抑制、調整（１）</t>
    <rPh sb="0" eb="2">
      <t>ユウセン</t>
    </rPh>
    <rPh sb="2" eb="4">
      <t>キュウデン</t>
    </rPh>
    <rPh sb="8" eb="9">
      <t>モト</t>
    </rPh>
    <rPh sb="11" eb="13">
      <t>ヨクセイ</t>
    </rPh>
    <rPh sb="14" eb="16">
      <t>チョウセイ</t>
    </rPh>
    <phoneticPr fontId="1"/>
  </si>
  <si>
    <t>［万ｋＷ］</t>
    <rPh sb="1" eb="2">
      <t>マン</t>
    </rPh>
    <phoneticPr fontId="1"/>
  </si>
  <si>
    <t>A(59),B(32),C(4)</t>
    <phoneticPr fontId="1"/>
  </si>
  <si>
    <t>(c)</t>
  </si>
  <si>
    <t>(f)</t>
    <phoneticPr fontId="1"/>
  </si>
  <si>
    <t>(d)</t>
    <phoneticPr fontId="1"/>
  </si>
  <si>
    <t>(b)</t>
    <phoneticPr fontId="1"/>
  </si>
  <si>
    <t>(c)</t>
    <phoneticPr fontId="1"/>
  </si>
  <si>
    <t>(e)</t>
    <phoneticPr fontId="1"/>
  </si>
  <si>
    <t>(a)</t>
    <phoneticPr fontId="1"/>
  </si>
  <si>
    <t>A(60),B(31),C(4)</t>
    <phoneticPr fontId="1"/>
  </si>
  <si>
    <t>A(60),B(31),C(4)</t>
  </si>
  <si>
    <t>(f)</t>
  </si>
  <si>
    <t>(h) その他</t>
    <rPh sb="6" eb="7">
      <t>ホカ</t>
    </rPh>
    <phoneticPr fontId="1"/>
  </si>
  <si>
    <t>(f) 下げ調整力確保済みのため対応不要</t>
    <rPh sb="4" eb="5">
      <t>サ</t>
    </rPh>
    <rPh sb="6" eb="8">
      <t>チョウセイ</t>
    </rPh>
    <rPh sb="8" eb="9">
      <t>リョク</t>
    </rPh>
    <rPh sb="9" eb="11">
      <t>カクホ</t>
    </rPh>
    <rPh sb="11" eb="12">
      <t>ズ</t>
    </rPh>
    <rPh sb="16" eb="18">
      <t>タイオウ</t>
    </rPh>
    <rPh sb="18" eb="20">
      <t>フヨウ</t>
    </rPh>
    <phoneticPr fontId="1"/>
  </si>
  <si>
    <t>(g) 当日対応不可</t>
    <rPh sb="4" eb="6">
      <t>トウジツ</t>
    </rPh>
    <rPh sb="6" eb="8">
      <t>タイオウ</t>
    </rPh>
    <rPh sb="8" eb="10">
      <t>フカ</t>
    </rPh>
    <phoneticPr fontId="1"/>
  </si>
  <si>
    <t>A(61),B(31),C(4)</t>
    <phoneticPr fontId="1"/>
  </si>
  <si>
    <t>―</t>
    <phoneticPr fontId="1"/>
  </si>
  <si>
    <t>理由Ａ～Ｃ毎
（発電所数）</t>
    <rPh sb="0" eb="2">
      <t>リユウ</t>
    </rPh>
    <rPh sb="5" eb="6">
      <t>ゴト</t>
    </rPh>
    <rPh sb="8" eb="10">
      <t>ハツデン</t>
    </rPh>
    <rPh sb="10" eb="11">
      <t>ショ</t>
    </rPh>
    <rPh sb="11" eb="12">
      <t>スウ</t>
    </rPh>
    <phoneticPr fontId="1"/>
  </si>
  <si>
    <t>差異（②－①）</t>
    <rPh sb="0" eb="2">
      <t>サイ</t>
    </rPh>
    <phoneticPr fontId="1"/>
  </si>
  <si>
    <t>前日計画②</t>
    <rPh sb="0" eb="2">
      <t>ゼンジツ</t>
    </rPh>
    <rPh sb="2" eb="4">
      <t>ケイカク</t>
    </rPh>
    <phoneticPr fontId="1"/>
  </si>
  <si>
    <t>合意した
最低出力①
[出力率％]</t>
    <rPh sb="0" eb="2">
      <t>ゴウイ</t>
    </rPh>
    <rPh sb="5" eb="7">
      <t>サイテイ</t>
    </rPh>
    <rPh sb="7" eb="9">
      <t>シュツリョク</t>
    </rPh>
    <phoneticPr fontId="1"/>
  </si>
  <si>
    <t>当日計画②</t>
    <rPh sb="2" eb="4">
      <t>ケイカク</t>
    </rPh>
    <phoneticPr fontId="1"/>
  </si>
  <si>
    <t>(g)</t>
    <phoneticPr fontId="1"/>
  </si>
  <si>
    <t>差異理由(※)</t>
    <rPh sb="0" eb="2">
      <t>サイ</t>
    </rPh>
    <rPh sb="2" eb="4">
      <t>リユウ</t>
    </rPh>
    <phoneticPr fontId="1"/>
  </si>
  <si>
    <t>合意した最低
出力① ※2
[出力率％]</t>
    <rPh sb="0" eb="2">
      <t>ゴウイ</t>
    </rPh>
    <rPh sb="4" eb="6">
      <t>サイテイ</t>
    </rPh>
    <rPh sb="7" eb="9">
      <t>シュツリョク</t>
    </rPh>
    <phoneticPr fontId="1"/>
  </si>
  <si>
    <t>前日１２時時点
の空容量① ※1
（運用容量）</t>
    <rPh sb="0" eb="2">
      <t>ゼンジツ</t>
    </rPh>
    <rPh sb="4" eb="5">
      <t>ジ</t>
    </rPh>
    <rPh sb="5" eb="7">
      <t>ジテン</t>
    </rPh>
    <rPh sb="9" eb="10">
      <t>アキ</t>
    </rPh>
    <rPh sb="10" eb="12">
      <t>ヨウリョウ</t>
    </rPh>
    <rPh sb="18" eb="20">
      <t>ウンヨウ</t>
    </rPh>
    <rPh sb="20" eb="22">
      <t>ヨウリョウ</t>
    </rPh>
    <phoneticPr fontId="1"/>
  </si>
  <si>
    <t>当日時点
の空容量① ※1
（運用容量）</t>
    <rPh sb="0" eb="2">
      <t>トウジツ</t>
    </rPh>
    <rPh sb="2" eb="4">
      <t>ジテン</t>
    </rPh>
    <rPh sb="6" eb="7">
      <t>アキ</t>
    </rPh>
    <rPh sb="7" eb="9">
      <t>ヨウリョウ</t>
    </rPh>
    <rPh sb="15" eb="17">
      <t>ウンヨウ</t>
    </rPh>
    <rPh sb="17" eb="19">
      <t>ヨウリョウ</t>
    </rPh>
    <phoneticPr fontId="1"/>
  </si>
  <si>
    <t>(d)</t>
  </si>
  <si>
    <t>(h)</t>
  </si>
  <si>
    <t>最低出力①
[出力率％]</t>
    <rPh sb="0" eb="2">
      <t>サイテイ</t>
    </rPh>
    <rPh sb="2" eb="4">
      <t>シュツリョク</t>
    </rPh>
    <rPh sb="7" eb="9">
      <t>シュツリョク</t>
    </rPh>
    <rPh sb="9" eb="10">
      <t>リツ</t>
    </rPh>
    <phoneticPr fontId="1"/>
  </si>
  <si>
    <t>(e)</t>
  </si>
  <si>
    <t>充電最大電力①</t>
    <rPh sb="0" eb="2">
      <t>ジュウデン</t>
    </rPh>
    <rPh sb="2" eb="4">
      <t>サイダイ</t>
    </rPh>
    <rPh sb="4" eb="6">
      <t>デンリョク</t>
    </rPh>
    <phoneticPr fontId="1"/>
  </si>
  <si>
    <t>電力貯蔵装置の充電</t>
    <rPh sb="0" eb="2">
      <t>デンリョク</t>
    </rPh>
    <rPh sb="2" eb="4">
      <t>チョゾウ</t>
    </rPh>
    <rPh sb="4" eb="6">
      <t>ソウチ</t>
    </rPh>
    <rPh sb="7" eb="9">
      <t>ジュウデン</t>
    </rPh>
    <phoneticPr fontId="1"/>
  </si>
  <si>
    <t>揚水動力①</t>
    <rPh sb="0" eb="2">
      <t>ヨウスイ</t>
    </rPh>
    <rPh sb="2" eb="4">
      <t>ドウリョク</t>
    </rPh>
    <phoneticPr fontId="1"/>
  </si>
  <si>
    <t>当日計画②</t>
    <rPh sb="0" eb="2">
      <t>トウジツ</t>
    </rPh>
    <rPh sb="2" eb="4">
      <t>ケイカク</t>
    </rPh>
    <phoneticPr fontId="1"/>
  </si>
  <si>
    <t>最低出力①</t>
    <rPh sb="0" eb="2">
      <t>サイテイ</t>
    </rPh>
    <rPh sb="2" eb="4">
      <t>シュツリョク</t>
    </rPh>
    <phoneticPr fontId="1"/>
  </si>
  <si>
    <t>(h)</t>
    <phoneticPr fontId="1"/>
  </si>
  <si>
    <t>A(61),B(32),C(4)</t>
  </si>
  <si>
    <t>(c )</t>
    <phoneticPr fontId="1"/>
  </si>
  <si>
    <t>A(61),B(32),C(4)</t>
    <phoneticPr fontId="1"/>
  </si>
  <si>
    <t>(a)</t>
  </si>
  <si>
    <t>(b)</t>
  </si>
  <si>
    <t>(c )</t>
  </si>
  <si>
    <t>12時30分~13時</t>
    <rPh sb="2" eb="3">
      <t>ジ</t>
    </rPh>
    <rPh sb="5" eb="6">
      <t>フン</t>
    </rPh>
    <rPh sb="9" eb="10">
      <t>ジ</t>
    </rPh>
    <phoneticPr fontId="1"/>
  </si>
  <si>
    <t>12時30分～13時</t>
    <rPh sb="2" eb="3">
      <t>ジ</t>
    </rPh>
    <rPh sb="5" eb="6">
      <t>フン</t>
    </rPh>
    <rPh sb="9" eb="10">
      <t>ジ</t>
    </rPh>
    <phoneticPr fontId="1"/>
  </si>
  <si>
    <t>2024年度</t>
    <rPh sb="4" eb="6">
      <t>ネンド</t>
    </rPh>
    <phoneticPr fontId="34"/>
  </si>
  <si>
    <t>2023年度</t>
    <rPh sb="4" eb="6">
      <t>ネンド</t>
    </rPh>
    <phoneticPr fontId="34"/>
  </si>
  <si>
    <t>九州本土</t>
    <rPh sb="0" eb="4">
      <t>キュウシュウホンド</t>
    </rPh>
    <phoneticPr fontId="1"/>
  </si>
  <si>
    <t>11時30分～12時</t>
    <phoneticPr fontId="1"/>
  </si>
  <si>
    <t>【前日計画】</t>
    <rPh sb="1" eb="3">
      <t>ゼンジツ</t>
    </rPh>
    <rPh sb="3" eb="5">
      <t>ケイカク</t>
    </rPh>
    <phoneticPr fontId="1"/>
  </si>
  <si>
    <t>【当日見直し】</t>
    <rPh sb="1" eb="3">
      <t>トウジツ</t>
    </rPh>
    <rPh sb="3" eb="5">
      <t>ミナオ</t>
    </rPh>
    <phoneticPr fontId="1"/>
  </si>
  <si>
    <t>電源Ⅰ・Ⅱ（火力）</t>
    <rPh sb="0" eb="2">
      <t>デンゲン</t>
    </rPh>
    <rPh sb="6" eb="8">
      <t>カリョク</t>
    </rPh>
    <phoneticPr fontId="1"/>
  </si>
  <si>
    <t>当日見直しがあれば記載</t>
    <rPh sb="0" eb="2">
      <t>トウジツ</t>
    </rPh>
    <rPh sb="2" eb="4">
      <t>ミナオ</t>
    </rPh>
    <phoneticPr fontId="1"/>
  </si>
  <si>
    <t>電源Ⅲ（火力）</t>
    <rPh sb="0" eb="2">
      <t>デンゲン</t>
    </rPh>
    <rPh sb="4" eb="6">
      <t>カリョク</t>
    </rPh>
    <phoneticPr fontId="1"/>
  </si>
  <si>
    <t>※３：電力貯蔵装置の充電を含む。　※４：バイオマス混焼電源を含む。</t>
    <rPh sb="3" eb="5">
      <t>デンリョク</t>
    </rPh>
    <rPh sb="5" eb="7">
      <t>チョゾウ</t>
    </rPh>
    <rPh sb="7" eb="9">
      <t>ソウチ</t>
    </rPh>
    <phoneticPr fontId="1"/>
  </si>
  <si>
    <r>
      <t xml:space="preserve">電源Ⅰ・Ⅱ
火力
</t>
    </r>
    <r>
      <rPr>
        <sz val="11"/>
        <color rgb="FF0070C0"/>
        <rFont val="Meiryo UI"/>
        <family val="3"/>
        <charset val="128"/>
      </rPr>
      <t>ＬＦＣ調整力２％
確保の発電所</t>
    </r>
    <rPh sb="0" eb="2">
      <t>デンゲン</t>
    </rPh>
    <rPh sb="6" eb="8">
      <t>カリョク</t>
    </rPh>
    <rPh sb="13" eb="16">
      <t>チョウセイリョク</t>
    </rPh>
    <rPh sb="19" eb="21">
      <t>カクホ</t>
    </rPh>
    <rPh sb="22" eb="24">
      <t>ハツデン</t>
    </rPh>
    <rPh sb="24" eb="25">
      <t>ショ</t>
    </rPh>
    <phoneticPr fontId="1"/>
  </si>
  <si>
    <t>電源Ⅲ火力</t>
    <rPh sb="0" eb="2">
      <t>デンゲン</t>
    </rPh>
    <rPh sb="3" eb="5">
      <t>カリョク</t>
    </rPh>
    <phoneticPr fontId="1"/>
  </si>
  <si>
    <t xml:space="preserve">合意した
最低出力①
</t>
  </si>
  <si>
    <t>A(55),B(27),C(4)</t>
  </si>
  <si>
    <t xml:space="preserve"> </t>
    <phoneticPr fontId="1"/>
  </si>
  <si>
    <t>(a),(f)</t>
    <phoneticPr fontId="1"/>
  </si>
  <si>
    <t>(e),(f)</t>
    <phoneticPr fontId="1"/>
  </si>
  <si>
    <t>]</t>
    <phoneticPr fontId="1"/>
  </si>
  <si>
    <t>(c),(e)</t>
    <phoneticPr fontId="1"/>
  </si>
  <si>
    <t>(a),(e)</t>
    <phoneticPr fontId="1"/>
  </si>
  <si>
    <t>13時30分～14時</t>
  </si>
  <si>
    <t>（ｆ）</t>
  </si>
  <si>
    <t>（ａ）</t>
  </si>
  <si>
    <t>（ｂ）</t>
  </si>
  <si>
    <t>最低出力①</t>
    <phoneticPr fontId="1"/>
  </si>
  <si>
    <t>A(61),B(33),C(4)</t>
    <phoneticPr fontId="1"/>
  </si>
  <si>
    <t>響灘石炭火力 11/25~ 火力⇒専燃バイオ　ではなく非FITなので火力扱い</t>
    <rPh sb="0" eb="1">
      <t>ヒビ</t>
    </rPh>
    <rPh sb="1" eb="2">
      <t>ナダ</t>
    </rPh>
    <rPh sb="2" eb="4">
      <t>セキタン</t>
    </rPh>
    <rPh sb="4" eb="6">
      <t>カリョク</t>
    </rPh>
    <rPh sb="14" eb="16">
      <t>カリョク</t>
    </rPh>
    <rPh sb="17" eb="18">
      <t>セン</t>
    </rPh>
    <rPh sb="18" eb="19">
      <t>ネン</t>
    </rPh>
    <rPh sb="27" eb="28">
      <t>ヒ</t>
    </rPh>
    <rPh sb="34" eb="36">
      <t>カリョク</t>
    </rPh>
    <rPh sb="36" eb="37">
      <t>アツカ</t>
    </rPh>
    <phoneticPr fontId="1"/>
  </si>
  <si>
    <t>12時～12時30分</t>
    <rPh sb="9" eb="10">
      <t>フン</t>
    </rPh>
    <phoneticPr fontId="1"/>
  </si>
  <si>
    <t>12時00分~12時30分</t>
    <rPh sb="2" eb="3">
      <t>ジ</t>
    </rPh>
    <rPh sb="5" eb="6">
      <t>フン</t>
    </rPh>
    <rPh sb="9" eb="10">
      <t>ジ</t>
    </rPh>
    <rPh sb="12" eb="13">
      <t>フン</t>
    </rPh>
    <phoneticPr fontId="1"/>
  </si>
  <si>
    <t>A(62),B(34),C(4)</t>
    <phoneticPr fontId="1"/>
  </si>
  <si>
    <t xml:space="preserve">(f) その他	</t>
    <phoneticPr fontId="1"/>
  </si>
  <si>
    <t>(ｃ)</t>
    <phoneticPr fontId="1"/>
  </si>
  <si>
    <t>11時30分～12時</t>
    <rPh sb="2" eb="3">
      <t>ジ</t>
    </rPh>
    <rPh sb="5" eb="6">
      <t>フン</t>
    </rPh>
    <phoneticPr fontId="1"/>
  </si>
  <si>
    <t>（e）</t>
    <phoneticPr fontId="1"/>
  </si>
  <si>
    <t>12時～12時30分</t>
    <phoneticPr fontId="1"/>
  </si>
  <si>
    <t>（ｃ）</t>
  </si>
  <si>
    <t>A(62),B(34),C(5)</t>
    <phoneticPr fontId="1"/>
  </si>
  <si>
    <t>（e）</t>
  </si>
  <si>
    <t>九州本土</t>
    <phoneticPr fontId="1"/>
  </si>
  <si>
    <t>13時～13時30分</t>
    <phoneticPr fontId="1"/>
  </si>
  <si>
    <t>【前日計画】</t>
    <phoneticPr fontId="1"/>
  </si>
  <si>
    <t>【当日見直し】</t>
    <phoneticPr fontId="1"/>
  </si>
  <si>
    <t>A(63),B(34),C(5)</t>
    <phoneticPr fontId="1"/>
  </si>
  <si>
    <t>c</t>
    <phoneticPr fontId="1"/>
  </si>
  <si>
    <t>ｃ</t>
    <phoneticPr fontId="1"/>
  </si>
  <si>
    <t>e</t>
    <phoneticPr fontId="1"/>
  </si>
  <si>
    <t>a</t>
    <phoneticPr fontId="1"/>
  </si>
  <si>
    <t>f</t>
    <phoneticPr fontId="1"/>
  </si>
  <si>
    <t>ｂ</t>
    <phoneticPr fontId="1"/>
  </si>
  <si>
    <t>d</t>
    <phoneticPr fontId="1"/>
  </si>
  <si>
    <t>f</t>
  </si>
  <si>
    <t>(g)前日断面での抑制不要判断のため</t>
    <rPh sb="3" eb="7">
      <t>ゼンジツダンメン</t>
    </rPh>
    <rPh sb="9" eb="11">
      <t>ヨクセイ</t>
    </rPh>
    <rPh sb="11" eb="13">
      <t>フヨウ</t>
    </rPh>
    <rPh sb="13" eb="15">
      <t>ハンダン</t>
    </rPh>
    <phoneticPr fontId="1"/>
  </si>
  <si>
    <t>(h)当日制御対応不可</t>
    <rPh sb="3" eb="5">
      <t>トウジツ</t>
    </rPh>
    <rPh sb="5" eb="7">
      <t>セイギョ</t>
    </rPh>
    <rPh sb="7" eb="9">
      <t>タイオウ</t>
    </rPh>
    <rPh sb="9" eb="11">
      <t>フカ</t>
    </rPh>
    <phoneticPr fontId="1"/>
  </si>
  <si>
    <t>A(63),B(34),C(5)</t>
  </si>
  <si>
    <t>当日計画②</t>
    <rPh sb="0" eb="2">
      <t>トウジツ</t>
    </rPh>
    <phoneticPr fontId="1"/>
  </si>
  <si>
    <t>h</t>
    <phoneticPr fontId="1"/>
  </si>
  <si>
    <t>g</t>
    <phoneticPr fontId="1"/>
  </si>
  <si>
    <t>ｆ</t>
    <phoneticPr fontId="1"/>
  </si>
  <si>
    <t>ｄ</t>
    <phoneticPr fontId="1"/>
  </si>
  <si>
    <t>b</t>
    <phoneticPr fontId="1"/>
  </si>
  <si>
    <t>2025年度</t>
    <rPh sb="4" eb="6">
      <t>ネンド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</si>
</sst>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_ ;[Red]\-#,##0.0\ "/>
    <numFmt numFmtId="177" formatCode="#,##0.0;&quot;▲ &quot;#,##0.0"/>
    <numFmt numFmtId="178" formatCode="0.0;&quot;▲ &quot;0.0"/>
    <numFmt numFmtId="179" formatCode="m&quot;月&quot;d&quot;日&quot;\(aaa\)"/>
    <numFmt numFmtId="180" formatCode="#,##0.0_ "/>
    <numFmt numFmtId="181" formatCode="#,##0_ ;[Red]\-#,##0\ "/>
    <numFmt numFmtId="182" formatCode="#,##0.0;[Red]\-#,##0.0"/>
    <numFmt numFmtId="183" formatCode="&quot;―[&quot;0%&quot;]&quot;"/>
    <numFmt numFmtId="184" formatCode="&quot;[&quot;0%&quot;]&quot;"/>
    <numFmt numFmtId="185" formatCode="&quot;(&quot;#,##0.0&quot;）&quot;"/>
    <numFmt numFmtId="186" formatCode="&quot;[ &quot;0&quot;％］&quot;"/>
    <numFmt numFmtId="187" formatCode="\(#\)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2"/>
      <color rgb="FFC0000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 tint="0.499984740745262"/>
      <name val="Meiryo UI"/>
      <family val="3"/>
      <charset val="128"/>
    </font>
    <font>
      <sz val="14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sz val="12"/>
      <color rgb="FFFFFFFF"/>
      <name val="Meiryo UI"/>
      <family val="3"/>
      <charset val="128"/>
    </font>
    <font>
      <sz val="14"/>
      <color rgb="FF00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2"/>
      <color rgb="FF002060"/>
      <name val="Meiryo UI"/>
      <family val="3"/>
      <charset val="128"/>
    </font>
    <font>
      <b/>
      <sz val="11"/>
      <color rgb="FFC00000"/>
      <name val="Meiryo UI"/>
      <family val="3"/>
      <charset val="128"/>
    </font>
    <font>
      <sz val="9"/>
      <color theme="1"/>
      <name val="Meiryo UI"/>
      <family val="3"/>
      <charset val="128"/>
    </font>
    <font>
      <sz val="7.5"/>
      <color theme="1"/>
      <name val="Meiryo UI"/>
      <family val="3"/>
      <charset val="128"/>
    </font>
    <font>
      <sz val="12"/>
      <color rgb="FFC00000"/>
      <name val="Meiryo UI"/>
      <family val="3"/>
      <charset val="128"/>
    </font>
    <font>
      <sz val="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7.5"/>
      <color rgb="FF002060"/>
      <name val="Meiryo UI"/>
      <family val="3"/>
      <charset val="128"/>
    </font>
    <font>
      <sz val="12"/>
      <color rgb="FF0070C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color theme="1"/>
      <name val="ＭＳ 明朝"/>
      <family val="2"/>
      <charset val="128"/>
    </font>
    <font>
      <b/>
      <sz val="4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HG丸ｺﾞｼｯｸM-PRO"/>
      <family val="3"/>
      <charset val="128"/>
    </font>
    <font>
      <sz val="12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8FEA0"/>
        <bgColor indexed="64"/>
      </patternFill>
    </fill>
    <fill>
      <patternFill patternType="solid">
        <fgColor rgb="FFBDDAD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7EB2EE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9FF66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66"/>
        <bgColor rgb="FF000000"/>
      </patternFill>
    </fill>
    <fill>
      <patternFill patternType="solid">
        <fgColor rgb="FF7EB2EE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DDADF"/>
        <bgColor rgb="FF000000"/>
      </patternFill>
    </fill>
    <fill>
      <patternFill patternType="solid">
        <fgColor rgb="FFE8FEA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 diagonalUp="1">
      <left style="thin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/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</cellStyleXfs>
  <cellXfs count="5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18" borderId="1" xfId="0" applyFont="1" applyFill="1" applyBorder="1">
      <alignment vertical="center"/>
    </xf>
    <xf numFmtId="0" fontId="2" fillId="18" borderId="2" xfId="0" applyFont="1" applyFill="1" applyBorder="1">
      <alignment vertical="center"/>
    </xf>
    <xf numFmtId="0" fontId="5" fillId="18" borderId="0" xfId="0" applyFont="1" applyFill="1">
      <alignment vertical="center"/>
    </xf>
    <xf numFmtId="0" fontId="3" fillId="17" borderId="31" xfId="0" applyFont="1" applyFill="1" applyBorder="1" applyAlignment="1">
      <alignment horizontal="center" vertical="center" shrinkToFit="1"/>
    </xf>
    <xf numFmtId="0" fontId="3" fillId="17" borderId="25" xfId="0" applyFont="1" applyFill="1" applyBorder="1" applyAlignment="1">
      <alignment horizontal="center" vertical="center" shrinkToFit="1"/>
    </xf>
    <xf numFmtId="0" fontId="3" fillId="17" borderId="26" xfId="0" applyFont="1" applyFill="1" applyBorder="1" applyAlignment="1">
      <alignment horizontal="center" vertical="center" shrinkToFit="1"/>
    </xf>
    <xf numFmtId="177" fontId="3" fillId="4" borderId="25" xfId="0" applyNumberFormat="1" applyFont="1" applyFill="1" applyBorder="1" applyAlignment="1">
      <alignment horizontal="center" vertical="center" shrinkToFit="1"/>
    </xf>
    <xf numFmtId="177" fontId="7" fillId="9" borderId="24" xfId="0" applyNumberFormat="1" applyFont="1" applyFill="1" applyBorder="1" applyAlignment="1">
      <alignment horizontal="center" vertical="center" shrinkToFit="1"/>
    </xf>
    <xf numFmtId="177" fontId="9" fillId="10" borderId="12" xfId="0" applyNumberFormat="1" applyFont="1" applyFill="1" applyBorder="1" applyAlignment="1">
      <alignment horizontal="center" vertical="center" shrinkToFit="1"/>
    </xf>
    <xf numFmtId="177" fontId="7" fillId="14" borderId="12" xfId="0" applyNumberFormat="1" applyFont="1" applyFill="1" applyBorder="1" applyAlignment="1">
      <alignment horizontal="center" vertical="center" shrinkToFit="1"/>
    </xf>
    <xf numFmtId="177" fontId="7" fillId="15" borderId="12" xfId="0" applyNumberFormat="1" applyFont="1" applyFill="1" applyBorder="1" applyAlignment="1">
      <alignment horizontal="center" vertical="center" shrinkToFit="1"/>
    </xf>
    <xf numFmtId="177" fontId="7" fillId="16" borderId="12" xfId="0" applyNumberFormat="1" applyFont="1" applyFill="1" applyBorder="1" applyAlignment="1">
      <alignment horizontal="center" vertical="center" shrinkToFit="1"/>
    </xf>
    <xf numFmtId="177" fontId="7" fillId="6" borderId="12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Border="1" applyAlignment="1">
      <alignment horizontal="center" vertical="center" shrinkToFit="1"/>
    </xf>
    <xf numFmtId="177" fontId="7" fillId="8" borderId="24" xfId="0" applyNumberFormat="1" applyFont="1" applyFill="1" applyBorder="1" applyAlignment="1">
      <alignment horizontal="center" vertical="center" shrinkToFit="1"/>
    </xf>
    <xf numFmtId="177" fontId="7" fillId="0" borderId="9" xfId="0" applyNumberFormat="1" applyFont="1" applyBorder="1" applyAlignment="1">
      <alignment horizontal="center" vertical="center" shrinkToFit="1"/>
    </xf>
    <xf numFmtId="177" fontId="7" fillId="7" borderId="27" xfId="0" applyNumberFormat="1" applyFont="1" applyFill="1" applyBorder="1" applyAlignment="1">
      <alignment horizontal="center" vertical="center" shrinkToFit="1"/>
    </xf>
    <xf numFmtId="177" fontId="7" fillId="5" borderId="9" xfId="0" applyNumberFormat="1" applyFont="1" applyFill="1" applyBorder="1" applyAlignment="1">
      <alignment horizontal="center" vertical="center" shrinkToFit="1"/>
    </xf>
    <xf numFmtId="177" fontId="6" fillId="0" borderId="41" xfId="0" applyNumberFormat="1" applyFont="1" applyBorder="1" applyAlignment="1">
      <alignment horizontal="center" vertical="center" shrinkToFit="1"/>
    </xf>
    <xf numFmtId="177" fontId="6" fillId="2" borderId="4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177" fontId="6" fillId="2" borderId="25" xfId="0" applyNumberFormat="1" applyFont="1" applyFill="1" applyBorder="1" applyAlignment="1">
      <alignment horizontal="center" vertical="center" shrinkToFit="1"/>
    </xf>
    <xf numFmtId="177" fontId="7" fillId="11" borderId="12" xfId="0" applyNumberFormat="1" applyFont="1" applyFill="1" applyBorder="1" applyAlignment="1" applyProtection="1">
      <alignment horizontal="center" vertical="center" shrinkToFit="1"/>
      <protection locked="0"/>
    </xf>
    <xf numFmtId="177" fontId="7" fillId="12" borderId="12" xfId="0" applyNumberFormat="1" applyFont="1" applyFill="1" applyBorder="1" applyAlignment="1" applyProtection="1">
      <alignment horizontal="center" vertical="center" shrinkToFit="1"/>
      <protection locked="0"/>
    </xf>
    <xf numFmtId="177" fontId="7" fillId="13" borderId="12" xfId="0" applyNumberFormat="1" applyFont="1" applyFill="1" applyBorder="1" applyAlignment="1" applyProtection="1">
      <alignment horizontal="center" vertical="center" shrinkToFit="1"/>
      <protection locked="0"/>
    </xf>
    <xf numFmtId="0" fontId="5" fillId="18" borderId="3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7" fillId="9" borderId="35" xfId="1" applyFont="1" applyFill="1" applyBorder="1" applyAlignment="1">
      <alignment horizontal="center" vertical="center" shrinkToFit="1"/>
    </xf>
    <xf numFmtId="0" fontId="9" fillId="10" borderId="13" xfId="1" applyFont="1" applyFill="1" applyBorder="1" applyAlignment="1">
      <alignment horizontal="center" vertical="center" shrinkToFit="1"/>
    </xf>
    <xf numFmtId="0" fontId="7" fillId="11" borderId="13" xfId="1" applyFont="1" applyFill="1" applyBorder="1" applyAlignment="1">
      <alignment horizontal="center" vertical="center" shrinkToFit="1"/>
    </xf>
    <xf numFmtId="0" fontId="7" fillId="11" borderId="16" xfId="1" applyFont="1" applyFill="1" applyBorder="1" applyAlignment="1">
      <alignment horizontal="center" vertical="center" shrinkToFit="1"/>
    </xf>
    <xf numFmtId="0" fontId="7" fillId="12" borderId="13" xfId="1" applyFont="1" applyFill="1" applyBorder="1" applyAlignment="1">
      <alignment horizontal="center" vertical="center" shrinkToFit="1"/>
    </xf>
    <xf numFmtId="0" fontId="7" fillId="12" borderId="16" xfId="1" applyFont="1" applyFill="1" applyBorder="1" applyAlignment="1">
      <alignment horizontal="center" vertical="center" shrinkToFit="1"/>
    </xf>
    <xf numFmtId="0" fontId="7" fillId="13" borderId="13" xfId="1" applyFont="1" applyFill="1" applyBorder="1" applyAlignment="1">
      <alignment horizontal="center" vertical="center" shrinkToFit="1"/>
    </xf>
    <xf numFmtId="0" fontId="7" fillId="13" borderId="16" xfId="1" applyFont="1" applyFill="1" applyBorder="1" applyAlignment="1">
      <alignment horizontal="center" vertical="center" shrinkToFit="1"/>
    </xf>
    <xf numFmtId="0" fontId="7" fillId="14" borderId="13" xfId="1" applyFont="1" applyFill="1" applyBorder="1" applyAlignment="1">
      <alignment horizontal="center" vertical="center" shrinkToFit="1"/>
    </xf>
    <xf numFmtId="0" fontId="7" fillId="14" borderId="16" xfId="1" applyFont="1" applyFill="1" applyBorder="1" applyAlignment="1">
      <alignment horizontal="center" vertical="center" shrinkToFit="1"/>
    </xf>
    <xf numFmtId="0" fontId="7" fillId="15" borderId="13" xfId="1" applyFont="1" applyFill="1" applyBorder="1" applyAlignment="1">
      <alignment horizontal="center" vertical="center" shrinkToFit="1"/>
    </xf>
    <xf numFmtId="0" fontId="7" fillId="15" borderId="16" xfId="1" applyFont="1" applyFill="1" applyBorder="1" applyAlignment="1">
      <alignment horizontal="center" vertical="center" shrinkToFit="1"/>
    </xf>
    <xf numFmtId="0" fontId="7" fillId="16" borderId="16" xfId="1" applyFont="1" applyFill="1" applyBorder="1" applyAlignment="1">
      <alignment horizontal="center" vertical="center" shrinkToFit="1"/>
    </xf>
    <xf numFmtId="0" fontId="7" fillId="6" borderId="13" xfId="1" applyFont="1" applyFill="1" applyBorder="1" applyAlignment="1">
      <alignment horizontal="center" vertical="center" shrinkToFit="1"/>
    </xf>
    <xf numFmtId="0" fontId="7" fillId="6" borderId="16" xfId="1" applyFont="1" applyFill="1" applyBorder="1" applyAlignment="1">
      <alignment horizontal="center" vertical="center" shrinkToFit="1"/>
    </xf>
    <xf numFmtId="0" fontId="5" fillId="4" borderId="37" xfId="1" applyFont="1" applyFill="1" applyBorder="1" applyAlignment="1">
      <alignment horizontal="center" vertical="center" shrinkToFit="1"/>
    </xf>
    <xf numFmtId="0" fontId="3" fillId="4" borderId="39" xfId="1" applyFont="1" applyFill="1" applyBorder="1" applyAlignment="1">
      <alignment horizontal="center" vertical="center" shrinkToFit="1"/>
    </xf>
    <xf numFmtId="0" fontId="7" fillId="8" borderId="29" xfId="1" applyFont="1" applyFill="1" applyBorder="1" applyAlignment="1">
      <alignment horizontal="left" vertical="center" shrinkToFit="1"/>
    </xf>
    <xf numFmtId="0" fontId="7" fillId="17" borderId="30" xfId="1" applyFont="1" applyFill="1" applyBorder="1" applyAlignment="1">
      <alignment horizontal="left" vertical="center" shrinkToFit="1"/>
    </xf>
    <xf numFmtId="0" fontId="7" fillId="7" borderId="29" xfId="1" applyFont="1" applyFill="1" applyBorder="1" applyAlignment="1">
      <alignment horizontal="left" vertical="center" shrinkToFit="1"/>
    </xf>
    <xf numFmtId="0" fontId="7" fillId="5" borderId="30" xfId="1" applyFont="1" applyFill="1" applyBorder="1" applyAlignment="1">
      <alignment horizontal="left" vertical="center" shrinkToFit="1"/>
    </xf>
    <xf numFmtId="0" fontId="5" fillId="18" borderId="2" xfId="1" applyFont="1" applyFill="1" applyBorder="1">
      <alignment vertical="center"/>
    </xf>
    <xf numFmtId="0" fontId="5" fillId="18" borderId="0" xfId="1" applyFont="1" applyFill="1">
      <alignment vertical="center"/>
    </xf>
    <xf numFmtId="0" fontId="10" fillId="3" borderId="49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2" fillId="0" borderId="53" xfId="1" applyFont="1" applyBorder="1">
      <alignment vertical="center"/>
    </xf>
    <xf numFmtId="181" fontId="2" fillId="0" borderId="53" xfId="1" applyNumberFormat="1" applyFont="1" applyBorder="1">
      <alignment vertical="center"/>
    </xf>
    <xf numFmtId="0" fontId="2" fillId="0" borderId="53" xfId="1" applyFont="1" applyBorder="1" applyAlignment="1">
      <alignment horizontal="center" vertical="center"/>
    </xf>
    <xf numFmtId="0" fontId="13" fillId="0" borderId="2" xfId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177" fontId="10" fillId="3" borderId="28" xfId="0" applyNumberFormat="1" applyFont="1" applyFill="1" applyBorder="1" applyAlignment="1">
      <alignment horizontal="center" vertical="center" shrinkToFit="1"/>
    </xf>
    <xf numFmtId="0" fontId="2" fillId="0" borderId="54" xfId="1" applyFont="1" applyBorder="1" applyAlignment="1">
      <alignment horizontal="center" vertical="center"/>
    </xf>
    <xf numFmtId="0" fontId="13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55" xfId="1" applyFont="1" applyBorder="1" applyAlignment="1">
      <alignment horizontal="center" vertical="center"/>
    </xf>
    <xf numFmtId="181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0" xfId="1" applyFont="1">
      <alignment vertical="center"/>
    </xf>
    <xf numFmtId="176" fontId="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181" fontId="2" fillId="0" borderId="0" xfId="1" applyNumberFormat="1" applyFont="1">
      <alignment vertical="center"/>
    </xf>
    <xf numFmtId="181" fontId="15" fillId="0" borderId="0" xfId="1" applyNumberFormat="1" applyFont="1">
      <alignment vertical="center"/>
    </xf>
    <xf numFmtId="0" fontId="15" fillId="0" borderId="0" xfId="1" applyFont="1" applyAlignment="1">
      <alignment horizontal="center" vertical="center"/>
    </xf>
    <xf numFmtId="0" fontId="15" fillId="0" borderId="55" xfId="1" applyFont="1" applyBorder="1" applyAlignment="1">
      <alignment horizontal="center" vertical="center"/>
    </xf>
    <xf numFmtId="0" fontId="2" fillId="0" borderId="55" xfId="1" applyFont="1" applyBorder="1">
      <alignment vertical="center"/>
    </xf>
    <xf numFmtId="0" fontId="2" fillId="0" borderId="56" xfId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0" fontId="7" fillId="9" borderId="29" xfId="0" applyFont="1" applyFill="1" applyBorder="1" applyAlignment="1">
      <alignment horizontal="center" vertical="center" shrinkToFit="1"/>
    </xf>
    <xf numFmtId="0" fontId="9" fillId="10" borderId="16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 readingOrder="1"/>
    </xf>
    <xf numFmtId="0" fontId="8" fillId="0" borderId="0" xfId="0" applyFont="1">
      <alignment vertical="center"/>
    </xf>
    <xf numFmtId="0" fontId="16" fillId="0" borderId="4" xfId="0" applyFont="1" applyBorder="1" applyAlignment="1">
      <alignment horizontal="left" vertical="center" readingOrder="1"/>
    </xf>
    <xf numFmtId="0" fontId="8" fillId="0" borderId="4" xfId="0" applyFont="1" applyBorder="1">
      <alignment vertical="center"/>
    </xf>
    <xf numFmtId="0" fontId="2" fillId="0" borderId="4" xfId="0" applyFont="1" applyBorder="1">
      <alignment vertical="center"/>
    </xf>
    <xf numFmtId="179" fontId="17" fillId="0" borderId="58" xfId="0" applyNumberFormat="1" applyFont="1" applyBorder="1" applyAlignment="1" applyProtection="1">
      <alignment horizontal="center" vertical="center" shrinkToFit="1"/>
      <protection locked="0"/>
    </xf>
    <xf numFmtId="0" fontId="17" fillId="0" borderId="6" xfId="0" applyFont="1" applyBorder="1" applyAlignment="1" applyProtection="1">
      <alignment horizontal="left" vertical="center" shrinkToFit="1"/>
      <protection locked="0"/>
    </xf>
    <xf numFmtId="0" fontId="17" fillId="19" borderId="31" xfId="0" applyFont="1" applyFill="1" applyBorder="1" applyAlignment="1">
      <alignment horizontal="center" vertical="center" shrinkToFit="1"/>
    </xf>
    <xf numFmtId="0" fontId="17" fillId="19" borderId="26" xfId="0" applyFont="1" applyFill="1" applyBorder="1" applyAlignment="1">
      <alignment horizontal="center" vertical="center" shrinkToFit="1"/>
    </xf>
    <xf numFmtId="177" fontId="7" fillId="20" borderId="59" xfId="0" applyNumberFormat="1" applyFont="1" applyFill="1" applyBorder="1" applyAlignment="1">
      <alignment horizontal="center" vertical="center" shrinkToFit="1"/>
    </xf>
    <xf numFmtId="177" fontId="18" fillId="21" borderId="60" xfId="0" applyNumberFormat="1" applyFont="1" applyFill="1" applyBorder="1" applyAlignment="1">
      <alignment horizontal="center" vertical="center" shrinkToFit="1"/>
    </xf>
    <xf numFmtId="177" fontId="7" fillId="22" borderId="60" xfId="0" applyNumberFormat="1" applyFont="1" applyFill="1" applyBorder="1" applyAlignment="1" applyProtection="1">
      <alignment horizontal="center" vertical="center" shrinkToFit="1"/>
      <protection locked="0"/>
    </xf>
    <xf numFmtId="177" fontId="7" fillId="23" borderId="60" xfId="0" applyNumberFormat="1" applyFont="1" applyFill="1" applyBorder="1" applyAlignment="1" applyProtection="1">
      <alignment horizontal="center" vertical="center" shrinkToFit="1"/>
      <protection locked="0"/>
    </xf>
    <xf numFmtId="177" fontId="7" fillId="24" borderId="60" xfId="0" applyNumberFormat="1" applyFont="1" applyFill="1" applyBorder="1" applyAlignment="1" applyProtection="1">
      <alignment horizontal="center" vertical="center" shrinkToFit="1"/>
      <protection locked="0"/>
    </xf>
    <xf numFmtId="177" fontId="7" fillId="25" borderId="60" xfId="0" applyNumberFormat="1" applyFont="1" applyFill="1" applyBorder="1" applyAlignment="1">
      <alignment horizontal="center" vertical="center" shrinkToFit="1"/>
    </xf>
    <xf numFmtId="177" fontId="7" fillId="26" borderId="60" xfId="0" applyNumberFormat="1" applyFont="1" applyFill="1" applyBorder="1" applyAlignment="1">
      <alignment horizontal="center" vertical="center" shrinkToFit="1"/>
    </xf>
    <xf numFmtId="177" fontId="7" fillId="27" borderId="60" xfId="0" applyNumberFormat="1" applyFont="1" applyFill="1" applyBorder="1" applyAlignment="1">
      <alignment horizontal="center" vertical="center" shrinkToFit="1"/>
    </xf>
    <xf numFmtId="177" fontId="7" fillId="28" borderId="60" xfId="0" applyNumberFormat="1" applyFont="1" applyFill="1" applyBorder="1" applyAlignment="1">
      <alignment horizontal="center" vertical="center" shrinkToFit="1"/>
    </xf>
    <xf numFmtId="177" fontId="6" fillId="0" borderId="61" xfId="0" applyNumberFormat="1" applyFont="1" applyBorder="1" applyAlignment="1">
      <alignment horizontal="center" vertical="center" shrinkToFit="1"/>
    </xf>
    <xf numFmtId="177" fontId="6" fillId="29" borderId="31" xfId="0" applyNumberFormat="1" applyFont="1" applyFill="1" applyBorder="1" applyAlignment="1">
      <alignment horizontal="center" vertical="center" shrinkToFit="1"/>
    </xf>
    <xf numFmtId="177" fontId="7" fillId="30" borderId="59" xfId="0" applyNumberFormat="1" applyFont="1" applyFill="1" applyBorder="1" applyAlignment="1">
      <alignment horizontal="center" vertical="center" shrinkToFit="1"/>
    </xf>
    <xf numFmtId="177" fontId="7" fillId="0" borderId="22" xfId="0" applyNumberFormat="1" applyFont="1" applyBorder="1" applyAlignment="1">
      <alignment horizontal="center" vertical="center" shrinkToFit="1"/>
    </xf>
    <xf numFmtId="177" fontId="7" fillId="31" borderId="59" xfId="0" applyNumberFormat="1" applyFont="1" applyFill="1" applyBorder="1" applyAlignment="1">
      <alignment horizontal="center" vertical="center" shrinkToFit="1"/>
    </xf>
    <xf numFmtId="177" fontId="7" fillId="32" borderId="22" xfId="0" applyNumberFormat="1" applyFont="1" applyFill="1" applyBorder="1" applyAlignment="1">
      <alignment horizontal="center" vertical="center" shrinkToFit="1"/>
    </xf>
    <xf numFmtId="0" fontId="19" fillId="0" borderId="0" xfId="0" applyFont="1" applyAlignment="1">
      <alignment horizontal="left" vertical="center" readingOrder="1"/>
    </xf>
    <xf numFmtId="179" fontId="3" fillId="0" borderId="58" xfId="0" applyNumberFormat="1" applyFont="1" applyBorder="1" applyAlignment="1" applyProtection="1">
      <alignment horizontal="center" vertical="center" shrinkToFit="1"/>
      <protection locked="0"/>
    </xf>
    <xf numFmtId="179" fontId="3" fillId="17" borderId="0" xfId="0" applyNumberFormat="1" applyFont="1" applyFill="1" applyAlignment="1" applyProtection="1">
      <alignment horizontal="center" vertical="center" shrinkToFit="1"/>
      <protection locked="0"/>
    </xf>
    <xf numFmtId="0" fontId="3" fillId="17" borderId="0" xfId="0" applyFont="1" applyFill="1" applyAlignment="1" applyProtection="1">
      <alignment horizontal="left" vertical="center" shrinkToFit="1"/>
      <protection locked="0"/>
    </xf>
    <xf numFmtId="0" fontId="3" fillId="17" borderId="0" xfId="0" applyFont="1" applyFill="1" applyAlignment="1">
      <alignment horizontal="center" vertical="center" shrinkToFit="1"/>
    </xf>
    <xf numFmtId="0" fontId="7" fillId="9" borderId="32" xfId="0" applyFont="1" applyFill="1" applyBorder="1" applyAlignment="1">
      <alignment horizontal="center" vertical="center" shrinkToFit="1"/>
    </xf>
    <xf numFmtId="177" fontId="7" fillId="9" borderId="59" xfId="0" applyNumberFormat="1" applyFont="1" applyFill="1" applyBorder="1" applyAlignment="1">
      <alignment horizontal="center" vertical="center" shrinkToFit="1"/>
    </xf>
    <xf numFmtId="177" fontId="7" fillId="17" borderId="0" xfId="0" applyNumberFormat="1" applyFont="1" applyFill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177" fontId="9" fillId="10" borderId="60" xfId="0" applyNumberFormat="1" applyFont="1" applyFill="1" applyBorder="1" applyAlignment="1">
      <alignment horizontal="center" vertical="center" shrinkToFit="1"/>
    </xf>
    <xf numFmtId="177" fontId="9" fillId="17" borderId="0" xfId="0" applyNumberFormat="1" applyFont="1" applyFill="1" applyAlignment="1">
      <alignment horizontal="center" vertical="center" shrinkToFit="1"/>
    </xf>
    <xf numFmtId="0" fontId="7" fillId="11" borderId="11" xfId="1" applyFont="1" applyFill="1" applyBorder="1" applyAlignment="1">
      <alignment horizontal="center" vertical="center" shrinkToFit="1"/>
    </xf>
    <xf numFmtId="177" fontId="7" fillId="11" borderId="60" xfId="0" applyNumberFormat="1" applyFont="1" applyFill="1" applyBorder="1" applyAlignment="1" applyProtection="1">
      <alignment horizontal="center" vertical="center" shrinkToFit="1"/>
      <protection locked="0"/>
    </xf>
    <xf numFmtId="177" fontId="7" fillId="17" borderId="0" xfId="0" applyNumberFormat="1" applyFont="1" applyFill="1" applyAlignment="1" applyProtection="1">
      <alignment horizontal="center" vertical="center" shrinkToFit="1"/>
      <protection locked="0"/>
    </xf>
    <xf numFmtId="0" fontId="7" fillId="12" borderId="11" xfId="1" applyFont="1" applyFill="1" applyBorder="1" applyAlignment="1">
      <alignment horizontal="center" vertical="center" shrinkToFit="1"/>
    </xf>
    <xf numFmtId="177" fontId="7" fillId="12" borderId="60" xfId="0" applyNumberFormat="1" applyFont="1" applyFill="1" applyBorder="1" applyAlignment="1" applyProtection="1">
      <alignment horizontal="center" vertical="center" shrinkToFit="1"/>
      <protection locked="0"/>
    </xf>
    <xf numFmtId="0" fontId="7" fillId="13" borderId="11" xfId="1" applyFont="1" applyFill="1" applyBorder="1" applyAlignment="1">
      <alignment horizontal="center" vertical="center" shrinkToFit="1"/>
    </xf>
    <xf numFmtId="177" fontId="7" fillId="13" borderId="60" xfId="0" applyNumberFormat="1" applyFont="1" applyFill="1" applyBorder="1" applyAlignment="1" applyProtection="1">
      <alignment horizontal="center" vertical="center" shrinkToFit="1"/>
      <protection locked="0"/>
    </xf>
    <xf numFmtId="0" fontId="7" fillId="14" borderId="11" xfId="1" applyFont="1" applyFill="1" applyBorder="1" applyAlignment="1">
      <alignment horizontal="center" vertical="center" shrinkToFit="1"/>
    </xf>
    <xf numFmtId="177" fontId="7" fillId="14" borderId="60" xfId="0" applyNumberFormat="1" applyFont="1" applyFill="1" applyBorder="1" applyAlignment="1">
      <alignment horizontal="center" vertical="center" shrinkToFit="1"/>
    </xf>
    <xf numFmtId="0" fontId="7" fillId="15" borderId="11" xfId="1" applyFont="1" applyFill="1" applyBorder="1" applyAlignment="1">
      <alignment horizontal="center" vertical="center" shrinkToFit="1"/>
    </xf>
    <xf numFmtId="177" fontId="7" fillId="15" borderId="60" xfId="0" applyNumberFormat="1" applyFont="1" applyFill="1" applyBorder="1" applyAlignment="1">
      <alignment horizontal="center" vertical="center" shrinkToFit="1"/>
    </xf>
    <xf numFmtId="0" fontId="7" fillId="16" borderId="11" xfId="1" applyFont="1" applyFill="1" applyBorder="1" applyAlignment="1">
      <alignment horizontal="center" vertical="center" shrinkToFit="1"/>
    </xf>
    <xf numFmtId="177" fontId="7" fillId="16" borderId="60" xfId="0" applyNumberFormat="1" applyFont="1" applyFill="1" applyBorder="1" applyAlignment="1">
      <alignment horizontal="center" vertical="center" shrinkToFit="1"/>
    </xf>
    <xf numFmtId="0" fontId="7" fillId="6" borderId="11" xfId="1" applyFont="1" applyFill="1" applyBorder="1" applyAlignment="1">
      <alignment horizontal="center" vertical="center" shrinkToFit="1"/>
    </xf>
    <xf numFmtId="177" fontId="7" fillId="6" borderId="60" xfId="0" applyNumberFormat="1" applyFont="1" applyFill="1" applyBorder="1" applyAlignment="1">
      <alignment horizontal="center" vertical="center" shrinkToFit="1"/>
    </xf>
    <xf numFmtId="177" fontId="6" fillId="17" borderId="0" xfId="0" applyNumberFormat="1" applyFont="1" applyFill="1" applyAlignment="1">
      <alignment horizontal="center" vertical="center" shrinkToFit="1"/>
    </xf>
    <xf numFmtId="0" fontId="3" fillId="4" borderId="38" xfId="1" applyFont="1" applyFill="1" applyBorder="1" applyAlignment="1">
      <alignment horizontal="center" vertical="center" shrinkToFit="1"/>
    </xf>
    <xf numFmtId="177" fontId="3" fillId="4" borderId="31" xfId="0" applyNumberFormat="1" applyFont="1" applyFill="1" applyBorder="1" applyAlignment="1">
      <alignment horizontal="center" vertical="center" shrinkToFit="1"/>
    </xf>
    <xf numFmtId="177" fontId="3" fillId="17" borderId="0" xfId="0" applyNumberFormat="1" applyFont="1" applyFill="1" applyAlignment="1">
      <alignment horizontal="center" vertical="center" shrinkToFit="1"/>
    </xf>
    <xf numFmtId="0" fontId="7" fillId="8" borderId="32" xfId="1" applyFont="1" applyFill="1" applyBorder="1" applyAlignment="1">
      <alignment horizontal="left" vertical="center" shrinkToFit="1"/>
    </xf>
    <xf numFmtId="177" fontId="7" fillId="8" borderId="59" xfId="0" applyNumberFormat="1" applyFont="1" applyFill="1" applyBorder="1" applyAlignment="1">
      <alignment horizontal="center" vertical="center" shrinkToFit="1"/>
    </xf>
    <xf numFmtId="0" fontId="7" fillId="17" borderId="33" xfId="1" applyFont="1" applyFill="1" applyBorder="1" applyAlignment="1">
      <alignment horizontal="left" vertical="center" shrinkToFit="1"/>
    </xf>
    <xf numFmtId="0" fontId="7" fillId="7" borderId="32" xfId="1" applyFont="1" applyFill="1" applyBorder="1" applyAlignment="1">
      <alignment horizontal="left" vertical="center" shrinkToFit="1"/>
    </xf>
    <xf numFmtId="177" fontId="7" fillId="7" borderId="59" xfId="0" applyNumberFormat="1" applyFont="1" applyFill="1" applyBorder="1" applyAlignment="1">
      <alignment horizontal="center" vertical="center" shrinkToFit="1"/>
    </xf>
    <xf numFmtId="0" fontId="7" fillId="5" borderId="33" xfId="1" applyFont="1" applyFill="1" applyBorder="1" applyAlignment="1">
      <alignment horizontal="left" vertical="center" shrinkToFit="1"/>
    </xf>
    <xf numFmtId="177" fontId="7" fillId="5" borderId="22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177" fontId="6" fillId="0" borderId="62" xfId="0" applyNumberFormat="1" applyFont="1" applyBorder="1" applyAlignment="1">
      <alignment horizontal="center" vertical="center" shrinkToFit="1"/>
    </xf>
    <xf numFmtId="177" fontId="6" fillId="2" borderId="63" xfId="0" applyNumberFormat="1" applyFont="1" applyFill="1" applyBorder="1" applyAlignment="1">
      <alignment horizontal="center" vertical="center" shrinkToFit="1"/>
    </xf>
    <xf numFmtId="177" fontId="10" fillId="3" borderId="61" xfId="0" applyNumberFormat="1" applyFont="1" applyFill="1" applyBorder="1" applyAlignment="1">
      <alignment horizontal="center" vertical="center" shrinkToFit="1"/>
    </xf>
    <xf numFmtId="177" fontId="10" fillId="17" borderId="0" xfId="0" applyNumberFormat="1" applyFont="1" applyFill="1" applyAlignment="1">
      <alignment horizontal="center" vertical="center" shrinkToFit="1"/>
    </xf>
    <xf numFmtId="0" fontId="2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182" fontId="5" fillId="0" borderId="15" xfId="0" applyNumberFormat="1" applyFont="1" applyBorder="1" applyAlignment="1" applyProtection="1">
      <alignment horizontal="center" vertical="center" shrinkToFit="1"/>
      <protection locked="0"/>
    </xf>
    <xf numFmtId="183" fontId="5" fillId="0" borderId="61" xfId="0" applyNumberFormat="1" applyFont="1" applyBorder="1" applyAlignment="1" applyProtection="1">
      <alignment horizontal="center" vertical="center" shrinkToFit="1"/>
      <protection locked="0"/>
    </xf>
    <xf numFmtId="0" fontId="2" fillId="0" borderId="65" xfId="0" applyFont="1" applyBorder="1" applyAlignment="1">
      <alignment horizontal="center" vertical="center" shrinkToFit="1"/>
    </xf>
    <xf numFmtId="177" fontId="5" fillId="0" borderId="66" xfId="0" applyNumberFormat="1" applyFont="1" applyBorder="1" applyAlignment="1">
      <alignment horizontal="center" vertical="center" shrinkToFit="1"/>
    </xf>
    <xf numFmtId="177" fontId="5" fillId="33" borderId="12" xfId="0" applyNumberFormat="1" applyFont="1" applyFill="1" applyBorder="1" applyAlignment="1">
      <alignment horizontal="center" vertical="center" shrinkToFit="1"/>
    </xf>
    <xf numFmtId="177" fontId="5" fillId="0" borderId="12" xfId="0" applyNumberFormat="1" applyFont="1" applyBorder="1" applyAlignment="1" applyProtection="1">
      <alignment horizontal="center" vertical="center" shrinkToFit="1"/>
      <protection locked="0"/>
    </xf>
    <xf numFmtId="177" fontId="5" fillId="0" borderId="67" xfId="0" applyNumberFormat="1" applyFont="1" applyBorder="1" applyAlignment="1" applyProtection="1">
      <alignment horizontal="center" vertical="center" shrinkToFit="1"/>
      <protection locked="0"/>
    </xf>
    <xf numFmtId="0" fontId="2" fillId="0" borderId="68" xfId="0" applyFont="1" applyBorder="1" applyAlignment="1">
      <alignment horizontal="center" vertical="center" shrinkToFit="1"/>
    </xf>
    <xf numFmtId="0" fontId="2" fillId="0" borderId="69" xfId="0" applyFont="1" applyBorder="1" applyAlignment="1">
      <alignment horizontal="center" vertical="center" wrapText="1"/>
    </xf>
    <xf numFmtId="0" fontId="2" fillId="33" borderId="24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56" fontId="24" fillId="0" borderId="27" xfId="0" applyNumberFormat="1" applyFont="1" applyBorder="1" applyAlignment="1">
      <alignment horizontal="center" vertical="center" wrapText="1" shrinkToFit="1"/>
    </xf>
    <xf numFmtId="0" fontId="2" fillId="0" borderId="70" xfId="0" applyFont="1" applyBorder="1" applyAlignment="1">
      <alignment horizontal="center" vertical="center" shrinkToFit="1"/>
    </xf>
    <xf numFmtId="0" fontId="2" fillId="18" borderId="39" xfId="0" applyFont="1" applyFill="1" applyBorder="1" applyAlignment="1">
      <alignment horizontal="center" vertical="center"/>
    </xf>
    <xf numFmtId="0" fontId="2" fillId="18" borderId="38" xfId="0" applyFont="1" applyFill="1" applyBorder="1">
      <alignment vertical="center"/>
    </xf>
    <xf numFmtId="0" fontId="2" fillId="18" borderId="38" xfId="0" applyFont="1" applyFill="1" applyBorder="1" applyAlignment="1">
      <alignment horizontal="center" vertical="center"/>
    </xf>
    <xf numFmtId="0" fontId="2" fillId="18" borderId="72" xfId="0" applyFont="1" applyFill="1" applyBorder="1">
      <alignment vertical="center"/>
    </xf>
    <xf numFmtId="184" fontId="5" fillId="0" borderId="22" xfId="0" applyNumberFormat="1" applyFont="1" applyBorder="1" applyAlignment="1" applyProtection="1">
      <alignment horizontal="center" vertical="center" shrinkToFit="1"/>
      <protection locked="0"/>
    </xf>
    <xf numFmtId="177" fontId="5" fillId="0" borderId="76" xfId="0" applyNumberFormat="1" applyFont="1" applyBorder="1" applyAlignment="1" applyProtection="1">
      <alignment horizontal="center" vertical="center" shrinkToFit="1"/>
      <protection locked="0"/>
    </xf>
    <xf numFmtId="0" fontId="26" fillId="0" borderId="69" xfId="0" applyFont="1" applyBorder="1" applyAlignment="1">
      <alignment horizontal="center" vertical="center" shrinkToFit="1"/>
    </xf>
    <xf numFmtId="0" fontId="5" fillId="33" borderId="24" xfId="0" applyFont="1" applyFill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185" fontId="5" fillId="0" borderId="22" xfId="0" applyNumberFormat="1" applyFont="1" applyBorder="1" applyAlignment="1" applyProtection="1">
      <alignment horizontal="center" vertical="center" shrinkToFit="1"/>
      <protection locked="0"/>
    </xf>
    <xf numFmtId="56" fontId="25" fillId="0" borderId="27" xfId="0" applyNumberFormat="1" applyFont="1" applyBorder="1" applyAlignment="1">
      <alignment horizontal="center" vertical="center" wrapText="1" shrinkToFit="1"/>
    </xf>
    <xf numFmtId="0" fontId="2" fillId="0" borderId="78" xfId="0" applyFont="1" applyBorder="1" applyAlignment="1">
      <alignment horizontal="center" wrapText="1" shrinkToFit="1"/>
    </xf>
    <xf numFmtId="177" fontId="6" fillId="3" borderId="64" xfId="0" applyNumberFormat="1" applyFont="1" applyFill="1" applyBorder="1" applyAlignment="1">
      <alignment horizontal="center" vertical="center" shrinkToFit="1"/>
    </xf>
    <xf numFmtId="177" fontId="6" fillId="3" borderId="15" xfId="0" applyNumberFormat="1" applyFont="1" applyFill="1" applyBorder="1" applyAlignment="1">
      <alignment horizontal="center" vertical="center" shrinkToFit="1"/>
    </xf>
    <xf numFmtId="177" fontId="6" fillId="3" borderId="28" xfId="0" applyNumberFormat="1" applyFont="1" applyFill="1" applyBorder="1" applyAlignment="1">
      <alignment horizontal="center" vertical="center" shrinkToFit="1"/>
    </xf>
    <xf numFmtId="177" fontId="5" fillId="0" borderId="66" xfId="0" applyNumberFormat="1" applyFont="1" applyBorder="1" applyAlignment="1" applyProtection="1">
      <alignment horizontal="center" vertical="center" shrinkToFit="1"/>
      <protection locked="0"/>
    </xf>
    <xf numFmtId="49" fontId="5" fillId="0" borderId="80" xfId="0" applyNumberFormat="1" applyFont="1" applyBorder="1" applyAlignment="1">
      <alignment horizontal="center" vertical="center" shrinkToFit="1"/>
    </xf>
    <xf numFmtId="177" fontId="5" fillId="18" borderId="80" xfId="0" applyNumberFormat="1" applyFont="1" applyFill="1" applyBorder="1" applyAlignment="1">
      <alignment horizontal="center" vertical="center" shrinkToFit="1"/>
    </xf>
    <xf numFmtId="177" fontId="5" fillId="18" borderId="81" xfId="0" applyNumberFormat="1" applyFont="1" applyFill="1" applyBorder="1" applyAlignment="1">
      <alignment horizontal="center" vertical="center" shrinkToFit="1"/>
    </xf>
    <xf numFmtId="184" fontId="22" fillId="0" borderId="82" xfId="0" applyNumberFormat="1" applyFont="1" applyBorder="1" applyAlignment="1">
      <alignment horizontal="center" vertical="center" shrinkToFit="1"/>
    </xf>
    <xf numFmtId="177" fontId="5" fillId="18" borderId="74" xfId="0" applyNumberFormat="1" applyFont="1" applyFill="1" applyBorder="1" applyAlignment="1">
      <alignment horizontal="center" vertical="center" shrinkToFit="1"/>
    </xf>
    <xf numFmtId="177" fontId="5" fillId="18" borderId="75" xfId="0" applyNumberFormat="1" applyFont="1" applyFill="1" applyBorder="1" applyAlignment="1">
      <alignment horizontal="center" vertical="center" shrinkToFit="1"/>
    </xf>
    <xf numFmtId="185" fontId="22" fillId="0" borderId="83" xfId="0" applyNumberFormat="1" applyFont="1" applyBorder="1" applyAlignment="1">
      <alignment horizontal="center" vertical="center" shrinkToFit="1"/>
    </xf>
    <xf numFmtId="184" fontId="5" fillId="0" borderId="81" xfId="0" applyNumberFormat="1" applyFont="1" applyBorder="1" applyAlignment="1" applyProtection="1">
      <alignment horizontal="center" vertical="center" shrinkToFit="1"/>
      <protection locked="0"/>
    </xf>
    <xf numFmtId="184" fontId="5" fillId="0" borderId="58" xfId="0" applyNumberFormat="1" applyFont="1" applyBorder="1" applyAlignment="1" applyProtection="1">
      <alignment horizontal="center" vertical="center" shrinkToFit="1"/>
      <protection locked="0"/>
    </xf>
    <xf numFmtId="178" fontId="5" fillId="0" borderId="75" xfId="0" applyNumberFormat="1" applyFont="1" applyBorder="1" applyAlignment="1" applyProtection="1">
      <alignment horizontal="center" vertical="center" shrinkToFit="1"/>
      <protection locked="0"/>
    </xf>
    <xf numFmtId="177" fontId="5" fillId="0" borderId="83" xfId="0" applyNumberFormat="1" applyFont="1" applyBorder="1" applyAlignment="1" applyProtection="1">
      <alignment horizontal="center" vertical="center" shrinkToFit="1"/>
      <protection locked="0"/>
    </xf>
    <xf numFmtId="49" fontId="5" fillId="0" borderId="74" xfId="0" applyNumberFormat="1" applyFont="1" applyBorder="1" applyAlignment="1">
      <alignment horizontal="center" vertical="center" shrinkToFit="1"/>
    </xf>
    <xf numFmtId="184" fontId="5" fillId="0" borderId="82" xfId="0" applyNumberFormat="1" applyFont="1" applyBorder="1" applyAlignment="1" applyProtection="1">
      <alignment horizontal="center" vertical="center" shrinkToFit="1"/>
      <protection locked="0"/>
    </xf>
    <xf numFmtId="56" fontId="28" fillId="0" borderId="27" xfId="0" applyNumberFormat="1" applyFont="1" applyBorder="1" applyAlignment="1">
      <alignment horizontal="center" vertical="center" wrapText="1" shrinkToFit="1"/>
    </xf>
    <xf numFmtId="49" fontId="5" fillId="0" borderId="69" xfId="0" applyNumberFormat="1" applyFont="1" applyBorder="1" applyAlignment="1">
      <alignment horizontal="center" vertical="center" shrinkToFit="1"/>
    </xf>
    <xf numFmtId="49" fontId="5" fillId="0" borderId="59" xfId="0" applyNumberFormat="1" applyFont="1" applyBorder="1" applyAlignment="1">
      <alignment horizontal="center" vertical="center" shrinkToFit="1"/>
    </xf>
    <xf numFmtId="177" fontId="5" fillId="0" borderId="64" xfId="0" applyNumberFormat="1" applyFont="1" applyBorder="1" applyAlignment="1" applyProtection="1">
      <alignment horizontal="center" vertical="center" shrinkToFit="1"/>
      <protection locked="0"/>
    </xf>
    <xf numFmtId="177" fontId="5" fillId="33" borderId="15" xfId="0" applyNumberFormat="1" applyFont="1" applyFill="1" applyBorder="1" applyAlignment="1">
      <alignment horizontal="center" vertical="center" shrinkToFit="1"/>
    </xf>
    <xf numFmtId="177" fontId="5" fillId="0" borderId="15" xfId="0" applyNumberFormat="1" applyFont="1" applyBorder="1" applyAlignment="1" applyProtection="1">
      <alignment horizontal="center" vertical="center" shrinkToFit="1"/>
      <protection locked="0"/>
    </xf>
    <xf numFmtId="177" fontId="5" fillId="0" borderId="28" xfId="0" applyNumberFormat="1" applyFont="1" applyBorder="1" applyAlignment="1" applyProtection="1">
      <alignment horizontal="center" vertical="center" shrinkToFit="1"/>
      <protection locked="0"/>
    </xf>
    <xf numFmtId="56" fontId="5" fillId="0" borderId="27" xfId="0" applyNumberFormat="1" applyFont="1" applyBorder="1" applyAlignment="1">
      <alignment horizontal="center" vertical="center" shrinkToFit="1"/>
    </xf>
    <xf numFmtId="49" fontId="5" fillId="0" borderId="66" xfId="0" applyNumberFormat="1" applyFont="1" applyBorder="1" applyAlignment="1">
      <alignment horizontal="center" vertical="center" shrinkToFit="1"/>
    </xf>
    <xf numFmtId="177" fontId="5" fillId="0" borderId="66" xfId="0" quotePrefix="1" applyNumberFormat="1" applyFont="1" applyBorder="1" applyAlignment="1" applyProtection="1">
      <alignment horizontal="center" vertical="center" shrinkToFit="1"/>
      <protection locked="0"/>
    </xf>
    <xf numFmtId="0" fontId="6" fillId="3" borderId="64" xfId="0" applyFont="1" applyFill="1" applyBorder="1" applyAlignment="1">
      <alignment horizontal="center" vertical="center" shrinkToFit="1"/>
    </xf>
    <xf numFmtId="0" fontId="30" fillId="0" borderId="74" xfId="0" applyFont="1" applyBorder="1" applyAlignment="1" applyProtection="1">
      <alignment horizontal="center" vertical="center" shrinkToFit="1"/>
      <protection locked="0"/>
    </xf>
    <xf numFmtId="177" fontId="30" fillId="33" borderId="75" xfId="0" applyNumberFormat="1" applyFont="1" applyFill="1" applyBorder="1" applyAlignment="1">
      <alignment horizontal="center" vertical="center" shrinkToFit="1"/>
    </xf>
    <xf numFmtId="177" fontId="30" fillId="0" borderId="75" xfId="0" applyNumberFormat="1" applyFont="1" applyBorder="1" applyAlignment="1" applyProtection="1">
      <alignment horizontal="center" vertical="center" shrinkToFit="1"/>
      <protection locked="0"/>
    </xf>
    <xf numFmtId="177" fontId="30" fillId="0" borderId="76" xfId="0" applyNumberFormat="1" applyFont="1" applyBorder="1" applyAlignment="1" applyProtection="1">
      <alignment horizontal="center" vertical="center" shrinkToFit="1"/>
      <protection locked="0"/>
    </xf>
    <xf numFmtId="49" fontId="30" fillId="0" borderId="74" xfId="0" applyNumberFormat="1" applyFont="1" applyBorder="1" applyAlignment="1">
      <alignment horizontal="center" vertical="center" shrinkToFit="1"/>
    </xf>
    <xf numFmtId="0" fontId="5" fillId="0" borderId="66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5" fillId="0" borderId="86" xfId="0" applyFont="1" applyBorder="1" applyAlignment="1" applyProtection="1">
      <alignment horizontal="center" vertical="center" shrinkToFit="1"/>
      <protection locked="0"/>
    </xf>
    <xf numFmtId="0" fontId="5" fillId="0" borderId="87" xfId="0" applyFont="1" applyBorder="1" applyAlignment="1">
      <alignment horizontal="center" vertical="center" shrinkToFit="1"/>
    </xf>
    <xf numFmtId="182" fontId="5" fillId="0" borderId="87" xfId="0" applyNumberFormat="1" applyFont="1" applyBorder="1" applyAlignment="1" applyProtection="1">
      <alignment horizontal="center" vertical="center" shrinkToFit="1"/>
      <protection locked="0"/>
    </xf>
    <xf numFmtId="183" fontId="5" fillId="0" borderId="88" xfId="0" applyNumberFormat="1" applyFont="1" applyBorder="1" applyAlignment="1" applyProtection="1">
      <alignment horizontal="center" vertical="center" shrinkToFit="1"/>
      <protection locked="0"/>
    </xf>
    <xf numFmtId="0" fontId="2" fillId="0" borderId="89" xfId="0" applyFont="1" applyBorder="1" applyAlignment="1">
      <alignment horizontal="center" vertical="center" shrinkToFit="1"/>
    </xf>
    <xf numFmtId="0" fontId="2" fillId="18" borderId="94" xfId="0" applyFont="1" applyFill="1" applyBorder="1">
      <alignment vertical="center"/>
    </xf>
    <xf numFmtId="0" fontId="5" fillId="17" borderId="66" xfId="0" applyFont="1" applyFill="1" applyBorder="1" applyAlignment="1" applyProtection="1">
      <alignment horizontal="center" vertical="center" shrinkToFit="1"/>
      <protection locked="0"/>
    </xf>
    <xf numFmtId="0" fontId="5" fillId="0" borderId="87" xfId="0" applyFont="1" applyBorder="1" applyAlignment="1" applyProtection="1">
      <alignment horizontal="center" vertical="center" shrinkToFit="1"/>
      <protection locked="0"/>
    </xf>
    <xf numFmtId="186" fontId="5" fillId="0" borderId="81" xfId="0" applyNumberFormat="1" applyFont="1" applyBorder="1" applyAlignment="1" applyProtection="1">
      <alignment horizontal="center" vertical="center" shrinkToFit="1"/>
      <protection locked="0"/>
    </xf>
    <xf numFmtId="187" fontId="5" fillId="0" borderId="66" xfId="0" applyNumberFormat="1" applyFont="1" applyBorder="1" applyAlignment="1" applyProtection="1">
      <alignment horizontal="center" vertical="center" shrinkToFit="1"/>
      <protection locked="0"/>
    </xf>
    <xf numFmtId="187" fontId="5" fillId="0" borderId="66" xfId="0" quotePrefix="1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183" fontId="5" fillId="0" borderId="0" xfId="0" applyNumberFormat="1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177" fontId="5" fillId="0" borderId="0" xfId="0" applyNumberFormat="1" applyFont="1" applyAlignment="1">
      <alignment horizontal="center" vertical="center" shrinkToFit="1"/>
    </xf>
    <xf numFmtId="177" fontId="5" fillId="0" borderId="0" xfId="0" applyNumberFormat="1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56" fontId="24" fillId="0" borderId="0" xfId="0" applyNumberFormat="1" applyFont="1" applyAlignment="1">
      <alignment horizontal="center" vertical="center" wrapText="1" shrinkToFit="1"/>
    </xf>
    <xf numFmtId="184" fontId="5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center" vertical="center" shrinkToFit="1"/>
    </xf>
    <xf numFmtId="185" fontId="5" fillId="0" borderId="0" xfId="0" applyNumberFormat="1" applyFont="1" applyAlignment="1" applyProtection="1">
      <alignment horizontal="center" vertical="center" shrinkToFit="1"/>
      <protection locked="0"/>
    </xf>
    <xf numFmtId="56" fontId="25" fillId="0" borderId="0" xfId="0" applyNumberFormat="1" applyFont="1" applyAlignment="1">
      <alignment horizontal="center" vertical="center" wrapText="1" shrinkToFit="1"/>
    </xf>
    <xf numFmtId="177" fontId="6" fillId="0" borderId="0" xfId="0" applyNumberFormat="1" applyFont="1" applyAlignment="1">
      <alignment horizontal="center" vertical="center" shrinkToFit="1"/>
    </xf>
    <xf numFmtId="184" fontId="22" fillId="0" borderId="0" xfId="0" applyNumberFormat="1" applyFont="1" applyAlignment="1">
      <alignment horizontal="center" vertical="center" shrinkToFit="1"/>
    </xf>
    <xf numFmtId="185" fontId="22" fillId="0" borderId="0" xfId="0" applyNumberFormat="1" applyFont="1" applyAlignment="1">
      <alignment horizontal="center" vertical="center" shrinkToFit="1"/>
    </xf>
    <xf numFmtId="186" fontId="5" fillId="0" borderId="0" xfId="0" applyNumberFormat="1" applyFont="1" applyAlignment="1" applyProtection="1">
      <alignment horizontal="center" vertical="center" shrinkToFit="1"/>
      <protection locked="0"/>
    </xf>
    <xf numFmtId="178" fontId="5" fillId="0" borderId="0" xfId="0" applyNumberFormat="1" applyFont="1" applyAlignment="1" applyProtection="1">
      <alignment horizontal="center" vertical="center" shrinkToFit="1"/>
      <protection locked="0"/>
    </xf>
    <xf numFmtId="56" fontId="28" fillId="0" borderId="0" xfId="0" applyNumberFormat="1" applyFont="1" applyAlignment="1">
      <alignment horizontal="center" vertical="center" wrapText="1" shrinkToFit="1"/>
    </xf>
    <xf numFmtId="56" fontId="5" fillId="0" borderId="0" xfId="0" applyNumberFormat="1" applyFont="1" applyAlignment="1">
      <alignment horizontal="center" vertical="center" shrinkToFit="1"/>
    </xf>
    <xf numFmtId="177" fontId="5" fillId="0" borderId="0" xfId="0" quotePrefix="1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30" fillId="0" borderId="0" xfId="0" applyFont="1" applyAlignment="1" applyProtection="1">
      <alignment horizontal="center" vertical="center" shrinkToFit="1"/>
      <protection locked="0"/>
    </xf>
    <xf numFmtId="177" fontId="30" fillId="0" borderId="0" xfId="0" applyNumberFormat="1" applyFont="1" applyAlignment="1">
      <alignment horizontal="center" vertical="center" shrinkToFit="1"/>
    </xf>
    <xf numFmtId="177" fontId="30" fillId="0" borderId="0" xfId="0" applyNumberFormat="1" applyFont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177" fontId="5" fillId="17" borderId="6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86" xfId="0" applyFont="1" applyBorder="1" applyAlignment="1" applyProtection="1">
      <alignment horizontal="center" vertical="center" shrinkToFit="1"/>
      <protection locked="0"/>
    </xf>
    <xf numFmtId="0" fontId="2" fillId="0" borderId="92" xfId="0" applyFont="1" applyBorder="1">
      <alignment vertical="center"/>
    </xf>
    <xf numFmtId="0" fontId="26" fillId="0" borderId="107" xfId="0" applyFont="1" applyBorder="1" applyAlignment="1">
      <alignment horizontal="center" vertical="center" shrinkToFit="1"/>
    </xf>
    <xf numFmtId="0" fontId="5" fillId="0" borderId="108" xfId="0" applyFont="1" applyBorder="1" applyAlignment="1" applyProtection="1">
      <alignment horizontal="center" vertical="center" shrinkToFit="1"/>
      <protection locked="0"/>
    </xf>
    <xf numFmtId="0" fontId="30" fillId="0" borderId="109" xfId="0" applyFont="1" applyBorder="1" applyAlignment="1" applyProtection="1">
      <alignment horizontal="center" vertical="center" shrinkToFit="1"/>
      <protection locked="0"/>
    </xf>
    <xf numFmtId="0" fontId="6" fillId="3" borderId="110" xfId="0" applyFont="1" applyFill="1" applyBorder="1" applyAlignment="1">
      <alignment horizontal="center" vertical="center" shrinkToFit="1"/>
    </xf>
    <xf numFmtId="0" fontId="2" fillId="18" borderId="111" xfId="0" applyFont="1" applyFill="1" applyBorder="1" applyAlignment="1">
      <alignment horizontal="center" vertical="center"/>
    </xf>
    <xf numFmtId="177" fontId="5" fillId="0" borderId="108" xfId="0" applyNumberFormat="1" applyFont="1" applyBorder="1" applyAlignment="1" applyProtection="1">
      <alignment horizontal="center" vertical="center" shrinkToFit="1"/>
      <protection locked="0"/>
    </xf>
    <xf numFmtId="177" fontId="6" fillId="3" borderId="110" xfId="0" applyNumberFormat="1" applyFont="1" applyFill="1" applyBorder="1" applyAlignment="1">
      <alignment horizontal="center" vertical="center" shrinkToFit="1"/>
    </xf>
    <xf numFmtId="177" fontId="5" fillId="0" borderId="110" xfId="0" applyNumberFormat="1" applyFont="1" applyBorder="1" applyAlignment="1" applyProtection="1">
      <alignment horizontal="center" vertical="center" shrinkToFit="1"/>
      <protection locked="0"/>
    </xf>
    <xf numFmtId="177" fontId="5" fillId="18" borderId="109" xfId="0" applyNumberFormat="1" applyFont="1" applyFill="1" applyBorder="1" applyAlignment="1">
      <alignment horizontal="center" vertical="center" shrinkToFit="1"/>
    </xf>
    <xf numFmtId="177" fontId="5" fillId="18" borderId="112" xfId="0" applyNumberFormat="1" applyFont="1" applyFill="1" applyBorder="1" applyAlignment="1">
      <alignment horizontal="center" vertical="center" shrinkToFit="1"/>
    </xf>
    <xf numFmtId="0" fontId="2" fillId="0" borderId="107" xfId="0" applyFont="1" applyBorder="1" applyAlignment="1">
      <alignment horizontal="center" vertical="center" wrapText="1"/>
    </xf>
    <xf numFmtId="177" fontId="5" fillId="0" borderId="108" xfId="0" applyNumberFormat="1" applyFont="1" applyBorder="1" applyAlignment="1">
      <alignment horizontal="center" vertical="center" shrinkToFit="1"/>
    </xf>
    <xf numFmtId="0" fontId="5" fillId="0" borderId="115" xfId="0" applyFont="1" applyBorder="1" applyAlignment="1" applyProtection="1">
      <alignment horizontal="center" vertical="center" shrinkToFit="1"/>
      <protection locked="0"/>
    </xf>
    <xf numFmtId="177" fontId="5" fillId="0" borderId="64" xfId="0" quotePrefix="1" applyNumberFormat="1" applyFont="1" applyBorder="1" applyAlignment="1" applyProtection="1">
      <alignment horizontal="center" vertical="center" shrinkToFit="1"/>
      <protection locked="0"/>
    </xf>
    <xf numFmtId="177" fontId="5" fillId="0" borderId="110" xfId="0" quotePrefix="1" applyNumberFormat="1" applyFont="1" applyBorder="1" applyAlignment="1" applyProtection="1">
      <alignment horizontal="center" vertical="center" shrinkToFit="1"/>
      <protection locked="0"/>
    </xf>
    <xf numFmtId="0" fontId="2" fillId="0" borderId="116" xfId="0" applyFont="1" applyBorder="1">
      <alignment vertical="center"/>
    </xf>
    <xf numFmtId="0" fontId="4" fillId="0" borderId="116" xfId="0" applyFont="1" applyBorder="1">
      <alignment vertical="center"/>
    </xf>
    <xf numFmtId="0" fontId="4" fillId="0" borderId="116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2" fillId="0" borderId="117" xfId="0" applyFont="1" applyBorder="1">
      <alignment vertical="center"/>
    </xf>
    <xf numFmtId="179" fontId="5" fillId="0" borderId="72" xfId="0" applyNumberFormat="1" applyFont="1" applyBorder="1" applyAlignment="1">
      <alignment horizontal="center" vertical="center" shrinkToFit="1"/>
    </xf>
    <xf numFmtId="179" fontId="5" fillId="0" borderId="38" xfId="0" applyNumberFormat="1" applyFont="1" applyBorder="1" applyAlignment="1">
      <alignment horizontal="center" vertical="center" shrinkToFit="1"/>
    </xf>
    <xf numFmtId="179" fontId="5" fillId="0" borderId="111" xfId="0" applyNumberFormat="1" applyFont="1" applyBorder="1" applyAlignment="1">
      <alignment horizontal="center" vertical="center" shrinkToFit="1"/>
    </xf>
    <xf numFmtId="187" fontId="5" fillId="0" borderId="108" xfId="0" quotePrefix="1" applyNumberFormat="1" applyFont="1" applyBorder="1" applyAlignment="1" applyProtection="1">
      <alignment horizontal="center" vertical="center" shrinkToFit="1"/>
      <protection locked="0"/>
    </xf>
    <xf numFmtId="177" fontId="5" fillId="0" borderId="108" xfId="0" quotePrefix="1" applyNumberFormat="1" applyFont="1" applyBorder="1" applyAlignment="1" applyProtection="1">
      <alignment horizontal="center" vertical="center" shrinkToFit="1"/>
      <protection locked="0"/>
    </xf>
    <xf numFmtId="177" fontId="5" fillId="33" borderId="75" xfId="0" applyNumberFormat="1" applyFont="1" applyFill="1" applyBorder="1" applyAlignment="1">
      <alignment horizontal="center" vertical="center" shrinkToFit="1"/>
    </xf>
    <xf numFmtId="177" fontId="5" fillId="0" borderId="109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177" fontId="5" fillId="33" borderId="81" xfId="0" applyNumberFormat="1" applyFont="1" applyFill="1" applyBorder="1" applyAlignment="1">
      <alignment horizontal="center" vertical="center" shrinkToFit="1"/>
    </xf>
    <xf numFmtId="177" fontId="5" fillId="0" borderId="112" xfId="0" applyNumberFormat="1" applyFont="1" applyBorder="1" applyAlignment="1" applyProtection="1">
      <alignment horizontal="center" vertical="center" shrinkToFit="1"/>
      <protection locked="0"/>
    </xf>
    <xf numFmtId="179" fontId="5" fillId="0" borderId="71" xfId="0" applyNumberFormat="1" applyFont="1" applyBorder="1" applyAlignment="1">
      <alignment horizontal="center" vertical="center" shrinkToFit="1"/>
    </xf>
    <xf numFmtId="179" fontId="5" fillId="0" borderId="25" xfId="0" applyNumberFormat="1" applyFont="1" applyBorder="1" applyAlignment="1">
      <alignment horizontal="center" vertical="center" shrinkToFit="1"/>
    </xf>
    <xf numFmtId="179" fontId="5" fillId="0" borderId="113" xfId="0" applyNumberFormat="1" applyFont="1" applyBorder="1" applyAlignment="1">
      <alignment horizontal="center" vertical="center" shrinkToFit="1"/>
    </xf>
    <xf numFmtId="0" fontId="26" fillId="0" borderId="35" xfId="0" applyFont="1" applyBorder="1" applyAlignment="1">
      <alignment horizontal="center" vertical="center" shrinkToFit="1"/>
    </xf>
    <xf numFmtId="56" fontId="5" fillId="0" borderId="59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177" fontId="5" fillId="0" borderId="60" xfId="0" applyNumberFormat="1" applyFont="1" applyBorder="1" applyAlignment="1" applyProtection="1">
      <alignment horizontal="center" vertical="center" shrinkToFit="1"/>
      <protection locked="0"/>
    </xf>
    <xf numFmtId="0" fontId="30" fillId="0" borderId="121" xfId="0" applyFont="1" applyBorder="1" applyAlignment="1" applyProtection="1">
      <alignment horizontal="center" vertical="center" shrinkToFit="1"/>
      <protection locked="0"/>
    </xf>
    <xf numFmtId="177" fontId="30" fillId="0" borderId="83" xfId="0" applyNumberFormat="1" applyFont="1" applyBorder="1" applyAlignment="1" applyProtection="1">
      <alignment horizontal="center" vertical="center" shrinkToFit="1"/>
      <protection locked="0"/>
    </xf>
    <xf numFmtId="0" fontId="6" fillId="3" borderId="122" xfId="0" applyFont="1" applyFill="1" applyBorder="1" applyAlignment="1">
      <alignment horizontal="center" vertical="center" shrinkToFit="1"/>
    </xf>
    <xf numFmtId="177" fontId="6" fillId="3" borderId="61" xfId="0" applyNumberFormat="1" applyFont="1" applyFill="1" applyBorder="1" applyAlignment="1">
      <alignment horizontal="center" vertical="center" shrinkToFit="1"/>
    </xf>
    <xf numFmtId="177" fontId="5" fillId="0" borderId="13" xfId="0" applyNumberFormat="1" applyFont="1" applyBorder="1" applyAlignment="1" applyProtection="1">
      <alignment horizontal="center" vertical="center" shrinkToFit="1"/>
      <protection locked="0"/>
    </xf>
    <xf numFmtId="177" fontId="5" fillId="17" borderId="13" xfId="0" applyNumberFormat="1" applyFont="1" applyFill="1" applyBorder="1" applyAlignment="1" applyProtection="1">
      <alignment horizontal="center" vertical="center" shrinkToFit="1"/>
      <protection locked="0"/>
    </xf>
    <xf numFmtId="177" fontId="6" fillId="3" borderId="122" xfId="0" applyNumberFormat="1" applyFont="1" applyFill="1" applyBorder="1" applyAlignment="1">
      <alignment horizontal="center" vertical="center" shrinkToFit="1"/>
    </xf>
    <xf numFmtId="177" fontId="5" fillId="0" borderId="61" xfId="0" applyNumberFormat="1" applyFont="1" applyBorder="1" applyAlignment="1" applyProtection="1">
      <alignment horizontal="center" vertical="center" shrinkToFit="1"/>
      <protection locked="0"/>
    </xf>
    <xf numFmtId="56" fontId="28" fillId="0" borderId="59" xfId="0" applyNumberFormat="1" applyFont="1" applyBorder="1" applyAlignment="1">
      <alignment horizontal="center" vertical="center" wrapText="1" shrinkToFit="1"/>
    </xf>
    <xf numFmtId="177" fontId="5" fillId="18" borderId="121" xfId="0" applyNumberFormat="1" applyFont="1" applyFill="1" applyBorder="1" applyAlignment="1">
      <alignment horizontal="center" vertical="center" shrinkToFit="1"/>
    </xf>
    <xf numFmtId="177" fontId="5" fillId="18" borderId="17" xfId="0" applyNumberFormat="1" applyFont="1" applyFill="1" applyBorder="1" applyAlignment="1">
      <alignment horizontal="center" vertical="center" shrinkToFit="1"/>
    </xf>
    <xf numFmtId="56" fontId="25" fillId="0" borderId="59" xfId="0" applyNumberFormat="1" applyFont="1" applyBorder="1" applyAlignment="1">
      <alignment horizontal="center" vertical="center" wrapText="1" shrinkToFit="1"/>
    </xf>
    <xf numFmtId="56" fontId="24" fillId="0" borderId="59" xfId="0" applyNumberFormat="1" applyFont="1" applyBorder="1" applyAlignment="1">
      <alignment horizontal="center" vertical="center" wrapText="1" shrinkToFit="1"/>
    </xf>
    <xf numFmtId="0" fontId="2" fillId="0" borderId="35" xfId="0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shrinkToFit="1"/>
    </xf>
    <xf numFmtId="0" fontId="5" fillId="0" borderId="110" xfId="0" applyFont="1" applyBorder="1" applyAlignment="1" applyProtection="1">
      <alignment horizontal="center" vertical="center" shrinkToFit="1"/>
      <protection locked="0"/>
    </xf>
    <xf numFmtId="0" fontId="35" fillId="0" borderId="0" xfId="2" applyFont="1">
      <alignment vertical="center"/>
    </xf>
    <xf numFmtId="0" fontId="35" fillId="0" borderId="0" xfId="2" applyFont="1" applyAlignment="1">
      <alignment horizontal="center" vertical="center"/>
    </xf>
    <xf numFmtId="0" fontId="3" fillId="0" borderId="119" xfId="0" applyFont="1" applyBorder="1" applyAlignment="1" applyProtection="1">
      <alignment horizontal="left" vertical="center" shrinkToFit="1"/>
      <protection locked="0"/>
    </xf>
    <xf numFmtId="0" fontId="7" fillId="9" borderId="29" xfId="1" applyFont="1" applyFill="1" applyBorder="1" applyAlignment="1">
      <alignment horizontal="center" vertical="center" shrinkToFit="1"/>
    </xf>
    <xf numFmtId="0" fontId="9" fillId="10" borderId="16" xfId="1" applyFont="1" applyFill="1" applyBorder="1" applyAlignment="1">
      <alignment horizontal="center" vertical="center" shrinkToFit="1"/>
    </xf>
    <xf numFmtId="177" fontId="6" fillId="4" borderId="31" xfId="0" applyNumberFormat="1" applyFont="1" applyFill="1" applyBorder="1" applyAlignment="1">
      <alignment horizontal="center" vertical="center" shrinkToFit="1"/>
    </xf>
    <xf numFmtId="0" fontId="3" fillId="17" borderId="37" xfId="0" applyFont="1" applyFill="1" applyBorder="1" applyAlignment="1">
      <alignment horizontal="center" vertical="center" shrinkToFit="1"/>
    </xf>
    <xf numFmtId="0" fontId="19" fillId="0" borderId="0" xfId="1" applyFont="1" applyAlignment="1">
      <alignment horizontal="left" vertical="center" readingOrder="1"/>
    </xf>
    <xf numFmtId="177" fontId="7" fillId="0" borderId="12" xfId="0" applyNumberFormat="1" applyFont="1" applyBorder="1" applyAlignment="1" applyProtection="1">
      <alignment horizontal="center" vertical="center" shrinkToFit="1"/>
      <protection locked="0"/>
    </xf>
    <xf numFmtId="0" fontId="30" fillId="0" borderId="74" xfId="0" quotePrefix="1" applyFont="1" applyBorder="1" applyAlignment="1" applyProtection="1">
      <alignment horizontal="center" vertical="center" shrinkToFit="1"/>
      <protection locked="0"/>
    </xf>
    <xf numFmtId="0" fontId="5" fillId="0" borderId="108" xfId="0" quotePrefix="1" applyFont="1" applyBorder="1" applyAlignment="1" applyProtection="1">
      <alignment horizontal="center" vertical="center" shrinkToFit="1"/>
      <protection locked="0"/>
    </xf>
    <xf numFmtId="0" fontId="5" fillId="0" borderId="66" xfId="0" quotePrefix="1" applyFont="1" applyBorder="1" applyAlignment="1" applyProtection="1">
      <alignment horizontal="center" vertical="center" shrinkToFit="1"/>
      <protection locked="0"/>
    </xf>
    <xf numFmtId="0" fontId="5" fillId="0" borderId="109" xfId="0" applyFont="1" applyBorder="1" applyAlignment="1" applyProtection="1">
      <alignment horizontal="center" vertical="center" shrinkToFit="1"/>
      <protection locked="0"/>
    </xf>
    <xf numFmtId="0" fontId="2" fillId="0" borderId="104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7" fillId="0" borderId="66" xfId="0" applyFont="1" applyBorder="1" applyAlignment="1" applyProtection="1">
      <alignment horizontal="center" vertical="center" shrinkToFit="1"/>
      <protection locked="0"/>
    </xf>
    <xf numFmtId="180" fontId="6" fillId="2" borderId="25" xfId="0" applyNumberFormat="1" applyFont="1" applyFill="1" applyBorder="1" applyAlignment="1">
      <alignment horizontal="center" vertical="center" shrinkToFit="1"/>
    </xf>
    <xf numFmtId="177" fontId="7" fillId="0" borderId="83" xfId="0" applyNumberFormat="1" applyFont="1" applyBorder="1" applyAlignment="1" applyProtection="1">
      <alignment horizontal="center" vertical="center" shrinkToFit="1"/>
      <protection locked="0"/>
    </xf>
    <xf numFmtId="178" fontId="7" fillId="0" borderId="75" xfId="0" applyNumberFormat="1" applyFont="1" applyBorder="1" applyAlignment="1" applyProtection="1">
      <alignment horizontal="center" vertical="center" shrinkToFit="1"/>
      <protection locked="0"/>
    </xf>
    <xf numFmtId="184" fontId="7" fillId="0" borderId="58" xfId="0" applyNumberFormat="1" applyFont="1" applyBorder="1" applyAlignment="1" applyProtection="1">
      <alignment horizontal="center" vertical="center" shrinkToFit="1"/>
      <protection locked="0"/>
    </xf>
    <xf numFmtId="184" fontId="7" fillId="0" borderId="81" xfId="0" applyNumberFormat="1" applyFont="1" applyBorder="1" applyAlignment="1" applyProtection="1">
      <alignment horizontal="center" vertical="center" shrinkToFit="1"/>
      <protection locked="0"/>
    </xf>
    <xf numFmtId="185" fontId="7" fillId="0" borderId="83" xfId="0" applyNumberFormat="1" applyFont="1" applyBorder="1" applyAlignment="1">
      <alignment horizontal="center" vertical="center" shrinkToFit="1"/>
    </xf>
    <xf numFmtId="177" fontId="7" fillId="18" borderId="75" xfId="0" applyNumberFormat="1" applyFont="1" applyFill="1" applyBorder="1" applyAlignment="1">
      <alignment horizontal="center" vertical="center" shrinkToFit="1"/>
    </xf>
    <xf numFmtId="177" fontId="7" fillId="18" borderId="74" xfId="0" applyNumberFormat="1" applyFont="1" applyFill="1" applyBorder="1" applyAlignment="1">
      <alignment horizontal="center" vertical="center" shrinkToFit="1"/>
    </xf>
    <xf numFmtId="177" fontId="7" fillId="18" borderId="109" xfId="0" applyNumberFormat="1" applyFont="1" applyFill="1" applyBorder="1" applyAlignment="1">
      <alignment horizontal="center" vertical="center" shrinkToFit="1"/>
    </xf>
    <xf numFmtId="184" fontId="7" fillId="0" borderId="82" xfId="0" applyNumberFormat="1" applyFont="1" applyBorder="1" applyAlignment="1">
      <alignment horizontal="center" vertical="center" shrinkToFit="1"/>
    </xf>
    <xf numFmtId="177" fontId="7" fillId="18" borderId="81" xfId="0" applyNumberFormat="1" applyFont="1" applyFill="1" applyBorder="1" applyAlignment="1">
      <alignment horizontal="center" vertical="center" shrinkToFit="1"/>
    </xf>
    <xf numFmtId="177" fontId="7" fillId="18" borderId="80" xfId="0" applyNumberFormat="1" applyFont="1" applyFill="1" applyBorder="1" applyAlignment="1">
      <alignment horizontal="center" vertical="center" shrinkToFit="1"/>
    </xf>
    <xf numFmtId="177" fontId="7" fillId="18" borderId="112" xfId="0" applyNumberFormat="1" applyFont="1" applyFill="1" applyBorder="1" applyAlignment="1">
      <alignment horizontal="center" vertical="center" shrinkToFit="1"/>
    </xf>
    <xf numFmtId="177" fontId="7" fillId="0" borderId="67" xfId="0" applyNumberFormat="1" applyFont="1" applyBorder="1" applyAlignment="1" applyProtection="1">
      <alignment horizontal="center" vertical="center" shrinkToFit="1"/>
      <protection locked="0"/>
    </xf>
    <xf numFmtId="177" fontId="7" fillId="33" borderId="12" xfId="0" applyNumberFormat="1" applyFont="1" applyFill="1" applyBorder="1" applyAlignment="1">
      <alignment horizontal="center" vertical="center" shrinkToFit="1"/>
    </xf>
    <xf numFmtId="177" fontId="7" fillId="0" borderId="66" xfId="0" applyNumberFormat="1" applyFont="1" applyBorder="1" applyAlignment="1" applyProtection="1">
      <alignment horizontal="center" vertical="center" shrinkToFit="1"/>
      <protection locked="0"/>
    </xf>
    <xf numFmtId="177" fontId="7" fillId="0" borderId="76" xfId="0" applyNumberFormat="1" applyFont="1" applyBorder="1" applyAlignment="1" applyProtection="1">
      <alignment horizontal="center" vertical="center" shrinkToFit="1"/>
      <protection locked="0"/>
    </xf>
    <xf numFmtId="185" fontId="7" fillId="0" borderId="22" xfId="0" applyNumberFormat="1" applyFont="1" applyBorder="1" applyAlignment="1" applyProtection="1">
      <alignment horizontal="center" vertical="center" shrinkToFit="1"/>
      <protection locked="0"/>
    </xf>
    <xf numFmtId="182" fontId="7" fillId="0" borderId="87" xfId="0" applyNumberFormat="1" applyFont="1" applyBorder="1" applyAlignment="1" applyProtection="1">
      <alignment horizontal="center" vertical="center" shrinkToFit="1"/>
      <protection locked="0"/>
    </xf>
    <xf numFmtId="0" fontId="7" fillId="34" borderId="86" xfId="0" applyFont="1" applyFill="1" applyBorder="1" applyAlignment="1" applyProtection="1">
      <alignment horizontal="center" vertical="center" shrinkToFit="1"/>
      <protection locked="0"/>
    </xf>
    <xf numFmtId="0" fontId="5" fillId="34" borderId="66" xfId="0" quotePrefix="1" applyFont="1" applyFill="1" applyBorder="1" applyAlignment="1" applyProtection="1">
      <alignment horizontal="center" vertical="center" shrinkToFit="1"/>
      <protection locked="0"/>
    </xf>
    <xf numFmtId="177" fontId="5" fillId="34" borderId="15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82" xfId="0" applyNumberFormat="1" applyFont="1" applyBorder="1" applyAlignment="1" applyProtection="1">
      <alignment horizontal="center" vertical="center" shrinkToFit="1"/>
      <protection locked="0"/>
    </xf>
    <xf numFmtId="177" fontId="2" fillId="0" borderId="0" xfId="0" applyNumberFormat="1" applyFont="1" applyAlignment="1">
      <alignment horizontal="center" vertical="center" shrinkToFit="1"/>
    </xf>
    <xf numFmtId="180" fontId="2" fillId="0" borderId="0" xfId="0" applyNumberFormat="1" applyFont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center" shrinkToFit="1"/>
      <protection locked="0"/>
    </xf>
    <xf numFmtId="182" fontId="7" fillId="0" borderId="15" xfId="0" applyNumberFormat="1" applyFont="1" applyBorder="1" applyAlignment="1" applyProtection="1">
      <alignment horizontal="center" vertical="center" shrinkToFit="1"/>
      <protection locked="0"/>
    </xf>
    <xf numFmtId="177" fontId="7" fillId="0" borderId="66" xfId="0" applyNumberFormat="1" applyFont="1" applyBorder="1" applyAlignment="1">
      <alignment horizontal="center" vertical="center" shrinkToFit="1"/>
    </xf>
    <xf numFmtId="183" fontId="7" fillId="0" borderId="61" xfId="0" applyNumberFormat="1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>
      <alignment horizontal="center" vertical="center" shrinkToFit="1"/>
    </xf>
    <xf numFmtId="0" fontId="7" fillId="0" borderId="64" xfId="0" applyFont="1" applyBorder="1" applyAlignment="1" applyProtection="1">
      <alignment horizontal="center" vertical="center" shrinkToFit="1"/>
      <protection locked="0"/>
    </xf>
    <xf numFmtId="0" fontId="33" fillId="0" borderId="0" xfId="2" applyFont="1" applyAlignment="1">
      <alignment horizontal="center" vertical="center" wrapText="1"/>
    </xf>
    <xf numFmtId="0" fontId="33" fillId="0" borderId="0" xfId="2" applyFont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17" fillId="0" borderId="57" xfId="0" applyFont="1" applyBorder="1" applyAlignment="1" applyProtection="1">
      <alignment horizontal="center" vertical="center" shrinkToFit="1"/>
      <protection locked="0"/>
    </xf>
    <xf numFmtId="0" fontId="17" fillId="0" borderId="29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34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7" fillId="17" borderId="36" xfId="1" applyFont="1" applyFill="1" applyBorder="1" applyAlignment="1">
      <alignment horizontal="center" vertical="center" wrapText="1" shrinkToFit="1"/>
    </xf>
    <xf numFmtId="0" fontId="7" fillId="17" borderId="20" xfId="1" applyFont="1" applyFill="1" applyBorder="1" applyAlignment="1">
      <alignment horizontal="center" vertical="center" wrapText="1" shrinkToFit="1"/>
    </xf>
    <xf numFmtId="0" fontId="7" fillId="17" borderId="23" xfId="1" applyFont="1" applyFill="1" applyBorder="1" applyAlignment="1">
      <alignment horizontal="center" vertical="center" wrapText="1" shrinkToFit="1"/>
    </xf>
    <xf numFmtId="178" fontId="8" fillId="19" borderId="7" xfId="0" applyNumberFormat="1" applyFont="1" applyFill="1" applyBorder="1" applyAlignment="1">
      <alignment horizontal="center" vertical="center" wrapText="1" shrinkToFit="1"/>
    </xf>
    <xf numFmtId="178" fontId="8" fillId="19" borderId="8" xfId="0" applyNumberFormat="1" applyFont="1" applyFill="1" applyBorder="1" applyAlignment="1">
      <alignment horizontal="center" vertical="center" wrapText="1" shrinkToFit="1"/>
    </xf>
    <xf numFmtId="178" fontId="8" fillId="19" borderId="10" xfId="0" applyNumberFormat="1" applyFont="1" applyFill="1" applyBorder="1" applyAlignment="1">
      <alignment horizontal="center" vertical="center" wrapText="1" shrinkToFit="1"/>
    </xf>
    <xf numFmtId="178" fontId="8" fillId="17" borderId="7" xfId="0" applyNumberFormat="1" applyFont="1" applyFill="1" applyBorder="1" applyAlignment="1">
      <alignment horizontal="center" vertical="center" wrapText="1" shrinkToFit="1"/>
    </xf>
    <xf numFmtId="178" fontId="8" fillId="17" borderId="8" xfId="0" applyNumberFormat="1" applyFont="1" applyFill="1" applyBorder="1" applyAlignment="1">
      <alignment horizontal="center" vertical="center" wrapText="1" shrinkToFit="1"/>
    </xf>
    <xf numFmtId="178" fontId="8" fillId="17" borderId="10" xfId="0" applyNumberFormat="1" applyFont="1" applyFill="1" applyBorder="1" applyAlignment="1">
      <alignment horizontal="center" vertical="center" wrapText="1" shrinkToFit="1"/>
    </xf>
    <xf numFmtId="0" fontId="7" fillId="16" borderId="51" xfId="1" applyFont="1" applyFill="1" applyBorder="1" applyAlignment="1">
      <alignment horizontal="center" vertical="center" shrinkToFit="1"/>
    </xf>
    <xf numFmtId="0" fontId="7" fillId="16" borderId="52" xfId="1" applyFont="1" applyFill="1" applyBorder="1" applyAlignment="1">
      <alignment horizontal="center" vertical="center" shrinkToFit="1"/>
    </xf>
    <xf numFmtId="0" fontId="6" fillId="17" borderId="33" xfId="1" applyFont="1" applyFill="1" applyBorder="1" applyAlignment="1">
      <alignment vertical="center" shrinkToFit="1"/>
    </xf>
    <xf numFmtId="0" fontId="6" fillId="17" borderId="30" xfId="1" applyFont="1" applyFill="1" applyBorder="1" applyAlignment="1">
      <alignment vertical="center" shrinkToFit="1"/>
    </xf>
    <xf numFmtId="0" fontId="5" fillId="2" borderId="36" xfId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wrapText="1" shrinkToFit="1"/>
    </xf>
    <xf numFmtId="0" fontId="5" fillId="2" borderId="23" xfId="1" applyFont="1" applyFill="1" applyBorder="1" applyAlignment="1">
      <alignment horizontal="center" vertical="center" wrapText="1" shrinkToFit="1"/>
    </xf>
    <xf numFmtId="0" fontId="7" fillId="8" borderId="5" xfId="1" applyFont="1" applyFill="1" applyBorder="1" applyAlignment="1">
      <alignment horizontal="center" vertical="center" wrapText="1" shrinkToFit="1"/>
    </xf>
    <xf numFmtId="0" fontId="7" fillId="8" borderId="9" xfId="1" applyFont="1" applyFill="1" applyBorder="1" applyAlignment="1">
      <alignment horizontal="center" vertical="center" wrapText="1" shrinkToFit="1"/>
    </xf>
    <xf numFmtId="0" fontId="7" fillId="5" borderId="5" xfId="1" applyFont="1" applyFill="1" applyBorder="1" applyAlignment="1">
      <alignment horizontal="center" vertical="center" wrapText="1" shrinkToFit="1"/>
    </xf>
    <xf numFmtId="0" fontId="7" fillId="5" borderId="9" xfId="1" applyFont="1" applyFill="1" applyBorder="1" applyAlignment="1">
      <alignment horizontal="center" vertical="center" wrapText="1" shrinkToFit="1"/>
    </xf>
    <xf numFmtId="0" fontId="6" fillId="2" borderId="38" xfId="1" applyFont="1" applyFill="1" applyBorder="1" applyAlignment="1">
      <alignment vertical="center" shrinkToFit="1"/>
    </xf>
    <xf numFmtId="0" fontId="6" fillId="2" borderId="39" xfId="1" applyFont="1" applyFill="1" applyBorder="1" applyAlignment="1">
      <alignment vertical="center" shrinkToFit="1"/>
    </xf>
    <xf numFmtId="178" fontId="11" fillId="17" borderId="45" xfId="0" applyNumberFormat="1" applyFont="1" applyFill="1" applyBorder="1" applyAlignment="1">
      <alignment horizontal="center" vertical="center" shrinkToFit="1"/>
    </xf>
    <xf numFmtId="178" fontId="11" fillId="17" borderId="46" xfId="0" applyNumberFormat="1" applyFont="1" applyFill="1" applyBorder="1" applyAlignment="1">
      <alignment horizontal="center" vertical="center" shrinkToFit="1"/>
    </xf>
    <xf numFmtId="178" fontId="11" fillId="17" borderId="47" xfId="0" applyNumberFormat="1" applyFont="1" applyFill="1" applyBorder="1" applyAlignment="1">
      <alignment horizontal="center" vertical="center" shrinkToFit="1"/>
    </xf>
    <xf numFmtId="0" fontId="3" fillId="2" borderId="14" xfId="1" applyFont="1" applyFill="1" applyBorder="1" applyAlignment="1">
      <alignment horizontal="center" vertical="center" shrinkToFit="1"/>
    </xf>
    <xf numFmtId="0" fontId="3" fillId="2" borderId="48" xfId="1" applyFont="1" applyFill="1" applyBorder="1" applyAlignment="1">
      <alignment horizontal="center" vertical="center" shrinkToFit="1"/>
    </xf>
    <xf numFmtId="0" fontId="3" fillId="2" borderId="18" xfId="1" applyFont="1" applyFill="1" applyBorder="1" applyAlignment="1">
      <alignment horizontal="center" vertical="center" shrinkToFit="1"/>
    </xf>
    <xf numFmtId="0" fontId="10" fillId="3" borderId="50" xfId="1" applyFont="1" applyFill="1" applyBorder="1" applyAlignment="1">
      <alignment horizontal="center" vertical="center" shrinkToFit="1"/>
    </xf>
    <xf numFmtId="0" fontId="10" fillId="3" borderId="19" xfId="1" applyFont="1" applyFill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wrapText="1" shrinkToFit="1"/>
    </xf>
    <xf numFmtId="0" fontId="3" fillId="0" borderId="22" xfId="1" applyFont="1" applyBorder="1" applyAlignment="1">
      <alignment horizontal="center" vertical="center" wrapText="1" shrinkToFit="1"/>
    </xf>
    <xf numFmtId="0" fontId="3" fillId="0" borderId="43" xfId="1" applyFont="1" applyBorder="1" applyAlignment="1">
      <alignment horizontal="center" vertical="center" shrinkToFit="1"/>
    </xf>
    <xf numFmtId="0" fontId="3" fillId="0" borderId="44" xfId="1" applyFont="1" applyBorder="1" applyAlignment="1">
      <alignment horizontal="center" vertical="center" shrinkToFit="1"/>
    </xf>
    <xf numFmtId="0" fontId="3" fillId="0" borderId="40" xfId="1" applyFont="1" applyBorder="1" applyAlignment="1">
      <alignment horizontal="center" vertical="center" shrinkToFit="1"/>
    </xf>
    <xf numFmtId="178" fontId="11" fillId="19" borderId="45" xfId="0" applyNumberFormat="1" applyFont="1" applyFill="1" applyBorder="1" applyAlignment="1">
      <alignment horizontal="center" vertical="center" shrinkToFit="1"/>
    </xf>
    <xf numFmtId="178" fontId="11" fillId="19" borderId="46" xfId="0" applyNumberFormat="1" applyFont="1" applyFill="1" applyBorder="1" applyAlignment="1">
      <alignment horizontal="center" vertical="center" shrinkToFit="1"/>
    </xf>
    <xf numFmtId="178" fontId="11" fillId="19" borderId="47" xfId="0" applyNumberFormat="1" applyFont="1" applyFill="1" applyBorder="1" applyAlignment="1">
      <alignment horizontal="center" vertical="center" shrinkToFit="1"/>
    </xf>
    <xf numFmtId="179" fontId="3" fillId="0" borderId="102" xfId="0" applyNumberFormat="1" applyFont="1" applyBorder="1" applyAlignment="1">
      <alignment horizontal="center" vertical="center" shrinkToFit="1"/>
    </xf>
    <xf numFmtId="179" fontId="3" fillId="0" borderId="101" xfId="0" applyNumberFormat="1" applyFont="1" applyBorder="1" applyAlignment="1">
      <alignment horizontal="center" vertical="center" shrinkToFit="1"/>
    </xf>
    <xf numFmtId="179" fontId="3" fillId="0" borderId="100" xfId="0" applyNumberFormat="1" applyFont="1" applyBorder="1" applyAlignment="1">
      <alignment horizontal="center" vertical="center" shrinkToFit="1"/>
    </xf>
    <xf numFmtId="179" fontId="3" fillId="0" borderId="106" xfId="0" applyNumberFormat="1" applyFont="1" applyBorder="1" applyAlignment="1">
      <alignment horizontal="center" vertical="center" shrinkToFit="1"/>
    </xf>
    <xf numFmtId="49" fontId="4" fillId="0" borderId="99" xfId="0" applyNumberFormat="1" applyFont="1" applyBorder="1" applyAlignment="1">
      <alignment horizontal="center" vertical="center" wrapText="1" shrinkToFit="1"/>
    </xf>
    <xf numFmtId="49" fontId="4" fillId="0" borderId="98" xfId="0" applyNumberFormat="1" applyFont="1" applyBorder="1" applyAlignment="1">
      <alignment horizontal="center" vertical="center" shrinkToFit="1"/>
    </xf>
    <xf numFmtId="49" fontId="4" fillId="0" borderId="97" xfId="0" applyNumberFormat="1" applyFont="1" applyBorder="1" applyAlignment="1">
      <alignment horizontal="center" vertical="center" shrinkToFit="1"/>
    </xf>
    <xf numFmtId="49" fontId="4" fillId="0" borderId="96" xfId="0" applyNumberFormat="1" applyFont="1" applyBorder="1" applyAlignment="1">
      <alignment horizontal="center" vertical="center" shrinkToFit="1"/>
    </xf>
    <xf numFmtId="49" fontId="5" fillId="0" borderId="83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6" fillId="3" borderId="79" xfId="0" applyNumberFormat="1" applyFont="1" applyFill="1" applyBorder="1" applyAlignment="1">
      <alignment horizontal="center" vertical="center" shrinkToFit="1"/>
    </xf>
    <xf numFmtId="49" fontId="6" fillId="3" borderId="30" xfId="0" applyNumberFormat="1" applyFont="1" applyFill="1" applyBorder="1" applyAlignment="1">
      <alignment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53" xfId="0" applyNumberFormat="1" applyFont="1" applyBorder="1" applyAlignment="1">
      <alignment horizontal="center" vertical="center" shrinkToFit="1"/>
    </xf>
    <xf numFmtId="49" fontId="3" fillId="0" borderId="54" xfId="0" applyNumberFormat="1" applyFont="1" applyBorder="1" applyAlignment="1">
      <alignment horizontal="center" vertical="center" shrinkToFit="1"/>
    </xf>
    <xf numFmtId="179" fontId="5" fillId="0" borderId="72" xfId="0" applyNumberFormat="1" applyFont="1" applyBorder="1" applyAlignment="1">
      <alignment horizontal="center" vertical="center" shrinkToFit="1"/>
    </xf>
    <xf numFmtId="179" fontId="5" fillId="0" borderId="38" xfId="0" applyNumberFormat="1" applyFont="1" applyBorder="1" applyAlignment="1">
      <alignment horizontal="center" vertical="center" shrinkToFit="1"/>
    </xf>
    <xf numFmtId="179" fontId="5" fillId="0" borderId="39" xfId="0" applyNumberFormat="1" applyFont="1" applyBorder="1" applyAlignment="1">
      <alignment horizontal="center" vertical="center" shrinkToFit="1"/>
    </xf>
    <xf numFmtId="49" fontId="3" fillId="0" borderId="105" xfId="0" applyNumberFormat="1" applyFont="1" applyBorder="1" applyAlignment="1">
      <alignment horizontal="center" vertical="center" shrinkToFit="1"/>
    </xf>
    <xf numFmtId="49" fontId="3" fillId="0" borderId="104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179" fontId="5" fillId="0" borderId="111" xfId="0" applyNumberFormat="1" applyFont="1" applyBorder="1" applyAlignment="1">
      <alignment horizontal="center" vertical="center" shrinkToFit="1"/>
    </xf>
    <xf numFmtId="49" fontId="4" fillId="0" borderId="92" xfId="0" applyNumberFormat="1" applyFont="1" applyBorder="1" applyAlignment="1">
      <alignment horizontal="center" vertical="center" wrapText="1"/>
    </xf>
    <xf numFmtId="49" fontId="4" fillId="0" borderId="92" xfId="0" applyNumberFormat="1" applyFont="1" applyBorder="1" applyAlignment="1">
      <alignment horizontal="center" vertical="center"/>
    </xf>
    <xf numFmtId="49" fontId="4" fillId="0" borderId="95" xfId="0" applyNumberFormat="1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49" fontId="4" fillId="0" borderId="92" xfId="0" applyNumberFormat="1" applyFont="1" applyBorder="1" applyAlignment="1">
      <alignment horizontal="center" vertical="center" wrapText="1" shrinkToFit="1"/>
    </xf>
    <xf numFmtId="49" fontId="4" fillId="0" borderId="92" xfId="0" applyNumberFormat="1" applyFont="1" applyBorder="1" applyAlignment="1">
      <alignment horizontal="center" vertical="center" shrinkToFit="1"/>
    </xf>
    <xf numFmtId="49" fontId="4" fillId="0" borderId="95" xfId="0" applyNumberFormat="1" applyFont="1" applyBorder="1" applyAlignment="1">
      <alignment horizontal="center" vertical="center" shrinkToFit="1"/>
    </xf>
    <xf numFmtId="49" fontId="5" fillId="0" borderId="74" xfId="0" applyNumberFormat="1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 shrinkToFit="1"/>
    </xf>
    <xf numFmtId="178" fontId="5" fillId="0" borderId="75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177" fontId="5" fillId="33" borderId="75" xfId="0" applyNumberFormat="1" applyFont="1" applyFill="1" applyBorder="1" applyAlignment="1">
      <alignment horizontal="center" vertical="center" shrinkToFit="1"/>
    </xf>
    <xf numFmtId="177" fontId="5" fillId="33" borderId="81" xfId="0" applyNumberFormat="1" applyFont="1" applyFill="1" applyBorder="1" applyAlignment="1">
      <alignment horizontal="center" vertical="center" shrinkToFit="1"/>
    </xf>
    <xf numFmtId="177" fontId="5" fillId="0" borderId="74" xfId="0" applyNumberFormat="1" applyFont="1" applyBorder="1" applyAlignment="1" applyProtection="1">
      <alignment horizontal="center" vertical="center" shrinkToFit="1"/>
      <protection locked="0"/>
    </xf>
    <xf numFmtId="177" fontId="5" fillId="0" borderId="80" xfId="0" applyNumberFormat="1" applyFont="1" applyBorder="1" applyAlignment="1" applyProtection="1">
      <alignment horizontal="center" vertical="center" shrinkToFit="1"/>
      <protection locked="0"/>
    </xf>
    <xf numFmtId="177" fontId="5" fillId="0" borderId="109" xfId="0" applyNumberFormat="1" applyFont="1" applyBorder="1" applyAlignment="1" applyProtection="1">
      <alignment horizontal="center" vertical="center" shrinkToFit="1"/>
      <protection locked="0"/>
    </xf>
    <xf numFmtId="177" fontId="5" fillId="0" borderId="112" xfId="0" applyNumberFormat="1" applyFont="1" applyBorder="1" applyAlignment="1" applyProtection="1">
      <alignment horizontal="center" vertical="center" shrinkToFit="1"/>
      <protection locked="0"/>
    </xf>
    <xf numFmtId="0" fontId="25" fillId="0" borderId="8" xfId="0" applyFont="1" applyBorder="1" applyAlignment="1">
      <alignment horizontal="left" vertical="center" wrapText="1" shrinkToFit="1"/>
    </xf>
    <xf numFmtId="0" fontId="2" fillId="0" borderId="8" xfId="0" applyFont="1" applyBorder="1">
      <alignment vertical="center"/>
    </xf>
    <xf numFmtId="0" fontId="2" fillId="0" borderId="80" xfId="0" applyFont="1" applyBorder="1">
      <alignment vertical="center"/>
    </xf>
    <xf numFmtId="49" fontId="28" fillId="0" borderId="83" xfId="0" applyNumberFormat="1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179" fontId="5" fillId="0" borderId="71" xfId="0" applyNumberFormat="1" applyFont="1" applyBorder="1" applyAlignment="1">
      <alignment horizontal="center" vertical="center" shrinkToFit="1"/>
    </xf>
    <xf numFmtId="179" fontId="5" fillId="0" borderId="25" xfId="0" applyNumberFormat="1" applyFont="1" applyBorder="1" applyAlignment="1">
      <alignment horizontal="center" vertical="center" shrinkToFit="1"/>
    </xf>
    <xf numFmtId="179" fontId="5" fillId="0" borderId="26" xfId="0" applyNumberFormat="1" applyFont="1" applyBorder="1" applyAlignment="1">
      <alignment horizontal="center" vertical="center" shrinkToFit="1"/>
    </xf>
    <xf numFmtId="179" fontId="5" fillId="0" borderId="113" xfId="0" applyNumberFormat="1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wrapText="1" shrinkToFit="1"/>
    </xf>
    <xf numFmtId="0" fontId="2" fillId="0" borderId="95" xfId="0" applyFont="1" applyBorder="1">
      <alignment vertical="center"/>
    </xf>
    <xf numFmtId="0" fontId="2" fillId="0" borderId="4" xfId="0" applyFont="1" applyBorder="1">
      <alignment vertical="center"/>
    </xf>
    <xf numFmtId="0" fontId="27" fillId="0" borderId="77" xfId="0" applyFont="1" applyBorder="1" applyAlignment="1">
      <alignment horizontal="left" wrapText="1" shrinkToFit="1"/>
    </xf>
    <xf numFmtId="0" fontId="27" fillId="0" borderId="73" xfId="0" applyFont="1" applyBorder="1" applyAlignment="1">
      <alignment horizontal="left" wrapText="1"/>
    </xf>
    <xf numFmtId="177" fontId="5" fillId="0" borderId="75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4" xfId="0" applyFont="1" applyBorder="1" applyAlignment="1" applyProtection="1">
      <alignment horizontal="center" vertical="center" shrinkToFit="1"/>
      <protection locked="0"/>
    </xf>
    <xf numFmtId="0" fontId="2" fillId="0" borderId="55" xfId="0" applyFont="1" applyBorder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90" xfId="0" applyFont="1" applyBorder="1" applyAlignment="1">
      <alignment horizontal="center" vertical="center" shrinkToFit="1"/>
    </xf>
    <xf numFmtId="0" fontId="2" fillId="0" borderId="95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5" fillId="0" borderId="77" xfId="0" applyFont="1" applyBorder="1" applyAlignment="1">
      <alignment horizontal="left" vertical="top" wrapText="1" shrinkToFit="1"/>
    </xf>
    <xf numFmtId="0" fontId="25" fillId="0" borderId="73" xfId="0" applyFont="1" applyBorder="1" applyAlignment="1">
      <alignment horizontal="left" vertical="top" wrapText="1"/>
    </xf>
    <xf numFmtId="179" fontId="3" fillId="0" borderId="3" xfId="0" applyNumberFormat="1" applyFont="1" applyBorder="1" applyAlignment="1">
      <alignment horizontal="center" vertical="center" shrinkToFit="1"/>
    </xf>
    <xf numFmtId="179" fontId="3" fillId="0" borderId="4" xfId="0" applyNumberFormat="1" applyFont="1" applyBorder="1" applyAlignment="1">
      <alignment horizontal="center" vertical="center" shrinkToFit="1"/>
    </xf>
    <xf numFmtId="179" fontId="3" fillId="0" borderId="56" xfId="0" applyNumberFormat="1" applyFont="1" applyBorder="1" applyAlignment="1">
      <alignment horizontal="center" vertical="center" shrinkToFit="1"/>
    </xf>
    <xf numFmtId="179" fontId="3" fillId="0" borderId="118" xfId="0" applyNumberFormat="1" applyFont="1" applyBorder="1" applyAlignment="1">
      <alignment horizontal="center" vertical="center" shrinkToFit="1"/>
    </xf>
    <xf numFmtId="49" fontId="4" fillId="0" borderId="119" xfId="0" applyNumberFormat="1" applyFont="1" applyBorder="1" applyAlignment="1">
      <alignment horizontal="center" vertical="center" wrapText="1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20" xfId="0" applyNumberFormat="1" applyFont="1" applyBorder="1" applyAlignment="1">
      <alignment horizontal="center" vertical="center" shrinkToFit="1"/>
    </xf>
    <xf numFmtId="49" fontId="4" fillId="0" borderId="33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5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5" fillId="33" borderId="9" xfId="0" applyFont="1" applyFill="1" applyBorder="1" applyAlignment="1">
      <alignment horizontal="center" vertical="center" shrinkToFit="1"/>
    </xf>
    <xf numFmtId="177" fontId="5" fillId="0" borderId="9" xfId="0" applyNumberFormat="1" applyFont="1" applyBorder="1" applyAlignment="1" applyProtection="1">
      <alignment horizontal="center" vertical="center" shrinkToFit="1"/>
      <protection locked="0"/>
    </xf>
    <xf numFmtId="177" fontId="5" fillId="33" borderId="9" xfId="0" applyNumberFormat="1" applyFont="1" applyFill="1" applyBorder="1" applyAlignment="1">
      <alignment horizontal="center" vertical="center" shrinkToFit="1"/>
    </xf>
    <xf numFmtId="177" fontId="5" fillId="0" borderId="114" xfId="0" applyNumberFormat="1" applyFont="1" applyBorder="1" applyAlignment="1" applyProtection="1">
      <alignment horizontal="center" vertical="center" shrinkToFit="1"/>
      <protection locked="0"/>
    </xf>
    <xf numFmtId="0" fontId="2" fillId="0" borderId="116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179" fontId="3" fillId="0" borderId="72" xfId="0" applyNumberFormat="1" applyFont="1" applyBorder="1" applyAlignment="1">
      <alignment horizontal="center" vertical="center" shrinkToFit="1"/>
    </xf>
    <xf numFmtId="179" fontId="3" fillId="0" borderId="38" xfId="0" applyNumberFormat="1" applyFont="1" applyBorder="1" applyAlignment="1">
      <alignment horizontal="center" vertical="center" shrinkToFit="1"/>
    </xf>
    <xf numFmtId="179" fontId="3" fillId="0" borderId="39" xfId="0" applyNumberFormat="1" applyFont="1" applyBorder="1" applyAlignment="1">
      <alignment horizontal="center" vertical="center" shrinkToFit="1"/>
    </xf>
    <xf numFmtId="49" fontId="4" fillId="0" borderId="58" xfId="0" applyNumberFormat="1" applyFont="1" applyBorder="1" applyAlignment="1">
      <alignment horizontal="center" vertical="center" wrapText="1" shrinkToFit="1"/>
    </xf>
    <xf numFmtId="49" fontId="4" fillId="0" borderId="85" xfId="0" applyNumberFormat="1" applyFont="1" applyBorder="1" applyAlignment="1">
      <alignment horizontal="center" vertical="center" shrinkToFit="1"/>
    </xf>
    <xf numFmtId="49" fontId="4" fillId="0" borderId="84" xfId="0" applyNumberFormat="1" applyFont="1" applyBorder="1" applyAlignment="1">
      <alignment horizontal="center" vertical="center" shrinkToFit="1"/>
    </xf>
    <xf numFmtId="49" fontId="4" fillId="0" borderId="79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2" fillId="0" borderId="3" xfId="0" applyFont="1" applyBorder="1">
      <alignment vertical="center"/>
    </xf>
    <xf numFmtId="177" fontId="5" fillId="0" borderId="10" xfId="0" applyNumberFormat="1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179" fontId="5" fillId="0" borderId="102" xfId="0" applyNumberFormat="1" applyFont="1" applyBorder="1" applyAlignment="1">
      <alignment horizontal="center" vertical="center" shrinkToFit="1"/>
    </xf>
    <xf numFmtId="179" fontId="5" fillId="0" borderId="101" xfId="0" applyNumberFormat="1" applyFont="1" applyBorder="1" applyAlignment="1">
      <alignment horizontal="center" vertical="center" shrinkToFit="1"/>
    </xf>
    <xf numFmtId="179" fontId="5" fillId="0" borderId="100" xfId="0" applyNumberFormat="1" applyFont="1" applyBorder="1" applyAlignment="1">
      <alignment horizontal="center" vertical="center" shrinkToFit="1"/>
    </xf>
    <xf numFmtId="177" fontId="7" fillId="33" borderId="75" xfId="0" applyNumberFormat="1" applyFont="1" applyFill="1" applyBorder="1" applyAlignment="1">
      <alignment horizontal="center" vertical="center" shrinkToFit="1"/>
    </xf>
    <xf numFmtId="177" fontId="7" fillId="33" borderId="81" xfId="0" applyNumberFormat="1" applyFont="1" applyFill="1" applyBorder="1" applyAlignment="1">
      <alignment horizontal="center" vertical="center" shrinkToFit="1"/>
    </xf>
    <xf numFmtId="177" fontId="7" fillId="0" borderId="74" xfId="0" applyNumberFormat="1" applyFont="1" applyBorder="1" applyAlignment="1" applyProtection="1">
      <alignment horizontal="center" vertical="center" shrinkToFit="1"/>
      <protection locked="0"/>
    </xf>
    <xf numFmtId="177" fontId="7" fillId="0" borderId="80" xfId="0" applyNumberFormat="1" applyFont="1" applyBorder="1" applyAlignment="1" applyProtection="1">
      <alignment horizontal="center" vertical="center" shrinkToFit="1"/>
      <protection locked="0"/>
    </xf>
    <xf numFmtId="177" fontId="7" fillId="0" borderId="75" xfId="0" applyNumberFormat="1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33" borderId="9" xfId="0" applyFont="1" applyFill="1" applyBorder="1" applyAlignment="1">
      <alignment horizontal="center" vertical="center" shrinkToFit="1"/>
    </xf>
    <xf numFmtId="177" fontId="36" fillId="0" borderId="74" xfId="0" applyNumberFormat="1" applyFont="1" applyBorder="1" applyAlignment="1" applyProtection="1">
      <alignment horizontal="center" vertical="center" shrinkToFit="1"/>
      <protection locked="0"/>
    </xf>
    <xf numFmtId="0" fontId="36" fillId="0" borderId="10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177" fontId="36" fillId="0" borderId="109" xfId="0" applyNumberFormat="1" applyFont="1" applyBorder="1" applyAlignment="1" applyProtection="1">
      <alignment horizontal="center" vertical="center" shrinkToFit="1"/>
      <protection locked="0"/>
    </xf>
    <xf numFmtId="0" fontId="36" fillId="0" borderId="114" xfId="0" applyFont="1" applyBorder="1" applyAlignment="1" applyProtection="1">
      <alignment horizontal="center" vertical="center" shrinkToFit="1"/>
      <protection locked="0"/>
    </xf>
    <xf numFmtId="0" fontId="3" fillId="0" borderId="57" xfId="0" applyFont="1" applyBorder="1" applyAlignment="1" applyProtection="1">
      <alignment horizontal="center" vertical="center" shrinkToFit="1"/>
      <protection locked="0"/>
    </xf>
    <xf numFmtId="178" fontId="7" fillId="0" borderId="75" xfId="0" applyNumberFormat="1" applyFont="1" applyBorder="1" applyAlignment="1" applyProtection="1">
      <alignment horizontal="center" vertical="center" shrinkToFit="1"/>
      <protection locked="0"/>
    </xf>
    <xf numFmtId="178" fontId="7" fillId="0" borderId="81" xfId="0" applyNumberFormat="1" applyFont="1" applyBorder="1" applyAlignment="1" applyProtection="1">
      <alignment horizontal="center" vertical="center" shrinkToFit="1"/>
      <protection locked="0"/>
    </xf>
    <xf numFmtId="177" fontId="36" fillId="0" borderId="75" xfId="0" applyNumberFormat="1" applyFont="1" applyBorder="1" applyAlignment="1" applyProtection="1">
      <alignment horizontal="center" vertical="center" shrinkToFit="1"/>
      <protection locked="0"/>
    </xf>
    <xf numFmtId="0" fontId="36" fillId="0" borderId="9" xfId="0" applyFont="1" applyBorder="1" applyAlignment="1" applyProtection="1">
      <alignment horizontal="center" vertical="center" shrinkToFit="1"/>
      <protection locked="0"/>
    </xf>
    <xf numFmtId="0" fontId="3" fillId="17" borderId="0" xfId="0" applyFont="1" applyFill="1" applyAlignment="1" applyProtection="1">
      <alignment horizontal="center" vertical="center" shrinkToFit="1"/>
      <protection locked="0"/>
    </xf>
    <xf numFmtId="178" fontId="8" fillId="17" borderId="0" xfId="0" applyNumberFormat="1" applyFont="1" applyFill="1" applyAlignment="1">
      <alignment horizontal="center" vertical="center" wrapText="1" shrinkToFit="1"/>
    </xf>
    <xf numFmtId="178" fontId="11" fillId="17" borderId="0" xfId="0" applyNumberFormat="1" applyFont="1" applyFill="1" applyAlignment="1">
      <alignment horizontal="center" vertical="center" shrinkToFit="1"/>
    </xf>
    <xf numFmtId="179" fontId="3" fillId="0" borderId="0" xfId="0" applyNumberFormat="1" applyFont="1" applyAlignment="1">
      <alignment horizontal="center" vertical="center" shrinkToFit="1"/>
    </xf>
    <xf numFmtId="179" fontId="5" fillId="0" borderId="0" xfId="0" applyNumberFormat="1" applyFont="1" applyAlignment="1">
      <alignment horizontal="center" vertical="center" shrinkToFit="1"/>
    </xf>
    <xf numFmtId="178" fontId="5" fillId="0" borderId="0" xfId="0" applyNumberFormat="1" applyFont="1" applyAlignment="1" applyProtection="1">
      <alignment horizontal="center" vertical="center" shrinkToFit="1"/>
      <protection locked="0"/>
    </xf>
    <xf numFmtId="177" fontId="5" fillId="0" borderId="0" xfId="0" applyNumberFormat="1" applyFont="1" applyAlignment="1">
      <alignment horizontal="center" vertical="center" shrinkToFit="1"/>
    </xf>
    <xf numFmtId="177" fontId="5" fillId="0" borderId="0" xfId="0" applyNumberFormat="1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177" fontId="5" fillId="17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17" borderId="10" xfId="0" applyFont="1" applyFill="1" applyBorder="1" applyAlignment="1" applyProtection="1">
      <alignment horizontal="center" vertical="center" shrinkToFit="1"/>
      <protection locked="0"/>
    </xf>
    <xf numFmtId="179" fontId="3" fillId="0" borderId="111" xfId="0" applyNumberFormat="1" applyFont="1" applyBorder="1" applyAlignment="1">
      <alignment horizontal="center" vertical="center" shrinkToFit="1"/>
    </xf>
    <xf numFmtId="177" fontId="5" fillId="0" borderId="121" xfId="0" applyNumberFormat="1" applyFont="1" applyBorder="1" applyAlignment="1" applyProtection="1">
      <alignment horizontal="center" vertical="center" shrinkToFit="1"/>
      <protection locked="0"/>
    </xf>
    <xf numFmtId="177" fontId="5" fillId="0" borderId="17" xfId="0" applyNumberFormat="1" applyFont="1" applyBorder="1" applyAlignment="1" applyProtection="1">
      <alignment horizontal="center" vertical="center" shrinkToFit="1"/>
      <protection locked="0"/>
    </xf>
    <xf numFmtId="179" fontId="5" fillId="0" borderId="37" xfId="0" applyNumberFormat="1" applyFont="1" applyBorder="1" applyAlignment="1">
      <alignment horizontal="center" vertical="center" shrinkToFit="1"/>
    </xf>
    <xf numFmtId="179" fontId="5" fillId="0" borderId="31" xfId="0" applyNumberFormat="1" applyFont="1" applyBorder="1" applyAlignment="1">
      <alignment horizontal="center" vertical="center" shrinkToFit="1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178" fontId="8" fillId="17" borderId="36" xfId="0" applyNumberFormat="1" applyFont="1" applyFill="1" applyBorder="1" applyAlignment="1">
      <alignment horizontal="center" vertical="center" wrapText="1" shrinkToFit="1"/>
    </xf>
    <xf numFmtId="178" fontId="8" fillId="17" borderId="20" xfId="0" applyNumberFormat="1" applyFont="1" applyFill="1" applyBorder="1" applyAlignment="1">
      <alignment horizontal="center" vertical="center" wrapText="1" shrinkToFit="1"/>
    </xf>
    <xf numFmtId="178" fontId="8" fillId="17" borderId="23" xfId="0" applyNumberFormat="1" applyFont="1" applyFill="1" applyBorder="1" applyAlignment="1">
      <alignment horizontal="center" vertical="center" wrapText="1" shrinkToFit="1"/>
    </xf>
    <xf numFmtId="178" fontId="11" fillId="17" borderId="123" xfId="0" applyNumberFormat="1" applyFont="1" applyFill="1" applyBorder="1" applyAlignment="1">
      <alignment horizontal="center" vertical="center" shrinkToFit="1"/>
    </xf>
    <xf numFmtId="178" fontId="11" fillId="17" borderId="124" xfId="0" applyNumberFormat="1" applyFont="1" applyFill="1" applyBorder="1" applyAlignment="1">
      <alignment horizontal="center" vertical="center" shrinkToFit="1"/>
    </xf>
    <xf numFmtId="178" fontId="11" fillId="17" borderId="125" xfId="0" applyNumberFormat="1" applyFont="1" applyFill="1" applyBorder="1" applyAlignment="1">
      <alignment horizontal="center" vertical="center" shrinkToFit="1"/>
    </xf>
    <xf numFmtId="177" fontId="5" fillId="0" borderId="74" xfId="0" quotePrefix="1" applyNumberFormat="1" applyFont="1" applyBorder="1" applyAlignment="1" applyProtection="1">
      <alignment horizontal="center" vertical="center" shrinkToFit="1"/>
      <protection locked="0"/>
    </xf>
    <xf numFmtId="177" fontId="5" fillId="0" borderId="109" xfId="0" quotePrefix="1" applyNumberFormat="1" applyFont="1" applyBorder="1" applyAlignment="1" applyProtection="1">
      <alignment horizontal="center" vertical="center" shrinkToFit="1"/>
      <protection locked="0"/>
    </xf>
    <xf numFmtId="0" fontId="5" fillId="0" borderId="74" xfId="0" applyFont="1" applyBorder="1" applyAlignment="1" applyProtection="1">
      <alignment horizontal="center" vertical="center" shrinkToFit="1"/>
      <protection locked="0"/>
    </xf>
    <xf numFmtId="0" fontId="5" fillId="0" borderId="80" xfId="0" applyFont="1" applyBorder="1" applyAlignment="1" applyProtection="1">
      <alignment horizontal="center" vertical="center" shrinkToFit="1"/>
      <protection locked="0"/>
    </xf>
    <xf numFmtId="0" fontId="5" fillId="0" borderId="109" xfId="0" applyFont="1" applyBorder="1" applyAlignment="1" applyProtection="1">
      <alignment horizontal="center" vertical="center" shrinkToFit="1"/>
      <protection locked="0"/>
    </xf>
    <xf numFmtId="0" fontId="5" fillId="0" borderId="112" xfId="0" applyFont="1" applyBorder="1" applyAlignment="1" applyProtection="1">
      <alignment horizontal="center" vertical="center" shrinkToFit="1"/>
      <protection locked="0"/>
    </xf>
    <xf numFmtId="0" fontId="10" fillId="3" borderId="33" xfId="1" applyFont="1" applyFill="1" applyBorder="1" applyAlignment="1">
      <alignment horizontal="center" vertical="center" shrinkToFit="1"/>
    </xf>
    <xf numFmtId="0" fontId="10" fillId="3" borderId="30" xfId="1" applyFont="1" applyFill="1" applyBorder="1" applyAlignment="1">
      <alignment horizontal="center" vertical="center" shrinkToFit="1"/>
    </xf>
    <xf numFmtId="177" fontId="7" fillId="0" borderId="109" xfId="0" quotePrefix="1" applyNumberFormat="1" applyFont="1" applyBorder="1" applyAlignment="1" applyProtection="1">
      <alignment horizontal="center" vertical="center" shrinkToFit="1"/>
      <protection locked="0"/>
    </xf>
    <xf numFmtId="177" fontId="7" fillId="0" borderId="112" xfId="0" applyNumberFormat="1" applyFont="1" applyBorder="1" applyAlignment="1" applyProtection="1">
      <alignment horizontal="center" vertical="center" shrinkToFit="1"/>
      <protection locked="0"/>
    </xf>
    <xf numFmtId="177" fontId="7" fillId="0" borderId="109" xfId="0" applyNumberFormat="1" applyFont="1" applyBorder="1" applyAlignment="1" applyProtection="1">
      <alignment horizontal="center" vertical="center" shrinkToFit="1"/>
      <protection locked="0"/>
    </xf>
  </cellXfs>
  <cellStyles count="3">
    <cellStyle name="標準" xfId="0" builtinId="0"/>
    <cellStyle name="標準 10" xfId="1" xr:uid="{097C6FDA-B13D-4D25-9DAC-17CB4F99F260}"/>
    <cellStyle name="標準 2" xfId="2" xr:uid="{DE3637B8-0724-4B41-9ACC-D49EEC3384EE}"/>
  </cellStyles>
  <dxfs count="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FF"/>
      <color rgb="FFBDDADF"/>
      <color rgb="FFCC99FF"/>
      <color rgb="FFFFFF66"/>
      <color rgb="FF993366"/>
      <color rgb="FFFF9966"/>
      <color rgb="FFE8FEA0"/>
      <color rgb="FFFFCC00"/>
      <color rgb="FF99CC00"/>
      <color rgb="FF7EB2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externalLink" Target="externalLinks/externalLink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10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11.xml"/><Relationship Id="rId199" Type="http://schemas.openxmlformats.org/officeDocument/2006/relationships/externalLink" Target="externalLinks/externalLink16.xml"/><Relationship Id="rId20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externalLink" Target="externalLinks/externalLink1.xml"/><Relationship Id="rId18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externalLink" Target="externalLinks/externalLink12.xml"/><Relationship Id="rId190" Type="http://schemas.openxmlformats.org/officeDocument/2006/relationships/externalLink" Target="externalLinks/externalLink7.xml"/><Relationship Id="rId204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externalLink" Target="externalLinks/externalLink13.xml"/><Relationship Id="rId200" Type="http://schemas.openxmlformats.org/officeDocument/2006/relationships/externalLink" Target="externalLinks/externalLink17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externalLink" Target="externalLinks/externalLink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externalLink" Target="externalLinks/externalLink14.xml"/><Relationship Id="rId201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15.xml"/><Relationship Id="rId202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45-4C25-8613-F501D34F8F8E}"/>
            </c:ext>
          </c:extLst>
        </c:ser>
        <c:ser>
          <c:idx val="1"/>
          <c:order val="1"/>
          <c:tx>
            <c:strRef>
              <c:f>[7]graph!$H$37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45-4C25-8613-F501D34F8F8E}"/>
            </c:ext>
          </c:extLst>
        </c:ser>
        <c:ser>
          <c:idx val="2"/>
          <c:order val="2"/>
          <c:tx>
            <c:strRef>
              <c:f>[7]graph!$H$38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45-4C25-8613-F501D34F8F8E}"/>
            </c:ext>
          </c:extLst>
        </c:ser>
        <c:ser>
          <c:idx val="3"/>
          <c:order val="3"/>
          <c:tx>
            <c:strRef>
              <c:f>[7]graph!$H$39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45-4C25-8613-F501D34F8F8E}"/>
            </c:ext>
          </c:extLst>
        </c:ser>
        <c:ser>
          <c:idx val="4"/>
          <c:order val="4"/>
          <c:tx>
            <c:strRef>
              <c:f>[7]graph!$H$40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45-4C25-8613-F501D34F8F8E}"/>
            </c:ext>
          </c:extLst>
        </c:ser>
        <c:ser>
          <c:idx val="5"/>
          <c:order val="5"/>
          <c:tx>
            <c:strRef>
              <c:f>[7]graph!$H$41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B45-4C25-8613-F501D34F8F8E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45-4C25-8613-F501D34F8F8E}"/>
            </c:ext>
          </c:extLst>
        </c:ser>
        <c:ser>
          <c:idx val="6"/>
          <c:order val="6"/>
          <c:tx>
            <c:strRef>
              <c:f>[7]graph!$H$42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45-4C25-8613-F501D34F8F8E}"/>
            </c:ext>
          </c:extLst>
        </c:ser>
        <c:ser>
          <c:idx val="7"/>
          <c:order val="7"/>
          <c:tx>
            <c:strRef>
              <c:f>[7]graph!$H$43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45-4C25-8613-F501D34F8F8E}"/>
            </c:ext>
          </c:extLst>
        </c:ser>
        <c:ser>
          <c:idx val="8"/>
          <c:order val="8"/>
          <c:tx>
            <c:strRef>
              <c:f>[7]graph!$H$44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B45-4C25-8613-F501D34F8F8E}"/>
            </c:ext>
          </c:extLst>
        </c:ser>
        <c:ser>
          <c:idx val="9"/>
          <c:order val="9"/>
          <c:tx>
            <c:strRef>
              <c:f>[7]graph!$H$45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B45-4C25-8613-F501D34F8F8E}"/>
            </c:ext>
          </c:extLst>
        </c:ser>
        <c:ser>
          <c:idx val="10"/>
          <c:order val="10"/>
          <c:tx>
            <c:strRef>
              <c:f>[7]graph!$H$46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B45-4C25-8613-F501D34F8F8E}"/>
            </c:ext>
          </c:extLst>
        </c:ser>
        <c:ser>
          <c:idx val="11"/>
          <c:order val="11"/>
          <c:tx>
            <c:strRef>
              <c:f>[7]graph!$H$47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45-4C25-8613-F501D34F8F8E}"/>
            </c:ext>
          </c:extLst>
        </c:ser>
        <c:ser>
          <c:idx val="12"/>
          <c:order val="12"/>
          <c:tx>
            <c:strRef>
              <c:f>[7]graph!$H$48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45-4C25-8613-F501D34F8F8E}"/>
            </c:ext>
          </c:extLst>
        </c:ser>
        <c:ser>
          <c:idx val="13"/>
          <c:order val="13"/>
          <c:tx>
            <c:strRef>
              <c:f>[7]graph!$H$49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B45-4C25-8613-F501D34F8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B45-4C25-8613-F501D34F8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[9]graph!$H$36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3-4B51-A203-4B059F75BFB6}"/>
            </c:ext>
          </c:extLst>
        </c:ser>
        <c:ser>
          <c:idx val="1"/>
          <c:order val="1"/>
          <c:tx>
            <c:strRef>
              <c:f>[9]graph!$H$37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23-4B51-A203-4B059F75BFB6}"/>
            </c:ext>
          </c:extLst>
        </c:ser>
        <c:ser>
          <c:idx val="2"/>
          <c:order val="2"/>
          <c:tx>
            <c:strRef>
              <c:f>[9]graph!$H$38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3-4B51-A203-4B059F75BFB6}"/>
            </c:ext>
          </c:extLst>
        </c:ser>
        <c:ser>
          <c:idx val="3"/>
          <c:order val="3"/>
          <c:tx>
            <c:strRef>
              <c:f>[9]graph!$H$39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23-4B51-A203-4B059F75BFB6}"/>
            </c:ext>
          </c:extLst>
        </c:ser>
        <c:ser>
          <c:idx val="4"/>
          <c:order val="4"/>
          <c:tx>
            <c:strRef>
              <c:f>[9]graph!$H$40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23-4B51-A203-4B059F75BFB6}"/>
            </c:ext>
          </c:extLst>
        </c:ser>
        <c:ser>
          <c:idx val="5"/>
          <c:order val="5"/>
          <c:tx>
            <c:strRef>
              <c:f>[9]graph!$H$41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623-4B51-A203-4B059F75BFB6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23-4B51-A203-4B059F75BFB6}"/>
            </c:ext>
          </c:extLst>
        </c:ser>
        <c:ser>
          <c:idx val="6"/>
          <c:order val="6"/>
          <c:tx>
            <c:strRef>
              <c:f>[9]graph!$H$42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23-4B51-A203-4B059F75BFB6}"/>
            </c:ext>
          </c:extLst>
        </c:ser>
        <c:ser>
          <c:idx val="7"/>
          <c:order val="7"/>
          <c:tx>
            <c:strRef>
              <c:f>[9]graph!$H$43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23-4B51-A203-4B059F75BFB6}"/>
            </c:ext>
          </c:extLst>
        </c:ser>
        <c:ser>
          <c:idx val="8"/>
          <c:order val="8"/>
          <c:tx>
            <c:strRef>
              <c:f>[9]graph!$H$44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623-4B51-A203-4B059F75BFB6}"/>
            </c:ext>
          </c:extLst>
        </c:ser>
        <c:ser>
          <c:idx val="9"/>
          <c:order val="9"/>
          <c:tx>
            <c:strRef>
              <c:f>[9]graph!$H$45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623-4B51-A203-4B059F75BFB6}"/>
            </c:ext>
          </c:extLst>
        </c:ser>
        <c:ser>
          <c:idx val="10"/>
          <c:order val="10"/>
          <c:tx>
            <c:strRef>
              <c:f>[9]graph!$H$46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623-4B51-A203-4B059F75BFB6}"/>
            </c:ext>
          </c:extLst>
        </c:ser>
        <c:ser>
          <c:idx val="11"/>
          <c:order val="11"/>
          <c:tx>
            <c:strRef>
              <c:f>[9]graph!$H$47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23-4B51-A203-4B059F75BFB6}"/>
            </c:ext>
          </c:extLst>
        </c:ser>
        <c:ser>
          <c:idx val="12"/>
          <c:order val="12"/>
          <c:tx>
            <c:strRef>
              <c:f>[9]graph!$H$48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23-4B51-A203-4B059F75BFB6}"/>
            </c:ext>
          </c:extLst>
        </c:ser>
        <c:ser>
          <c:idx val="13"/>
          <c:order val="13"/>
          <c:tx>
            <c:strRef>
              <c:f>[9]graph!$H$49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623-4B51-A203-4B059F75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623-4B51-A203-4B059F75B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[9]graph!$H$36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1-4B96-A7E6-6876AF43AA8B}"/>
            </c:ext>
          </c:extLst>
        </c:ser>
        <c:ser>
          <c:idx val="1"/>
          <c:order val="1"/>
          <c:tx>
            <c:strRef>
              <c:f>[9]graph!$H$37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01-4B96-A7E6-6876AF43AA8B}"/>
            </c:ext>
          </c:extLst>
        </c:ser>
        <c:ser>
          <c:idx val="2"/>
          <c:order val="2"/>
          <c:tx>
            <c:strRef>
              <c:f>[9]graph!$H$38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01-4B96-A7E6-6876AF43AA8B}"/>
            </c:ext>
          </c:extLst>
        </c:ser>
        <c:ser>
          <c:idx val="3"/>
          <c:order val="3"/>
          <c:tx>
            <c:strRef>
              <c:f>[9]graph!$H$39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01-4B96-A7E6-6876AF43AA8B}"/>
            </c:ext>
          </c:extLst>
        </c:ser>
        <c:ser>
          <c:idx val="4"/>
          <c:order val="4"/>
          <c:tx>
            <c:strRef>
              <c:f>[9]graph!$H$40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01-4B96-A7E6-6876AF43AA8B}"/>
            </c:ext>
          </c:extLst>
        </c:ser>
        <c:ser>
          <c:idx val="5"/>
          <c:order val="5"/>
          <c:tx>
            <c:strRef>
              <c:f>[9]graph!$H$41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001-4B96-A7E6-6876AF43AA8B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1-4B96-A7E6-6876AF43AA8B}"/>
            </c:ext>
          </c:extLst>
        </c:ser>
        <c:ser>
          <c:idx val="6"/>
          <c:order val="6"/>
          <c:tx>
            <c:strRef>
              <c:f>[9]graph!$H$42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01-4B96-A7E6-6876AF43AA8B}"/>
            </c:ext>
          </c:extLst>
        </c:ser>
        <c:ser>
          <c:idx val="7"/>
          <c:order val="7"/>
          <c:tx>
            <c:strRef>
              <c:f>[9]graph!$H$43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01-4B96-A7E6-6876AF43AA8B}"/>
            </c:ext>
          </c:extLst>
        </c:ser>
        <c:ser>
          <c:idx val="8"/>
          <c:order val="8"/>
          <c:tx>
            <c:strRef>
              <c:f>[9]graph!$H$44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01-4B96-A7E6-6876AF43AA8B}"/>
            </c:ext>
          </c:extLst>
        </c:ser>
        <c:ser>
          <c:idx val="9"/>
          <c:order val="9"/>
          <c:tx>
            <c:strRef>
              <c:f>[9]graph!$H$45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001-4B96-A7E6-6876AF43AA8B}"/>
            </c:ext>
          </c:extLst>
        </c:ser>
        <c:ser>
          <c:idx val="10"/>
          <c:order val="10"/>
          <c:tx>
            <c:strRef>
              <c:f>[9]graph!$H$46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001-4B96-A7E6-6876AF43AA8B}"/>
            </c:ext>
          </c:extLst>
        </c:ser>
        <c:ser>
          <c:idx val="11"/>
          <c:order val="11"/>
          <c:tx>
            <c:strRef>
              <c:f>[9]graph!$H$47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01-4B96-A7E6-6876AF43AA8B}"/>
            </c:ext>
          </c:extLst>
        </c:ser>
        <c:ser>
          <c:idx val="12"/>
          <c:order val="12"/>
          <c:tx>
            <c:strRef>
              <c:f>[9]graph!$H$48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01-4B96-A7E6-6876AF43AA8B}"/>
            </c:ext>
          </c:extLst>
        </c:ser>
        <c:ser>
          <c:idx val="13"/>
          <c:order val="13"/>
          <c:tx>
            <c:strRef>
              <c:f>[9]graph!$H$49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001-4B96-A7E6-6876AF43A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[9]graph!$I$35:$J$35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[9]graph!$I$49:$J$49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001-4B96-A7E6-6876AF43A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[10]graph!$H$36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2-4509-9E5E-0AB5907DAFC0}"/>
            </c:ext>
          </c:extLst>
        </c:ser>
        <c:ser>
          <c:idx val="1"/>
          <c:order val="1"/>
          <c:tx>
            <c:strRef>
              <c:f>[10]graph!$H$37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2-4509-9E5E-0AB5907DAFC0}"/>
            </c:ext>
          </c:extLst>
        </c:ser>
        <c:ser>
          <c:idx val="2"/>
          <c:order val="2"/>
          <c:tx>
            <c:strRef>
              <c:f>[10]graph!$H$38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F2-4509-9E5E-0AB5907DAFC0}"/>
            </c:ext>
          </c:extLst>
        </c:ser>
        <c:ser>
          <c:idx val="3"/>
          <c:order val="3"/>
          <c:tx>
            <c:strRef>
              <c:f>[10]graph!$H$39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F2-4509-9E5E-0AB5907DAFC0}"/>
            </c:ext>
          </c:extLst>
        </c:ser>
        <c:ser>
          <c:idx val="4"/>
          <c:order val="4"/>
          <c:tx>
            <c:strRef>
              <c:f>[10]graph!$H$40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F2-4509-9E5E-0AB5907DAFC0}"/>
            </c:ext>
          </c:extLst>
        </c:ser>
        <c:ser>
          <c:idx val="5"/>
          <c:order val="5"/>
          <c:tx>
            <c:strRef>
              <c:f>[10]graph!$H$41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7F2-4509-9E5E-0AB5907DAFC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F2-4509-9E5E-0AB5907DAFC0}"/>
            </c:ext>
          </c:extLst>
        </c:ser>
        <c:ser>
          <c:idx val="6"/>
          <c:order val="6"/>
          <c:tx>
            <c:strRef>
              <c:f>[10]graph!$H$42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F2-4509-9E5E-0AB5907DAFC0}"/>
            </c:ext>
          </c:extLst>
        </c:ser>
        <c:ser>
          <c:idx val="7"/>
          <c:order val="7"/>
          <c:tx>
            <c:strRef>
              <c:f>[10]graph!$H$43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F2-4509-9E5E-0AB5907DAFC0}"/>
            </c:ext>
          </c:extLst>
        </c:ser>
        <c:ser>
          <c:idx val="8"/>
          <c:order val="8"/>
          <c:tx>
            <c:strRef>
              <c:f>[10]graph!$H$44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7F2-4509-9E5E-0AB5907DAFC0}"/>
            </c:ext>
          </c:extLst>
        </c:ser>
        <c:ser>
          <c:idx val="9"/>
          <c:order val="9"/>
          <c:tx>
            <c:strRef>
              <c:f>[10]graph!$H$45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7F2-4509-9E5E-0AB5907DAFC0}"/>
            </c:ext>
          </c:extLst>
        </c:ser>
        <c:ser>
          <c:idx val="10"/>
          <c:order val="10"/>
          <c:tx>
            <c:strRef>
              <c:f>[10]graph!$H$46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7F2-4509-9E5E-0AB5907DAFC0}"/>
            </c:ext>
          </c:extLst>
        </c:ser>
        <c:ser>
          <c:idx val="11"/>
          <c:order val="11"/>
          <c:tx>
            <c:strRef>
              <c:f>[10]graph!$H$47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F2-4509-9E5E-0AB5907DAFC0}"/>
            </c:ext>
          </c:extLst>
        </c:ser>
        <c:ser>
          <c:idx val="12"/>
          <c:order val="12"/>
          <c:tx>
            <c:strRef>
              <c:f>[10]graph!$H$48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F2-4509-9E5E-0AB5907DAFC0}"/>
            </c:ext>
          </c:extLst>
        </c:ser>
        <c:ser>
          <c:idx val="13"/>
          <c:order val="13"/>
          <c:tx>
            <c:strRef>
              <c:f>[10]graph!$H$49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7F2-4509-9E5E-0AB5907D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[10]graph!$I$35:$J$35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[10]graph!$I$49:$J$49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7F2-4509-9E5E-0AB5907D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[11]graph!$H$36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5-4090-BEC2-58E6B3BDA9A0}"/>
            </c:ext>
          </c:extLst>
        </c:ser>
        <c:ser>
          <c:idx val="1"/>
          <c:order val="1"/>
          <c:tx>
            <c:strRef>
              <c:f>[11]graph!$H$37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5-4090-BEC2-58E6B3BDA9A0}"/>
            </c:ext>
          </c:extLst>
        </c:ser>
        <c:ser>
          <c:idx val="2"/>
          <c:order val="2"/>
          <c:tx>
            <c:strRef>
              <c:f>[11]graph!$H$38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85-4090-BEC2-58E6B3BDA9A0}"/>
            </c:ext>
          </c:extLst>
        </c:ser>
        <c:ser>
          <c:idx val="3"/>
          <c:order val="3"/>
          <c:tx>
            <c:strRef>
              <c:f>[11]graph!$H$39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85-4090-BEC2-58E6B3BDA9A0}"/>
            </c:ext>
          </c:extLst>
        </c:ser>
        <c:ser>
          <c:idx val="4"/>
          <c:order val="4"/>
          <c:tx>
            <c:strRef>
              <c:f>[11]graph!$H$40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85-4090-BEC2-58E6B3BDA9A0}"/>
            </c:ext>
          </c:extLst>
        </c:ser>
        <c:ser>
          <c:idx val="5"/>
          <c:order val="5"/>
          <c:tx>
            <c:strRef>
              <c:f>[11]graph!$H$41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B85-4090-BEC2-58E6B3BDA9A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85-4090-BEC2-58E6B3BDA9A0}"/>
            </c:ext>
          </c:extLst>
        </c:ser>
        <c:ser>
          <c:idx val="6"/>
          <c:order val="6"/>
          <c:tx>
            <c:strRef>
              <c:f>[11]graph!$H$42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B85-4090-BEC2-58E6B3BDA9A0}"/>
            </c:ext>
          </c:extLst>
        </c:ser>
        <c:ser>
          <c:idx val="7"/>
          <c:order val="7"/>
          <c:tx>
            <c:strRef>
              <c:f>[11]graph!$H$43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B85-4090-BEC2-58E6B3BDA9A0}"/>
            </c:ext>
          </c:extLst>
        </c:ser>
        <c:ser>
          <c:idx val="8"/>
          <c:order val="8"/>
          <c:tx>
            <c:strRef>
              <c:f>[11]graph!$H$44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B85-4090-BEC2-58E6B3BDA9A0}"/>
            </c:ext>
          </c:extLst>
        </c:ser>
        <c:ser>
          <c:idx val="9"/>
          <c:order val="9"/>
          <c:tx>
            <c:strRef>
              <c:f>[11]graph!$H$45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B85-4090-BEC2-58E6B3BDA9A0}"/>
            </c:ext>
          </c:extLst>
        </c:ser>
        <c:ser>
          <c:idx val="10"/>
          <c:order val="10"/>
          <c:tx>
            <c:strRef>
              <c:f>[11]graph!$H$46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B85-4090-BEC2-58E6B3BDA9A0}"/>
            </c:ext>
          </c:extLst>
        </c:ser>
        <c:ser>
          <c:idx val="11"/>
          <c:order val="11"/>
          <c:tx>
            <c:strRef>
              <c:f>[11]graph!$H$47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B85-4090-BEC2-58E6B3BDA9A0}"/>
            </c:ext>
          </c:extLst>
        </c:ser>
        <c:ser>
          <c:idx val="12"/>
          <c:order val="12"/>
          <c:tx>
            <c:strRef>
              <c:f>[11]graph!$H$48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85-4090-BEC2-58E6B3BDA9A0}"/>
            </c:ext>
          </c:extLst>
        </c:ser>
        <c:ser>
          <c:idx val="13"/>
          <c:order val="13"/>
          <c:tx>
            <c:strRef>
              <c:f>[11]graph!$H$49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B85-4090-BEC2-58E6B3BDA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B85-4090-BEC2-58E6B3BDA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[11]graph!$H$36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3-417D-818B-6EC37552A685}"/>
            </c:ext>
          </c:extLst>
        </c:ser>
        <c:ser>
          <c:idx val="1"/>
          <c:order val="1"/>
          <c:tx>
            <c:strRef>
              <c:f>[11]graph!$H$37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3-417D-818B-6EC37552A685}"/>
            </c:ext>
          </c:extLst>
        </c:ser>
        <c:ser>
          <c:idx val="2"/>
          <c:order val="2"/>
          <c:tx>
            <c:strRef>
              <c:f>[11]graph!$H$38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23-417D-818B-6EC37552A685}"/>
            </c:ext>
          </c:extLst>
        </c:ser>
        <c:ser>
          <c:idx val="3"/>
          <c:order val="3"/>
          <c:tx>
            <c:strRef>
              <c:f>[11]graph!$H$39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23-417D-818B-6EC37552A685}"/>
            </c:ext>
          </c:extLst>
        </c:ser>
        <c:ser>
          <c:idx val="4"/>
          <c:order val="4"/>
          <c:tx>
            <c:strRef>
              <c:f>[11]graph!$H$40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23-417D-818B-6EC37552A685}"/>
            </c:ext>
          </c:extLst>
        </c:ser>
        <c:ser>
          <c:idx val="5"/>
          <c:order val="5"/>
          <c:tx>
            <c:strRef>
              <c:f>[11]graph!$H$41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D23-417D-818B-6EC37552A685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23-417D-818B-6EC37552A685}"/>
            </c:ext>
          </c:extLst>
        </c:ser>
        <c:ser>
          <c:idx val="6"/>
          <c:order val="6"/>
          <c:tx>
            <c:strRef>
              <c:f>[11]graph!$H$42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D23-417D-818B-6EC37552A685}"/>
            </c:ext>
          </c:extLst>
        </c:ser>
        <c:ser>
          <c:idx val="7"/>
          <c:order val="7"/>
          <c:tx>
            <c:strRef>
              <c:f>[11]graph!$H$43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23-417D-818B-6EC37552A685}"/>
            </c:ext>
          </c:extLst>
        </c:ser>
        <c:ser>
          <c:idx val="8"/>
          <c:order val="8"/>
          <c:tx>
            <c:strRef>
              <c:f>[11]graph!$H$44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D23-417D-818B-6EC37552A685}"/>
            </c:ext>
          </c:extLst>
        </c:ser>
        <c:ser>
          <c:idx val="9"/>
          <c:order val="9"/>
          <c:tx>
            <c:strRef>
              <c:f>[11]graph!$H$45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23-417D-818B-6EC37552A685}"/>
            </c:ext>
          </c:extLst>
        </c:ser>
        <c:ser>
          <c:idx val="10"/>
          <c:order val="10"/>
          <c:tx>
            <c:strRef>
              <c:f>[11]graph!$H$46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D23-417D-818B-6EC37552A685}"/>
            </c:ext>
          </c:extLst>
        </c:ser>
        <c:ser>
          <c:idx val="11"/>
          <c:order val="11"/>
          <c:tx>
            <c:strRef>
              <c:f>[11]graph!$H$47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D23-417D-818B-6EC37552A685}"/>
            </c:ext>
          </c:extLst>
        </c:ser>
        <c:ser>
          <c:idx val="12"/>
          <c:order val="12"/>
          <c:tx>
            <c:strRef>
              <c:f>[11]graph!$H$48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23-417D-818B-6EC37552A685}"/>
            </c:ext>
          </c:extLst>
        </c:ser>
        <c:ser>
          <c:idx val="13"/>
          <c:order val="13"/>
          <c:tx>
            <c:strRef>
              <c:f>[11]graph!$H$49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4D23-417D-818B-6EC37552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[11]graph!$I$35:$J$35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[11]graph!$I$49:$J$49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23-417D-818B-6EC37552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[12]graph!$H$36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F2-439E-8BF3-4F97D2B51E4D}"/>
            </c:ext>
          </c:extLst>
        </c:ser>
        <c:ser>
          <c:idx val="1"/>
          <c:order val="1"/>
          <c:tx>
            <c:strRef>
              <c:f>[12]graph!$H$37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F2-439E-8BF3-4F97D2B51E4D}"/>
            </c:ext>
          </c:extLst>
        </c:ser>
        <c:ser>
          <c:idx val="2"/>
          <c:order val="2"/>
          <c:tx>
            <c:strRef>
              <c:f>[12]graph!$H$38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F2-439E-8BF3-4F97D2B51E4D}"/>
            </c:ext>
          </c:extLst>
        </c:ser>
        <c:ser>
          <c:idx val="3"/>
          <c:order val="3"/>
          <c:tx>
            <c:strRef>
              <c:f>[12]graph!$H$39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F2-439E-8BF3-4F97D2B51E4D}"/>
            </c:ext>
          </c:extLst>
        </c:ser>
        <c:ser>
          <c:idx val="4"/>
          <c:order val="4"/>
          <c:tx>
            <c:strRef>
              <c:f>[12]graph!$H$40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F2-439E-8BF3-4F97D2B51E4D}"/>
            </c:ext>
          </c:extLst>
        </c:ser>
        <c:ser>
          <c:idx val="5"/>
          <c:order val="5"/>
          <c:tx>
            <c:strRef>
              <c:f>[12]graph!$H$41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0F2-439E-8BF3-4F97D2B51E4D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F2-439E-8BF3-4F97D2B51E4D}"/>
            </c:ext>
          </c:extLst>
        </c:ser>
        <c:ser>
          <c:idx val="6"/>
          <c:order val="6"/>
          <c:tx>
            <c:strRef>
              <c:f>[12]graph!$H$42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F2-439E-8BF3-4F97D2B51E4D}"/>
            </c:ext>
          </c:extLst>
        </c:ser>
        <c:ser>
          <c:idx val="7"/>
          <c:order val="7"/>
          <c:tx>
            <c:strRef>
              <c:f>[12]graph!$H$43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F2-439E-8BF3-4F97D2B51E4D}"/>
            </c:ext>
          </c:extLst>
        </c:ser>
        <c:ser>
          <c:idx val="8"/>
          <c:order val="8"/>
          <c:tx>
            <c:strRef>
              <c:f>[12]graph!$H$44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0F2-439E-8BF3-4F97D2B51E4D}"/>
            </c:ext>
          </c:extLst>
        </c:ser>
        <c:ser>
          <c:idx val="9"/>
          <c:order val="9"/>
          <c:tx>
            <c:strRef>
              <c:f>[12]graph!$H$45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0F2-439E-8BF3-4F97D2B51E4D}"/>
            </c:ext>
          </c:extLst>
        </c:ser>
        <c:ser>
          <c:idx val="10"/>
          <c:order val="10"/>
          <c:tx>
            <c:strRef>
              <c:f>[12]graph!$H$46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0F2-439E-8BF3-4F97D2B51E4D}"/>
            </c:ext>
          </c:extLst>
        </c:ser>
        <c:ser>
          <c:idx val="11"/>
          <c:order val="11"/>
          <c:tx>
            <c:strRef>
              <c:f>[12]graph!$H$47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F2-439E-8BF3-4F97D2B51E4D}"/>
            </c:ext>
          </c:extLst>
        </c:ser>
        <c:ser>
          <c:idx val="12"/>
          <c:order val="12"/>
          <c:tx>
            <c:strRef>
              <c:f>[12]graph!$H$48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F2-439E-8BF3-4F97D2B51E4D}"/>
            </c:ext>
          </c:extLst>
        </c:ser>
        <c:ser>
          <c:idx val="13"/>
          <c:order val="13"/>
          <c:tx>
            <c:strRef>
              <c:f>[12]graph!$H$49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0F2-439E-8BF3-4F97D2B51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0F2-439E-8BF3-4F97D2B51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[12]graph!$H$36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AE-481B-A3A3-245AB6D1407C}"/>
            </c:ext>
          </c:extLst>
        </c:ser>
        <c:ser>
          <c:idx val="1"/>
          <c:order val="1"/>
          <c:tx>
            <c:strRef>
              <c:f>[12]graph!$H$37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AE-481B-A3A3-245AB6D1407C}"/>
            </c:ext>
          </c:extLst>
        </c:ser>
        <c:ser>
          <c:idx val="2"/>
          <c:order val="2"/>
          <c:tx>
            <c:strRef>
              <c:f>[12]graph!$H$38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E-481B-A3A3-245AB6D1407C}"/>
            </c:ext>
          </c:extLst>
        </c:ser>
        <c:ser>
          <c:idx val="3"/>
          <c:order val="3"/>
          <c:tx>
            <c:strRef>
              <c:f>[12]graph!$H$39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AE-481B-A3A3-245AB6D1407C}"/>
            </c:ext>
          </c:extLst>
        </c:ser>
        <c:ser>
          <c:idx val="4"/>
          <c:order val="4"/>
          <c:tx>
            <c:strRef>
              <c:f>[12]graph!$H$40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AE-481B-A3A3-245AB6D1407C}"/>
            </c:ext>
          </c:extLst>
        </c:ser>
        <c:ser>
          <c:idx val="5"/>
          <c:order val="5"/>
          <c:tx>
            <c:strRef>
              <c:f>[12]graph!$H$41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CAE-481B-A3A3-245AB6D1407C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E-481B-A3A3-245AB6D1407C}"/>
            </c:ext>
          </c:extLst>
        </c:ser>
        <c:ser>
          <c:idx val="6"/>
          <c:order val="6"/>
          <c:tx>
            <c:strRef>
              <c:f>[12]graph!$H$42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CAE-481B-A3A3-245AB6D1407C}"/>
            </c:ext>
          </c:extLst>
        </c:ser>
        <c:ser>
          <c:idx val="7"/>
          <c:order val="7"/>
          <c:tx>
            <c:strRef>
              <c:f>[12]graph!$H$43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CAE-481B-A3A3-245AB6D1407C}"/>
            </c:ext>
          </c:extLst>
        </c:ser>
        <c:ser>
          <c:idx val="8"/>
          <c:order val="8"/>
          <c:tx>
            <c:strRef>
              <c:f>[12]graph!$H$44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AE-481B-A3A3-245AB6D1407C}"/>
            </c:ext>
          </c:extLst>
        </c:ser>
        <c:ser>
          <c:idx val="9"/>
          <c:order val="9"/>
          <c:tx>
            <c:strRef>
              <c:f>[12]graph!$H$45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CAE-481B-A3A3-245AB6D1407C}"/>
            </c:ext>
          </c:extLst>
        </c:ser>
        <c:ser>
          <c:idx val="10"/>
          <c:order val="10"/>
          <c:tx>
            <c:strRef>
              <c:f>[12]graph!$H$46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CAE-481B-A3A3-245AB6D1407C}"/>
            </c:ext>
          </c:extLst>
        </c:ser>
        <c:ser>
          <c:idx val="11"/>
          <c:order val="11"/>
          <c:tx>
            <c:strRef>
              <c:f>[12]graph!$H$47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AE-481B-A3A3-245AB6D1407C}"/>
            </c:ext>
          </c:extLst>
        </c:ser>
        <c:ser>
          <c:idx val="12"/>
          <c:order val="12"/>
          <c:tx>
            <c:strRef>
              <c:f>[12]graph!$H$48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AE-481B-A3A3-245AB6D1407C}"/>
            </c:ext>
          </c:extLst>
        </c:ser>
        <c:ser>
          <c:idx val="13"/>
          <c:order val="13"/>
          <c:tx>
            <c:strRef>
              <c:f>[12]graph!$H$49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CAE-481B-A3A3-245AB6D14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CAE-481B-A3A3-245AB6D14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[12]graph!$H$36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A-4C71-902F-C75BE2CFFDA0}"/>
            </c:ext>
          </c:extLst>
        </c:ser>
        <c:ser>
          <c:idx val="1"/>
          <c:order val="1"/>
          <c:tx>
            <c:strRef>
              <c:f>[12]graph!$H$37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6A-4C71-902F-C75BE2CFFDA0}"/>
            </c:ext>
          </c:extLst>
        </c:ser>
        <c:ser>
          <c:idx val="2"/>
          <c:order val="2"/>
          <c:tx>
            <c:strRef>
              <c:f>[12]graph!$H$38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6A-4C71-902F-C75BE2CFFDA0}"/>
            </c:ext>
          </c:extLst>
        </c:ser>
        <c:ser>
          <c:idx val="3"/>
          <c:order val="3"/>
          <c:tx>
            <c:strRef>
              <c:f>[12]graph!$H$39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6A-4C71-902F-C75BE2CFFDA0}"/>
            </c:ext>
          </c:extLst>
        </c:ser>
        <c:ser>
          <c:idx val="4"/>
          <c:order val="4"/>
          <c:tx>
            <c:strRef>
              <c:f>[12]graph!$H$40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6A-4C71-902F-C75BE2CFFDA0}"/>
            </c:ext>
          </c:extLst>
        </c:ser>
        <c:ser>
          <c:idx val="5"/>
          <c:order val="5"/>
          <c:tx>
            <c:strRef>
              <c:f>[12]graph!$H$41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86A-4C71-902F-C75BE2CFFDA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6A-4C71-902F-C75BE2CFFDA0}"/>
            </c:ext>
          </c:extLst>
        </c:ser>
        <c:ser>
          <c:idx val="6"/>
          <c:order val="6"/>
          <c:tx>
            <c:strRef>
              <c:f>[12]graph!$H$42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86A-4C71-902F-C75BE2CFFDA0}"/>
            </c:ext>
          </c:extLst>
        </c:ser>
        <c:ser>
          <c:idx val="7"/>
          <c:order val="7"/>
          <c:tx>
            <c:strRef>
              <c:f>[12]graph!$H$43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86A-4C71-902F-C75BE2CFFDA0}"/>
            </c:ext>
          </c:extLst>
        </c:ser>
        <c:ser>
          <c:idx val="8"/>
          <c:order val="8"/>
          <c:tx>
            <c:strRef>
              <c:f>[12]graph!$H$44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86A-4C71-902F-C75BE2CFFDA0}"/>
            </c:ext>
          </c:extLst>
        </c:ser>
        <c:ser>
          <c:idx val="9"/>
          <c:order val="9"/>
          <c:tx>
            <c:strRef>
              <c:f>[12]graph!$H$45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86A-4C71-902F-C75BE2CFFDA0}"/>
            </c:ext>
          </c:extLst>
        </c:ser>
        <c:ser>
          <c:idx val="10"/>
          <c:order val="10"/>
          <c:tx>
            <c:strRef>
              <c:f>[12]graph!$H$46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86A-4C71-902F-C75BE2CFFDA0}"/>
            </c:ext>
          </c:extLst>
        </c:ser>
        <c:ser>
          <c:idx val="11"/>
          <c:order val="11"/>
          <c:tx>
            <c:strRef>
              <c:f>[12]graph!$H$47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6A-4C71-902F-C75BE2CFFDA0}"/>
            </c:ext>
          </c:extLst>
        </c:ser>
        <c:ser>
          <c:idx val="12"/>
          <c:order val="12"/>
          <c:tx>
            <c:strRef>
              <c:f>[12]graph!$H$48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6A-4C71-902F-C75BE2CFFDA0}"/>
            </c:ext>
          </c:extLst>
        </c:ser>
        <c:ser>
          <c:idx val="13"/>
          <c:order val="13"/>
          <c:tx>
            <c:strRef>
              <c:f>[12]graph!$H$49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86A-4C71-902F-C75BE2CFF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86A-4C71-902F-C75BE2CF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[12]graph!$H$36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F-412A-8556-302852438F1D}"/>
            </c:ext>
          </c:extLst>
        </c:ser>
        <c:ser>
          <c:idx val="1"/>
          <c:order val="1"/>
          <c:tx>
            <c:strRef>
              <c:f>[12]graph!$H$37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F-412A-8556-302852438F1D}"/>
            </c:ext>
          </c:extLst>
        </c:ser>
        <c:ser>
          <c:idx val="2"/>
          <c:order val="2"/>
          <c:tx>
            <c:strRef>
              <c:f>[12]graph!$H$38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F-412A-8556-302852438F1D}"/>
            </c:ext>
          </c:extLst>
        </c:ser>
        <c:ser>
          <c:idx val="3"/>
          <c:order val="3"/>
          <c:tx>
            <c:strRef>
              <c:f>[12]graph!$H$39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4F-412A-8556-302852438F1D}"/>
            </c:ext>
          </c:extLst>
        </c:ser>
        <c:ser>
          <c:idx val="4"/>
          <c:order val="4"/>
          <c:tx>
            <c:strRef>
              <c:f>[12]graph!$H$40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4F-412A-8556-302852438F1D}"/>
            </c:ext>
          </c:extLst>
        </c:ser>
        <c:ser>
          <c:idx val="5"/>
          <c:order val="5"/>
          <c:tx>
            <c:strRef>
              <c:f>[12]graph!$H$41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24F-412A-8556-302852438F1D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4F-412A-8556-302852438F1D}"/>
            </c:ext>
          </c:extLst>
        </c:ser>
        <c:ser>
          <c:idx val="6"/>
          <c:order val="6"/>
          <c:tx>
            <c:strRef>
              <c:f>[12]graph!$H$42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4F-412A-8556-302852438F1D}"/>
            </c:ext>
          </c:extLst>
        </c:ser>
        <c:ser>
          <c:idx val="7"/>
          <c:order val="7"/>
          <c:tx>
            <c:strRef>
              <c:f>[12]graph!$H$43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4F-412A-8556-302852438F1D}"/>
            </c:ext>
          </c:extLst>
        </c:ser>
        <c:ser>
          <c:idx val="8"/>
          <c:order val="8"/>
          <c:tx>
            <c:strRef>
              <c:f>[12]graph!$H$44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24F-412A-8556-302852438F1D}"/>
            </c:ext>
          </c:extLst>
        </c:ser>
        <c:ser>
          <c:idx val="9"/>
          <c:order val="9"/>
          <c:tx>
            <c:strRef>
              <c:f>[12]graph!$H$45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24F-412A-8556-302852438F1D}"/>
            </c:ext>
          </c:extLst>
        </c:ser>
        <c:ser>
          <c:idx val="10"/>
          <c:order val="10"/>
          <c:tx>
            <c:strRef>
              <c:f>[12]graph!$H$46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24F-412A-8556-302852438F1D}"/>
            </c:ext>
          </c:extLst>
        </c:ser>
        <c:ser>
          <c:idx val="11"/>
          <c:order val="11"/>
          <c:tx>
            <c:strRef>
              <c:f>[12]graph!$H$47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24F-412A-8556-302852438F1D}"/>
            </c:ext>
          </c:extLst>
        </c:ser>
        <c:ser>
          <c:idx val="12"/>
          <c:order val="12"/>
          <c:tx>
            <c:strRef>
              <c:f>[12]graph!$H$48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4F-412A-8556-302852438F1D}"/>
            </c:ext>
          </c:extLst>
        </c:ser>
        <c:ser>
          <c:idx val="13"/>
          <c:order val="13"/>
          <c:tx>
            <c:strRef>
              <c:f>[12]graph!$H$49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24F-412A-8556-302852438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24F-412A-8556-302852438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[12]graph!$H$36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1-4B57-A431-6D7B732EC16D}"/>
            </c:ext>
          </c:extLst>
        </c:ser>
        <c:ser>
          <c:idx val="1"/>
          <c:order val="1"/>
          <c:tx>
            <c:strRef>
              <c:f>[12]graph!$H$37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91-4B57-A431-6D7B732EC16D}"/>
            </c:ext>
          </c:extLst>
        </c:ser>
        <c:ser>
          <c:idx val="2"/>
          <c:order val="2"/>
          <c:tx>
            <c:strRef>
              <c:f>[12]graph!$H$38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1-4B57-A431-6D7B732EC16D}"/>
            </c:ext>
          </c:extLst>
        </c:ser>
        <c:ser>
          <c:idx val="3"/>
          <c:order val="3"/>
          <c:tx>
            <c:strRef>
              <c:f>[12]graph!$H$39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91-4B57-A431-6D7B732EC16D}"/>
            </c:ext>
          </c:extLst>
        </c:ser>
        <c:ser>
          <c:idx val="4"/>
          <c:order val="4"/>
          <c:tx>
            <c:strRef>
              <c:f>[12]graph!$H$40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91-4B57-A431-6D7B732EC16D}"/>
            </c:ext>
          </c:extLst>
        </c:ser>
        <c:ser>
          <c:idx val="5"/>
          <c:order val="5"/>
          <c:tx>
            <c:strRef>
              <c:f>[12]graph!$H$41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191-4B57-A431-6D7B732EC16D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91-4B57-A431-6D7B732EC16D}"/>
            </c:ext>
          </c:extLst>
        </c:ser>
        <c:ser>
          <c:idx val="6"/>
          <c:order val="6"/>
          <c:tx>
            <c:strRef>
              <c:f>[12]graph!$H$42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191-4B57-A431-6D7B732EC16D}"/>
            </c:ext>
          </c:extLst>
        </c:ser>
        <c:ser>
          <c:idx val="7"/>
          <c:order val="7"/>
          <c:tx>
            <c:strRef>
              <c:f>[12]graph!$H$43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91-4B57-A431-6D7B732EC16D}"/>
            </c:ext>
          </c:extLst>
        </c:ser>
        <c:ser>
          <c:idx val="8"/>
          <c:order val="8"/>
          <c:tx>
            <c:strRef>
              <c:f>[12]graph!$H$44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191-4B57-A431-6D7B732EC16D}"/>
            </c:ext>
          </c:extLst>
        </c:ser>
        <c:ser>
          <c:idx val="9"/>
          <c:order val="9"/>
          <c:tx>
            <c:strRef>
              <c:f>[12]graph!$H$45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191-4B57-A431-6D7B732EC16D}"/>
            </c:ext>
          </c:extLst>
        </c:ser>
        <c:ser>
          <c:idx val="10"/>
          <c:order val="10"/>
          <c:tx>
            <c:strRef>
              <c:f>[12]graph!$H$46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191-4B57-A431-6D7B732EC16D}"/>
            </c:ext>
          </c:extLst>
        </c:ser>
        <c:ser>
          <c:idx val="11"/>
          <c:order val="11"/>
          <c:tx>
            <c:strRef>
              <c:f>[12]graph!$H$47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191-4B57-A431-6D7B732EC16D}"/>
            </c:ext>
          </c:extLst>
        </c:ser>
        <c:ser>
          <c:idx val="12"/>
          <c:order val="12"/>
          <c:tx>
            <c:strRef>
              <c:f>[12]graph!$H$48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91-4B57-A431-6D7B732EC16D}"/>
            </c:ext>
          </c:extLst>
        </c:ser>
        <c:ser>
          <c:idx val="13"/>
          <c:order val="13"/>
          <c:tx>
            <c:strRef>
              <c:f>[12]graph!$H$49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191-4B57-A431-6D7B732EC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[12]graph!$I$35:$J$35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[12]graph!$I$49:$J$49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191-4B57-A431-6D7B732EC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4-4C2F-B2AC-B35991B893FD}"/>
            </c:ext>
          </c:extLst>
        </c:ser>
        <c:ser>
          <c:idx val="1"/>
          <c:order val="1"/>
          <c:tx>
            <c:strRef>
              <c:f>[7]graph!$H$37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F4-4C2F-B2AC-B35991B893FD}"/>
            </c:ext>
          </c:extLst>
        </c:ser>
        <c:ser>
          <c:idx val="2"/>
          <c:order val="2"/>
          <c:tx>
            <c:strRef>
              <c:f>[7]graph!$H$38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F4-4C2F-B2AC-B35991B893FD}"/>
            </c:ext>
          </c:extLst>
        </c:ser>
        <c:ser>
          <c:idx val="3"/>
          <c:order val="3"/>
          <c:tx>
            <c:strRef>
              <c:f>[7]graph!$H$39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F4-4C2F-B2AC-B35991B893FD}"/>
            </c:ext>
          </c:extLst>
        </c:ser>
        <c:ser>
          <c:idx val="4"/>
          <c:order val="4"/>
          <c:tx>
            <c:strRef>
              <c:f>[7]graph!$H$40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F4-4C2F-B2AC-B35991B893FD}"/>
            </c:ext>
          </c:extLst>
        </c:ser>
        <c:ser>
          <c:idx val="5"/>
          <c:order val="5"/>
          <c:tx>
            <c:strRef>
              <c:f>[7]graph!$H$41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F4-4C2F-B2AC-B35991B893FD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F4-4C2F-B2AC-B35991B893FD}"/>
            </c:ext>
          </c:extLst>
        </c:ser>
        <c:ser>
          <c:idx val="6"/>
          <c:order val="6"/>
          <c:tx>
            <c:strRef>
              <c:f>[7]graph!$H$42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F4-4C2F-B2AC-B35991B893FD}"/>
            </c:ext>
          </c:extLst>
        </c:ser>
        <c:ser>
          <c:idx val="7"/>
          <c:order val="7"/>
          <c:tx>
            <c:strRef>
              <c:f>[7]graph!$H$43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F4-4C2F-B2AC-B35991B893FD}"/>
            </c:ext>
          </c:extLst>
        </c:ser>
        <c:ser>
          <c:idx val="8"/>
          <c:order val="8"/>
          <c:tx>
            <c:strRef>
              <c:f>[7]graph!$H$44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F4-4C2F-B2AC-B35991B893FD}"/>
            </c:ext>
          </c:extLst>
        </c:ser>
        <c:ser>
          <c:idx val="9"/>
          <c:order val="9"/>
          <c:tx>
            <c:strRef>
              <c:f>[7]graph!$H$45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F4-4C2F-B2AC-B35991B893FD}"/>
            </c:ext>
          </c:extLst>
        </c:ser>
        <c:ser>
          <c:idx val="10"/>
          <c:order val="10"/>
          <c:tx>
            <c:strRef>
              <c:f>[7]graph!$H$46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BF4-4C2F-B2AC-B35991B893FD}"/>
            </c:ext>
          </c:extLst>
        </c:ser>
        <c:ser>
          <c:idx val="11"/>
          <c:order val="11"/>
          <c:tx>
            <c:strRef>
              <c:f>[7]graph!$H$47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F4-4C2F-B2AC-B35991B893FD}"/>
            </c:ext>
          </c:extLst>
        </c:ser>
        <c:ser>
          <c:idx val="12"/>
          <c:order val="12"/>
          <c:tx>
            <c:strRef>
              <c:f>[7]graph!$H$48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F4-4C2F-B2AC-B35991B893FD}"/>
            </c:ext>
          </c:extLst>
        </c:ser>
        <c:ser>
          <c:idx val="13"/>
          <c:order val="13"/>
          <c:tx>
            <c:strRef>
              <c:f>[7]graph!$H$49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BF4-4C2F-B2AC-B35991B89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F4-4C2F-B2AC-B35991B89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[13]graph!$H$36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1-42C0-8EBB-CE448303AFCA}"/>
            </c:ext>
          </c:extLst>
        </c:ser>
        <c:ser>
          <c:idx val="1"/>
          <c:order val="1"/>
          <c:tx>
            <c:strRef>
              <c:f>[13]graph!$H$37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21-42C0-8EBB-CE448303AFCA}"/>
            </c:ext>
          </c:extLst>
        </c:ser>
        <c:ser>
          <c:idx val="2"/>
          <c:order val="2"/>
          <c:tx>
            <c:strRef>
              <c:f>[13]graph!$H$38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21-42C0-8EBB-CE448303AFCA}"/>
            </c:ext>
          </c:extLst>
        </c:ser>
        <c:ser>
          <c:idx val="3"/>
          <c:order val="3"/>
          <c:tx>
            <c:strRef>
              <c:f>[13]graph!$H$39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21-42C0-8EBB-CE448303AFCA}"/>
            </c:ext>
          </c:extLst>
        </c:ser>
        <c:ser>
          <c:idx val="4"/>
          <c:order val="4"/>
          <c:tx>
            <c:strRef>
              <c:f>[13]graph!$H$40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21-42C0-8EBB-CE448303AFCA}"/>
            </c:ext>
          </c:extLst>
        </c:ser>
        <c:ser>
          <c:idx val="5"/>
          <c:order val="5"/>
          <c:tx>
            <c:strRef>
              <c:f>[13]graph!$H$41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521-42C0-8EBB-CE448303AFCA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21-42C0-8EBB-CE448303AFCA}"/>
            </c:ext>
          </c:extLst>
        </c:ser>
        <c:ser>
          <c:idx val="6"/>
          <c:order val="6"/>
          <c:tx>
            <c:strRef>
              <c:f>[13]graph!$H$42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521-42C0-8EBB-CE448303AFCA}"/>
            </c:ext>
          </c:extLst>
        </c:ser>
        <c:ser>
          <c:idx val="7"/>
          <c:order val="7"/>
          <c:tx>
            <c:strRef>
              <c:f>[13]graph!$H$43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21-42C0-8EBB-CE448303AFCA}"/>
            </c:ext>
          </c:extLst>
        </c:ser>
        <c:ser>
          <c:idx val="8"/>
          <c:order val="8"/>
          <c:tx>
            <c:strRef>
              <c:f>[13]graph!$H$44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521-42C0-8EBB-CE448303AFCA}"/>
            </c:ext>
          </c:extLst>
        </c:ser>
        <c:ser>
          <c:idx val="9"/>
          <c:order val="9"/>
          <c:tx>
            <c:strRef>
              <c:f>[13]graph!$H$45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521-42C0-8EBB-CE448303AFCA}"/>
            </c:ext>
          </c:extLst>
        </c:ser>
        <c:ser>
          <c:idx val="10"/>
          <c:order val="10"/>
          <c:tx>
            <c:strRef>
              <c:f>[13]graph!$H$46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521-42C0-8EBB-CE448303AFCA}"/>
            </c:ext>
          </c:extLst>
        </c:ser>
        <c:ser>
          <c:idx val="11"/>
          <c:order val="11"/>
          <c:tx>
            <c:strRef>
              <c:f>[13]graph!$H$47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21-42C0-8EBB-CE448303AFCA}"/>
            </c:ext>
          </c:extLst>
        </c:ser>
        <c:ser>
          <c:idx val="12"/>
          <c:order val="12"/>
          <c:tx>
            <c:strRef>
              <c:f>[13]graph!$H$48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21-42C0-8EBB-CE448303AFCA}"/>
            </c:ext>
          </c:extLst>
        </c:ser>
        <c:ser>
          <c:idx val="13"/>
          <c:order val="13"/>
          <c:tx>
            <c:strRef>
              <c:f>[13]graph!$H$49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521-42C0-8EBB-CE448303A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521-42C0-8EBB-CE448303A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[13]graph!$H$36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1-4C44-A2A0-8203E2E58565}"/>
            </c:ext>
          </c:extLst>
        </c:ser>
        <c:ser>
          <c:idx val="1"/>
          <c:order val="1"/>
          <c:tx>
            <c:strRef>
              <c:f>[13]graph!$H$37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11-4C44-A2A0-8203E2E58565}"/>
            </c:ext>
          </c:extLst>
        </c:ser>
        <c:ser>
          <c:idx val="2"/>
          <c:order val="2"/>
          <c:tx>
            <c:strRef>
              <c:f>[13]graph!$H$38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11-4C44-A2A0-8203E2E58565}"/>
            </c:ext>
          </c:extLst>
        </c:ser>
        <c:ser>
          <c:idx val="3"/>
          <c:order val="3"/>
          <c:tx>
            <c:strRef>
              <c:f>[13]graph!$H$39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11-4C44-A2A0-8203E2E58565}"/>
            </c:ext>
          </c:extLst>
        </c:ser>
        <c:ser>
          <c:idx val="4"/>
          <c:order val="4"/>
          <c:tx>
            <c:strRef>
              <c:f>[13]graph!$H$40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11-4C44-A2A0-8203E2E58565}"/>
            </c:ext>
          </c:extLst>
        </c:ser>
        <c:ser>
          <c:idx val="5"/>
          <c:order val="5"/>
          <c:tx>
            <c:strRef>
              <c:f>[13]graph!$H$41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A11-4C44-A2A0-8203E2E58565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11-4C44-A2A0-8203E2E58565}"/>
            </c:ext>
          </c:extLst>
        </c:ser>
        <c:ser>
          <c:idx val="6"/>
          <c:order val="6"/>
          <c:tx>
            <c:strRef>
              <c:f>[13]graph!$H$42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11-4C44-A2A0-8203E2E58565}"/>
            </c:ext>
          </c:extLst>
        </c:ser>
        <c:ser>
          <c:idx val="7"/>
          <c:order val="7"/>
          <c:tx>
            <c:strRef>
              <c:f>[13]graph!$H$43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11-4C44-A2A0-8203E2E58565}"/>
            </c:ext>
          </c:extLst>
        </c:ser>
        <c:ser>
          <c:idx val="8"/>
          <c:order val="8"/>
          <c:tx>
            <c:strRef>
              <c:f>[13]graph!$H$44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11-4C44-A2A0-8203E2E58565}"/>
            </c:ext>
          </c:extLst>
        </c:ser>
        <c:ser>
          <c:idx val="9"/>
          <c:order val="9"/>
          <c:tx>
            <c:strRef>
              <c:f>[13]graph!$H$45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A11-4C44-A2A0-8203E2E58565}"/>
            </c:ext>
          </c:extLst>
        </c:ser>
        <c:ser>
          <c:idx val="10"/>
          <c:order val="10"/>
          <c:tx>
            <c:strRef>
              <c:f>[13]graph!$H$46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A11-4C44-A2A0-8203E2E58565}"/>
            </c:ext>
          </c:extLst>
        </c:ser>
        <c:ser>
          <c:idx val="11"/>
          <c:order val="11"/>
          <c:tx>
            <c:strRef>
              <c:f>[13]graph!$H$47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A11-4C44-A2A0-8203E2E58565}"/>
            </c:ext>
          </c:extLst>
        </c:ser>
        <c:ser>
          <c:idx val="12"/>
          <c:order val="12"/>
          <c:tx>
            <c:strRef>
              <c:f>[13]graph!$H$48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11-4C44-A2A0-8203E2E58565}"/>
            </c:ext>
          </c:extLst>
        </c:ser>
        <c:ser>
          <c:idx val="13"/>
          <c:order val="13"/>
          <c:tx>
            <c:strRef>
              <c:f>[13]graph!$H$49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DA11-4C44-A2A0-8203E2E58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A11-4C44-A2A0-8203E2E5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[13]graph!$H$36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C0-42BA-976C-B27079157280}"/>
            </c:ext>
          </c:extLst>
        </c:ser>
        <c:ser>
          <c:idx val="1"/>
          <c:order val="1"/>
          <c:tx>
            <c:strRef>
              <c:f>[13]graph!$H$37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C0-42BA-976C-B27079157280}"/>
            </c:ext>
          </c:extLst>
        </c:ser>
        <c:ser>
          <c:idx val="2"/>
          <c:order val="2"/>
          <c:tx>
            <c:strRef>
              <c:f>[13]graph!$H$38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C0-42BA-976C-B27079157280}"/>
            </c:ext>
          </c:extLst>
        </c:ser>
        <c:ser>
          <c:idx val="3"/>
          <c:order val="3"/>
          <c:tx>
            <c:strRef>
              <c:f>[13]graph!$H$39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C0-42BA-976C-B27079157280}"/>
            </c:ext>
          </c:extLst>
        </c:ser>
        <c:ser>
          <c:idx val="4"/>
          <c:order val="4"/>
          <c:tx>
            <c:strRef>
              <c:f>[13]graph!$H$40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C0-42BA-976C-B27079157280}"/>
            </c:ext>
          </c:extLst>
        </c:ser>
        <c:ser>
          <c:idx val="5"/>
          <c:order val="5"/>
          <c:tx>
            <c:strRef>
              <c:f>[13]graph!$H$41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C0-42BA-976C-B2707915728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C0-42BA-976C-B27079157280}"/>
            </c:ext>
          </c:extLst>
        </c:ser>
        <c:ser>
          <c:idx val="6"/>
          <c:order val="6"/>
          <c:tx>
            <c:strRef>
              <c:f>[13]graph!$H$42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C0-42BA-976C-B27079157280}"/>
            </c:ext>
          </c:extLst>
        </c:ser>
        <c:ser>
          <c:idx val="7"/>
          <c:order val="7"/>
          <c:tx>
            <c:strRef>
              <c:f>[13]graph!$H$43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C0-42BA-976C-B27079157280}"/>
            </c:ext>
          </c:extLst>
        </c:ser>
        <c:ser>
          <c:idx val="8"/>
          <c:order val="8"/>
          <c:tx>
            <c:strRef>
              <c:f>[13]graph!$H$44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C0-42BA-976C-B27079157280}"/>
            </c:ext>
          </c:extLst>
        </c:ser>
        <c:ser>
          <c:idx val="9"/>
          <c:order val="9"/>
          <c:tx>
            <c:strRef>
              <c:f>[13]graph!$H$45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1C0-42BA-976C-B27079157280}"/>
            </c:ext>
          </c:extLst>
        </c:ser>
        <c:ser>
          <c:idx val="10"/>
          <c:order val="10"/>
          <c:tx>
            <c:strRef>
              <c:f>[13]graph!$H$46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1C0-42BA-976C-B27079157280}"/>
            </c:ext>
          </c:extLst>
        </c:ser>
        <c:ser>
          <c:idx val="11"/>
          <c:order val="11"/>
          <c:tx>
            <c:strRef>
              <c:f>[13]graph!$H$47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C0-42BA-976C-B27079157280}"/>
            </c:ext>
          </c:extLst>
        </c:ser>
        <c:ser>
          <c:idx val="12"/>
          <c:order val="12"/>
          <c:tx>
            <c:strRef>
              <c:f>[13]graph!$H$48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C0-42BA-976C-B27079157280}"/>
            </c:ext>
          </c:extLst>
        </c:ser>
        <c:ser>
          <c:idx val="13"/>
          <c:order val="13"/>
          <c:tx>
            <c:strRef>
              <c:f>[13]graph!$H$49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1C0-42BA-976C-B27079157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[13]graph!$I$35:$J$35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[13]graph!$I$49:$J$49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1C0-42BA-976C-B27079157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[14]graph!$H$36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7-4948-A1DA-359250AED548}"/>
            </c:ext>
          </c:extLst>
        </c:ser>
        <c:ser>
          <c:idx val="1"/>
          <c:order val="1"/>
          <c:tx>
            <c:strRef>
              <c:f>[14]graph!$H$37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7-4948-A1DA-359250AED548}"/>
            </c:ext>
          </c:extLst>
        </c:ser>
        <c:ser>
          <c:idx val="2"/>
          <c:order val="2"/>
          <c:tx>
            <c:strRef>
              <c:f>[14]graph!$H$38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7-4948-A1DA-359250AED548}"/>
            </c:ext>
          </c:extLst>
        </c:ser>
        <c:ser>
          <c:idx val="3"/>
          <c:order val="3"/>
          <c:tx>
            <c:strRef>
              <c:f>[14]graph!$H$39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A7-4948-A1DA-359250AED548}"/>
            </c:ext>
          </c:extLst>
        </c:ser>
        <c:ser>
          <c:idx val="4"/>
          <c:order val="4"/>
          <c:tx>
            <c:strRef>
              <c:f>[14]graph!$H$40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A7-4948-A1DA-359250AED548}"/>
            </c:ext>
          </c:extLst>
        </c:ser>
        <c:ser>
          <c:idx val="5"/>
          <c:order val="5"/>
          <c:tx>
            <c:strRef>
              <c:f>[14]graph!$H$41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FA7-4948-A1DA-359250AED548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A7-4948-A1DA-359250AED548}"/>
            </c:ext>
          </c:extLst>
        </c:ser>
        <c:ser>
          <c:idx val="6"/>
          <c:order val="6"/>
          <c:tx>
            <c:strRef>
              <c:f>[14]graph!$H$42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A7-4948-A1DA-359250AED548}"/>
            </c:ext>
          </c:extLst>
        </c:ser>
        <c:ser>
          <c:idx val="7"/>
          <c:order val="7"/>
          <c:tx>
            <c:strRef>
              <c:f>[14]graph!$H$43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A7-4948-A1DA-359250AED548}"/>
            </c:ext>
          </c:extLst>
        </c:ser>
        <c:ser>
          <c:idx val="8"/>
          <c:order val="8"/>
          <c:tx>
            <c:strRef>
              <c:f>[14]graph!$H$44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FA7-4948-A1DA-359250AED548}"/>
            </c:ext>
          </c:extLst>
        </c:ser>
        <c:ser>
          <c:idx val="9"/>
          <c:order val="9"/>
          <c:tx>
            <c:strRef>
              <c:f>[14]graph!$H$45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FA7-4948-A1DA-359250AED548}"/>
            </c:ext>
          </c:extLst>
        </c:ser>
        <c:ser>
          <c:idx val="10"/>
          <c:order val="10"/>
          <c:tx>
            <c:strRef>
              <c:f>[14]graph!$H$46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FA7-4948-A1DA-359250AED548}"/>
            </c:ext>
          </c:extLst>
        </c:ser>
        <c:ser>
          <c:idx val="11"/>
          <c:order val="11"/>
          <c:tx>
            <c:strRef>
              <c:f>[14]graph!$H$47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A7-4948-A1DA-359250AED548}"/>
            </c:ext>
          </c:extLst>
        </c:ser>
        <c:ser>
          <c:idx val="12"/>
          <c:order val="12"/>
          <c:tx>
            <c:strRef>
              <c:f>[14]graph!$H$48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A7-4948-A1DA-359250AED548}"/>
            </c:ext>
          </c:extLst>
        </c:ser>
        <c:ser>
          <c:idx val="13"/>
          <c:order val="13"/>
          <c:tx>
            <c:strRef>
              <c:f>[14]graph!$H$49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FA7-4948-A1DA-359250AE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[14]graph!$I$35:$J$35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[14]graph!$I$49:$J$49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FA7-4948-A1DA-359250AED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[15]graph!$H$36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FC-4034-91E3-8711002EE66F}"/>
            </c:ext>
          </c:extLst>
        </c:ser>
        <c:ser>
          <c:idx val="1"/>
          <c:order val="1"/>
          <c:tx>
            <c:strRef>
              <c:f>[15]graph!$H$37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FC-4034-91E3-8711002EE66F}"/>
            </c:ext>
          </c:extLst>
        </c:ser>
        <c:ser>
          <c:idx val="2"/>
          <c:order val="2"/>
          <c:tx>
            <c:strRef>
              <c:f>[15]graph!$H$38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FC-4034-91E3-8711002EE66F}"/>
            </c:ext>
          </c:extLst>
        </c:ser>
        <c:ser>
          <c:idx val="3"/>
          <c:order val="3"/>
          <c:tx>
            <c:strRef>
              <c:f>[15]graph!$H$39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FC-4034-91E3-8711002EE66F}"/>
            </c:ext>
          </c:extLst>
        </c:ser>
        <c:ser>
          <c:idx val="4"/>
          <c:order val="4"/>
          <c:tx>
            <c:strRef>
              <c:f>[15]graph!$H$40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FC-4034-91E3-8711002EE66F}"/>
            </c:ext>
          </c:extLst>
        </c:ser>
        <c:ser>
          <c:idx val="5"/>
          <c:order val="5"/>
          <c:tx>
            <c:strRef>
              <c:f>[15]graph!$H$41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FC-4034-91E3-8711002EE66F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C-4034-91E3-8711002EE66F}"/>
            </c:ext>
          </c:extLst>
        </c:ser>
        <c:ser>
          <c:idx val="6"/>
          <c:order val="6"/>
          <c:tx>
            <c:strRef>
              <c:f>[15]graph!$H$42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FC-4034-91E3-8711002EE66F}"/>
            </c:ext>
          </c:extLst>
        </c:ser>
        <c:ser>
          <c:idx val="7"/>
          <c:order val="7"/>
          <c:tx>
            <c:strRef>
              <c:f>[15]graph!$H$43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FC-4034-91E3-8711002EE66F}"/>
            </c:ext>
          </c:extLst>
        </c:ser>
        <c:ser>
          <c:idx val="8"/>
          <c:order val="8"/>
          <c:tx>
            <c:strRef>
              <c:f>[15]graph!$H$44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FC-4034-91E3-8711002EE66F}"/>
            </c:ext>
          </c:extLst>
        </c:ser>
        <c:ser>
          <c:idx val="9"/>
          <c:order val="9"/>
          <c:tx>
            <c:strRef>
              <c:f>[15]graph!$H$45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1FC-4034-91E3-8711002EE66F}"/>
            </c:ext>
          </c:extLst>
        </c:ser>
        <c:ser>
          <c:idx val="10"/>
          <c:order val="10"/>
          <c:tx>
            <c:strRef>
              <c:f>[15]graph!$H$46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1FC-4034-91E3-8711002EE66F}"/>
            </c:ext>
          </c:extLst>
        </c:ser>
        <c:ser>
          <c:idx val="11"/>
          <c:order val="11"/>
          <c:tx>
            <c:strRef>
              <c:f>[15]graph!$H$47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1FC-4034-91E3-8711002EE66F}"/>
            </c:ext>
          </c:extLst>
        </c:ser>
        <c:ser>
          <c:idx val="12"/>
          <c:order val="12"/>
          <c:tx>
            <c:strRef>
              <c:f>[15]graph!$H$48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1FC-4034-91E3-8711002EE66F}"/>
            </c:ext>
          </c:extLst>
        </c:ser>
        <c:ser>
          <c:idx val="13"/>
          <c:order val="13"/>
          <c:tx>
            <c:strRef>
              <c:f>[15]graph!$H$49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1FC-4034-91E3-8711002EE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[15]graph!$I$35:$J$35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[15]graph!$I$49:$J$49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1FC-4034-91E3-8711002EE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[16]graph!$H$36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D-4B31-9C0C-499CD821EB82}"/>
            </c:ext>
          </c:extLst>
        </c:ser>
        <c:ser>
          <c:idx val="1"/>
          <c:order val="1"/>
          <c:tx>
            <c:strRef>
              <c:f>[16]graph!$H$37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D-4B31-9C0C-499CD821EB82}"/>
            </c:ext>
          </c:extLst>
        </c:ser>
        <c:ser>
          <c:idx val="2"/>
          <c:order val="2"/>
          <c:tx>
            <c:strRef>
              <c:f>[16]graph!$H$38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6D-4B31-9C0C-499CD821EB82}"/>
            </c:ext>
          </c:extLst>
        </c:ser>
        <c:ser>
          <c:idx val="3"/>
          <c:order val="3"/>
          <c:tx>
            <c:strRef>
              <c:f>[16]graph!$H$39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6D-4B31-9C0C-499CD821EB82}"/>
            </c:ext>
          </c:extLst>
        </c:ser>
        <c:ser>
          <c:idx val="4"/>
          <c:order val="4"/>
          <c:tx>
            <c:strRef>
              <c:f>[16]graph!$H$40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6D-4B31-9C0C-499CD821EB82}"/>
            </c:ext>
          </c:extLst>
        </c:ser>
        <c:ser>
          <c:idx val="5"/>
          <c:order val="5"/>
          <c:tx>
            <c:strRef>
              <c:f>[16]graph!$H$41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6D-4B31-9C0C-499CD821EB82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6D-4B31-9C0C-499CD821EB82}"/>
            </c:ext>
          </c:extLst>
        </c:ser>
        <c:ser>
          <c:idx val="6"/>
          <c:order val="6"/>
          <c:tx>
            <c:strRef>
              <c:f>[16]graph!$H$42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6D-4B31-9C0C-499CD821EB82}"/>
            </c:ext>
          </c:extLst>
        </c:ser>
        <c:ser>
          <c:idx val="7"/>
          <c:order val="7"/>
          <c:tx>
            <c:strRef>
              <c:f>[16]graph!$H$43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6D-4B31-9C0C-499CD821EB82}"/>
            </c:ext>
          </c:extLst>
        </c:ser>
        <c:ser>
          <c:idx val="8"/>
          <c:order val="8"/>
          <c:tx>
            <c:strRef>
              <c:f>[16]graph!$H$44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6D-4B31-9C0C-499CD821EB82}"/>
            </c:ext>
          </c:extLst>
        </c:ser>
        <c:ser>
          <c:idx val="9"/>
          <c:order val="9"/>
          <c:tx>
            <c:strRef>
              <c:f>[16]graph!$H$45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16D-4B31-9C0C-499CD821EB82}"/>
            </c:ext>
          </c:extLst>
        </c:ser>
        <c:ser>
          <c:idx val="10"/>
          <c:order val="10"/>
          <c:tx>
            <c:strRef>
              <c:f>[16]graph!$H$46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16D-4B31-9C0C-499CD821EB82}"/>
            </c:ext>
          </c:extLst>
        </c:ser>
        <c:ser>
          <c:idx val="11"/>
          <c:order val="11"/>
          <c:tx>
            <c:strRef>
              <c:f>[16]graph!$H$47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6D-4B31-9C0C-499CD821EB82}"/>
            </c:ext>
          </c:extLst>
        </c:ser>
        <c:ser>
          <c:idx val="12"/>
          <c:order val="12"/>
          <c:tx>
            <c:strRef>
              <c:f>[16]graph!$H$48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6D-4B31-9C0C-499CD821EB82}"/>
            </c:ext>
          </c:extLst>
        </c:ser>
        <c:ser>
          <c:idx val="13"/>
          <c:order val="13"/>
          <c:tx>
            <c:strRef>
              <c:f>[16]graph!$H$49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16D-4B31-9C0C-499CD821E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16D-4B31-9C0C-499CD821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[16]graph!$H$36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9-48AC-866F-F5DA3C4F8014}"/>
            </c:ext>
          </c:extLst>
        </c:ser>
        <c:ser>
          <c:idx val="1"/>
          <c:order val="1"/>
          <c:tx>
            <c:strRef>
              <c:f>[16]graph!$H$37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9-48AC-866F-F5DA3C4F8014}"/>
            </c:ext>
          </c:extLst>
        </c:ser>
        <c:ser>
          <c:idx val="2"/>
          <c:order val="2"/>
          <c:tx>
            <c:strRef>
              <c:f>[16]graph!$H$38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E9-48AC-866F-F5DA3C4F8014}"/>
            </c:ext>
          </c:extLst>
        </c:ser>
        <c:ser>
          <c:idx val="3"/>
          <c:order val="3"/>
          <c:tx>
            <c:strRef>
              <c:f>[16]graph!$H$39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E9-48AC-866F-F5DA3C4F8014}"/>
            </c:ext>
          </c:extLst>
        </c:ser>
        <c:ser>
          <c:idx val="4"/>
          <c:order val="4"/>
          <c:tx>
            <c:strRef>
              <c:f>[16]graph!$H$40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E9-48AC-866F-F5DA3C4F8014}"/>
            </c:ext>
          </c:extLst>
        </c:ser>
        <c:ser>
          <c:idx val="5"/>
          <c:order val="5"/>
          <c:tx>
            <c:strRef>
              <c:f>[16]graph!$H$41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5E9-48AC-866F-F5DA3C4F8014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E9-48AC-866F-F5DA3C4F8014}"/>
            </c:ext>
          </c:extLst>
        </c:ser>
        <c:ser>
          <c:idx val="6"/>
          <c:order val="6"/>
          <c:tx>
            <c:strRef>
              <c:f>[16]graph!$H$42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E9-48AC-866F-F5DA3C4F8014}"/>
            </c:ext>
          </c:extLst>
        </c:ser>
        <c:ser>
          <c:idx val="7"/>
          <c:order val="7"/>
          <c:tx>
            <c:strRef>
              <c:f>[16]graph!$H$43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E9-48AC-866F-F5DA3C4F8014}"/>
            </c:ext>
          </c:extLst>
        </c:ser>
        <c:ser>
          <c:idx val="8"/>
          <c:order val="8"/>
          <c:tx>
            <c:strRef>
              <c:f>[16]graph!$H$44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E9-48AC-866F-F5DA3C4F8014}"/>
            </c:ext>
          </c:extLst>
        </c:ser>
        <c:ser>
          <c:idx val="9"/>
          <c:order val="9"/>
          <c:tx>
            <c:strRef>
              <c:f>[16]graph!$H$45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5E9-48AC-866F-F5DA3C4F8014}"/>
            </c:ext>
          </c:extLst>
        </c:ser>
        <c:ser>
          <c:idx val="10"/>
          <c:order val="10"/>
          <c:tx>
            <c:strRef>
              <c:f>[16]graph!$H$46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5E9-48AC-866F-F5DA3C4F8014}"/>
            </c:ext>
          </c:extLst>
        </c:ser>
        <c:ser>
          <c:idx val="11"/>
          <c:order val="11"/>
          <c:tx>
            <c:strRef>
              <c:f>[16]graph!$H$47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E9-48AC-866F-F5DA3C4F8014}"/>
            </c:ext>
          </c:extLst>
        </c:ser>
        <c:ser>
          <c:idx val="12"/>
          <c:order val="12"/>
          <c:tx>
            <c:strRef>
              <c:f>[16]graph!$H$48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E9-48AC-866F-F5DA3C4F8014}"/>
            </c:ext>
          </c:extLst>
        </c:ser>
        <c:ser>
          <c:idx val="13"/>
          <c:order val="13"/>
          <c:tx>
            <c:strRef>
              <c:f>[16]graph!$H$49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5E9-48AC-866F-F5DA3C4F8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[16]graph!$I$35:$J$35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[16]graph!$I$49:$J$49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5E9-48AC-866F-F5DA3C4F8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4-4FD6-840C-D13F0E5B70D9}"/>
            </c:ext>
          </c:extLst>
        </c:ser>
        <c:ser>
          <c:idx val="1"/>
          <c:order val="1"/>
          <c:tx>
            <c:strRef>
              <c:f>[17]graph!$H$37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4-4FD6-840C-D13F0E5B70D9}"/>
            </c:ext>
          </c:extLst>
        </c:ser>
        <c:ser>
          <c:idx val="2"/>
          <c:order val="2"/>
          <c:tx>
            <c:strRef>
              <c:f>[17]graph!$H$38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84-4FD6-840C-D13F0E5B70D9}"/>
            </c:ext>
          </c:extLst>
        </c:ser>
        <c:ser>
          <c:idx val="3"/>
          <c:order val="3"/>
          <c:tx>
            <c:strRef>
              <c:f>[17]graph!$H$39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84-4FD6-840C-D13F0E5B70D9}"/>
            </c:ext>
          </c:extLst>
        </c:ser>
        <c:ser>
          <c:idx val="4"/>
          <c:order val="4"/>
          <c:tx>
            <c:strRef>
              <c:f>[17]graph!$H$40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84-4FD6-840C-D13F0E5B70D9}"/>
            </c:ext>
          </c:extLst>
        </c:ser>
        <c:ser>
          <c:idx val="5"/>
          <c:order val="5"/>
          <c:tx>
            <c:strRef>
              <c:f>[17]graph!$H$41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384-4FD6-840C-D13F0E5B70D9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84-4FD6-840C-D13F0E5B70D9}"/>
            </c:ext>
          </c:extLst>
        </c:ser>
        <c:ser>
          <c:idx val="6"/>
          <c:order val="6"/>
          <c:tx>
            <c:strRef>
              <c:f>[17]graph!$H$42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384-4FD6-840C-D13F0E5B70D9}"/>
            </c:ext>
          </c:extLst>
        </c:ser>
        <c:ser>
          <c:idx val="7"/>
          <c:order val="7"/>
          <c:tx>
            <c:strRef>
              <c:f>[17]graph!$H$43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84-4FD6-840C-D13F0E5B70D9}"/>
            </c:ext>
          </c:extLst>
        </c:ser>
        <c:ser>
          <c:idx val="8"/>
          <c:order val="8"/>
          <c:tx>
            <c:strRef>
              <c:f>[17]graph!$H$44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384-4FD6-840C-D13F0E5B70D9}"/>
            </c:ext>
          </c:extLst>
        </c:ser>
        <c:ser>
          <c:idx val="9"/>
          <c:order val="9"/>
          <c:tx>
            <c:strRef>
              <c:f>[17]graph!$H$45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384-4FD6-840C-D13F0E5B70D9}"/>
            </c:ext>
          </c:extLst>
        </c:ser>
        <c:ser>
          <c:idx val="10"/>
          <c:order val="10"/>
          <c:tx>
            <c:strRef>
              <c:f>[17]graph!$H$46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384-4FD6-840C-D13F0E5B70D9}"/>
            </c:ext>
          </c:extLst>
        </c:ser>
        <c:ser>
          <c:idx val="11"/>
          <c:order val="11"/>
          <c:tx>
            <c:strRef>
              <c:f>[17]graph!$H$47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84-4FD6-840C-D13F0E5B70D9}"/>
            </c:ext>
          </c:extLst>
        </c:ser>
        <c:ser>
          <c:idx val="12"/>
          <c:order val="12"/>
          <c:tx>
            <c:strRef>
              <c:f>[17]graph!$H$48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84-4FD6-840C-D13F0E5B70D9}"/>
            </c:ext>
          </c:extLst>
        </c:ser>
        <c:ser>
          <c:idx val="13"/>
          <c:order val="13"/>
          <c:tx>
            <c:strRef>
              <c:f>[17]graph!$H$49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384-4FD6-840C-D13F0E5B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384-4FD6-840C-D13F0E5B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D-4163-AA96-7979D0C21950}"/>
            </c:ext>
          </c:extLst>
        </c:ser>
        <c:ser>
          <c:idx val="1"/>
          <c:order val="1"/>
          <c:tx>
            <c:strRef>
              <c:f>[17]graph!$H$37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D-4163-AA96-7979D0C21950}"/>
            </c:ext>
          </c:extLst>
        </c:ser>
        <c:ser>
          <c:idx val="2"/>
          <c:order val="2"/>
          <c:tx>
            <c:strRef>
              <c:f>[17]graph!$H$38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6D-4163-AA96-7979D0C21950}"/>
            </c:ext>
          </c:extLst>
        </c:ser>
        <c:ser>
          <c:idx val="3"/>
          <c:order val="3"/>
          <c:tx>
            <c:strRef>
              <c:f>[17]graph!$H$39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6D-4163-AA96-7979D0C21950}"/>
            </c:ext>
          </c:extLst>
        </c:ser>
        <c:ser>
          <c:idx val="4"/>
          <c:order val="4"/>
          <c:tx>
            <c:strRef>
              <c:f>[17]graph!$H$40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6D-4163-AA96-7979D0C21950}"/>
            </c:ext>
          </c:extLst>
        </c:ser>
        <c:ser>
          <c:idx val="5"/>
          <c:order val="5"/>
          <c:tx>
            <c:strRef>
              <c:f>[17]graph!$H$41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46D-4163-AA96-7979D0C2195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6D-4163-AA96-7979D0C21950}"/>
            </c:ext>
          </c:extLst>
        </c:ser>
        <c:ser>
          <c:idx val="6"/>
          <c:order val="6"/>
          <c:tx>
            <c:strRef>
              <c:f>[17]graph!$H$42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6D-4163-AA96-7979D0C21950}"/>
            </c:ext>
          </c:extLst>
        </c:ser>
        <c:ser>
          <c:idx val="7"/>
          <c:order val="7"/>
          <c:tx>
            <c:strRef>
              <c:f>[17]graph!$H$43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6D-4163-AA96-7979D0C21950}"/>
            </c:ext>
          </c:extLst>
        </c:ser>
        <c:ser>
          <c:idx val="8"/>
          <c:order val="8"/>
          <c:tx>
            <c:strRef>
              <c:f>[17]graph!$H$44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46D-4163-AA96-7979D0C21950}"/>
            </c:ext>
          </c:extLst>
        </c:ser>
        <c:ser>
          <c:idx val="9"/>
          <c:order val="9"/>
          <c:tx>
            <c:strRef>
              <c:f>[17]graph!$H$45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6D-4163-AA96-7979D0C21950}"/>
            </c:ext>
          </c:extLst>
        </c:ser>
        <c:ser>
          <c:idx val="10"/>
          <c:order val="10"/>
          <c:tx>
            <c:strRef>
              <c:f>[17]graph!$H$46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46D-4163-AA96-7979D0C21950}"/>
            </c:ext>
          </c:extLst>
        </c:ser>
        <c:ser>
          <c:idx val="11"/>
          <c:order val="11"/>
          <c:tx>
            <c:strRef>
              <c:f>[17]graph!$H$47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6D-4163-AA96-7979D0C21950}"/>
            </c:ext>
          </c:extLst>
        </c:ser>
        <c:ser>
          <c:idx val="12"/>
          <c:order val="12"/>
          <c:tx>
            <c:strRef>
              <c:f>[17]graph!$H$48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6D-4163-AA96-7979D0C21950}"/>
            </c:ext>
          </c:extLst>
        </c:ser>
        <c:ser>
          <c:idx val="13"/>
          <c:order val="13"/>
          <c:tx>
            <c:strRef>
              <c:f>[17]graph!$H$49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46D-4163-AA96-7979D0C21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46D-4163-AA96-7979D0C21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D-4DB6-8992-08BF6C27D821}"/>
            </c:ext>
          </c:extLst>
        </c:ser>
        <c:ser>
          <c:idx val="1"/>
          <c:order val="1"/>
          <c:tx>
            <c:strRef>
              <c:f>[17]graph!$H$37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6D-4DB6-8992-08BF6C27D821}"/>
            </c:ext>
          </c:extLst>
        </c:ser>
        <c:ser>
          <c:idx val="2"/>
          <c:order val="2"/>
          <c:tx>
            <c:strRef>
              <c:f>[17]graph!$H$38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6D-4DB6-8992-08BF6C27D821}"/>
            </c:ext>
          </c:extLst>
        </c:ser>
        <c:ser>
          <c:idx val="3"/>
          <c:order val="3"/>
          <c:tx>
            <c:strRef>
              <c:f>[17]graph!$H$39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6D-4DB6-8992-08BF6C27D821}"/>
            </c:ext>
          </c:extLst>
        </c:ser>
        <c:ser>
          <c:idx val="4"/>
          <c:order val="4"/>
          <c:tx>
            <c:strRef>
              <c:f>[17]graph!$H$40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6D-4DB6-8992-08BF6C27D821}"/>
            </c:ext>
          </c:extLst>
        </c:ser>
        <c:ser>
          <c:idx val="5"/>
          <c:order val="5"/>
          <c:tx>
            <c:strRef>
              <c:f>[17]graph!$H$41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76D-4DB6-8992-08BF6C27D821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6D-4DB6-8992-08BF6C27D821}"/>
            </c:ext>
          </c:extLst>
        </c:ser>
        <c:ser>
          <c:idx val="6"/>
          <c:order val="6"/>
          <c:tx>
            <c:strRef>
              <c:f>[17]graph!$H$42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76D-4DB6-8992-08BF6C27D821}"/>
            </c:ext>
          </c:extLst>
        </c:ser>
        <c:ser>
          <c:idx val="7"/>
          <c:order val="7"/>
          <c:tx>
            <c:strRef>
              <c:f>[17]graph!$H$43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6D-4DB6-8992-08BF6C27D821}"/>
            </c:ext>
          </c:extLst>
        </c:ser>
        <c:ser>
          <c:idx val="8"/>
          <c:order val="8"/>
          <c:tx>
            <c:strRef>
              <c:f>[17]graph!$H$44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76D-4DB6-8992-08BF6C27D821}"/>
            </c:ext>
          </c:extLst>
        </c:ser>
        <c:ser>
          <c:idx val="9"/>
          <c:order val="9"/>
          <c:tx>
            <c:strRef>
              <c:f>[17]graph!$H$45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DB6-8992-08BF6C27D821}"/>
            </c:ext>
          </c:extLst>
        </c:ser>
        <c:ser>
          <c:idx val="10"/>
          <c:order val="10"/>
          <c:tx>
            <c:strRef>
              <c:f>[17]graph!$H$46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76D-4DB6-8992-08BF6C27D821}"/>
            </c:ext>
          </c:extLst>
        </c:ser>
        <c:ser>
          <c:idx val="11"/>
          <c:order val="11"/>
          <c:tx>
            <c:strRef>
              <c:f>[17]graph!$H$47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76D-4DB6-8992-08BF6C27D821}"/>
            </c:ext>
          </c:extLst>
        </c:ser>
        <c:ser>
          <c:idx val="12"/>
          <c:order val="12"/>
          <c:tx>
            <c:strRef>
              <c:f>[17]graph!$H$48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6D-4DB6-8992-08BF6C27D821}"/>
            </c:ext>
          </c:extLst>
        </c:ser>
        <c:ser>
          <c:idx val="13"/>
          <c:order val="13"/>
          <c:tx>
            <c:strRef>
              <c:f>[17]graph!$H$49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76D-4DB6-8992-08BF6C27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76D-4DB6-8992-08BF6C27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5-4938-9300-6762E33345BC}"/>
            </c:ext>
          </c:extLst>
        </c:ser>
        <c:ser>
          <c:idx val="1"/>
          <c:order val="1"/>
          <c:tx>
            <c:strRef>
              <c:f>[7]graph!$H$37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5-4938-9300-6762E33345BC}"/>
            </c:ext>
          </c:extLst>
        </c:ser>
        <c:ser>
          <c:idx val="2"/>
          <c:order val="2"/>
          <c:tx>
            <c:strRef>
              <c:f>[7]graph!$H$38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45-4938-9300-6762E33345BC}"/>
            </c:ext>
          </c:extLst>
        </c:ser>
        <c:ser>
          <c:idx val="3"/>
          <c:order val="3"/>
          <c:tx>
            <c:strRef>
              <c:f>[7]graph!$H$39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45-4938-9300-6762E33345BC}"/>
            </c:ext>
          </c:extLst>
        </c:ser>
        <c:ser>
          <c:idx val="4"/>
          <c:order val="4"/>
          <c:tx>
            <c:strRef>
              <c:f>[7]graph!$H$40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45-4938-9300-6762E33345BC}"/>
            </c:ext>
          </c:extLst>
        </c:ser>
        <c:ser>
          <c:idx val="5"/>
          <c:order val="5"/>
          <c:tx>
            <c:strRef>
              <c:f>[7]graph!$H$41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B45-4938-9300-6762E33345BC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45-4938-9300-6762E33345BC}"/>
            </c:ext>
          </c:extLst>
        </c:ser>
        <c:ser>
          <c:idx val="6"/>
          <c:order val="6"/>
          <c:tx>
            <c:strRef>
              <c:f>[7]graph!$H$42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45-4938-9300-6762E33345BC}"/>
            </c:ext>
          </c:extLst>
        </c:ser>
        <c:ser>
          <c:idx val="7"/>
          <c:order val="7"/>
          <c:tx>
            <c:strRef>
              <c:f>[7]graph!$H$43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45-4938-9300-6762E33345BC}"/>
            </c:ext>
          </c:extLst>
        </c:ser>
        <c:ser>
          <c:idx val="8"/>
          <c:order val="8"/>
          <c:tx>
            <c:strRef>
              <c:f>[7]graph!$H$44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45-4938-9300-6762E33345BC}"/>
            </c:ext>
          </c:extLst>
        </c:ser>
        <c:ser>
          <c:idx val="9"/>
          <c:order val="9"/>
          <c:tx>
            <c:strRef>
              <c:f>[7]graph!$H$45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45-4938-9300-6762E33345BC}"/>
            </c:ext>
          </c:extLst>
        </c:ser>
        <c:ser>
          <c:idx val="10"/>
          <c:order val="10"/>
          <c:tx>
            <c:strRef>
              <c:f>[7]graph!$H$46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B45-4938-9300-6762E33345BC}"/>
            </c:ext>
          </c:extLst>
        </c:ser>
        <c:ser>
          <c:idx val="11"/>
          <c:order val="11"/>
          <c:tx>
            <c:strRef>
              <c:f>[7]graph!$H$47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45-4938-9300-6762E33345BC}"/>
            </c:ext>
          </c:extLst>
        </c:ser>
        <c:ser>
          <c:idx val="12"/>
          <c:order val="12"/>
          <c:tx>
            <c:strRef>
              <c:f>[7]graph!$H$48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45-4938-9300-6762E33345BC}"/>
            </c:ext>
          </c:extLst>
        </c:ser>
        <c:ser>
          <c:idx val="13"/>
          <c:order val="13"/>
          <c:tx>
            <c:strRef>
              <c:f>[7]graph!$H$49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4B45-4938-9300-6762E333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B45-4938-9300-6762E3334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B1-4714-BAD5-E66705C3E96B}"/>
            </c:ext>
          </c:extLst>
        </c:ser>
        <c:ser>
          <c:idx val="1"/>
          <c:order val="1"/>
          <c:tx>
            <c:strRef>
              <c:f>[17]graph!$H$37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B1-4714-BAD5-E66705C3E96B}"/>
            </c:ext>
          </c:extLst>
        </c:ser>
        <c:ser>
          <c:idx val="2"/>
          <c:order val="2"/>
          <c:tx>
            <c:strRef>
              <c:f>[17]graph!$H$38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B1-4714-BAD5-E66705C3E96B}"/>
            </c:ext>
          </c:extLst>
        </c:ser>
        <c:ser>
          <c:idx val="3"/>
          <c:order val="3"/>
          <c:tx>
            <c:strRef>
              <c:f>[17]graph!$H$39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B1-4714-BAD5-E66705C3E96B}"/>
            </c:ext>
          </c:extLst>
        </c:ser>
        <c:ser>
          <c:idx val="4"/>
          <c:order val="4"/>
          <c:tx>
            <c:strRef>
              <c:f>[17]graph!$H$40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B1-4714-BAD5-E66705C3E96B}"/>
            </c:ext>
          </c:extLst>
        </c:ser>
        <c:ser>
          <c:idx val="5"/>
          <c:order val="5"/>
          <c:tx>
            <c:strRef>
              <c:f>[17]graph!$H$41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2B1-4714-BAD5-E66705C3E96B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B1-4714-BAD5-E66705C3E96B}"/>
            </c:ext>
          </c:extLst>
        </c:ser>
        <c:ser>
          <c:idx val="6"/>
          <c:order val="6"/>
          <c:tx>
            <c:strRef>
              <c:f>[17]graph!$H$42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B1-4714-BAD5-E66705C3E96B}"/>
            </c:ext>
          </c:extLst>
        </c:ser>
        <c:ser>
          <c:idx val="7"/>
          <c:order val="7"/>
          <c:tx>
            <c:strRef>
              <c:f>[17]graph!$H$43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B1-4714-BAD5-E66705C3E96B}"/>
            </c:ext>
          </c:extLst>
        </c:ser>
        <c:ser>
          <c:idx val="8"/>
          <c:order val="8"/>
          <c:tx>
            <c:strRef>
              <c:f>[17]graph!$H$44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2B1-4714-BAD5-E66705C3E96B}"/>
            </c:ext>
          </c:extLst>
        </c:ser>
        <c:ser>
          <c:idx val="9"/>
          <c:order val="9"/>
          <c:tx>
            <c:strRef>
              <c:f>[17]graph!$H$45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2B1-4714-BAD5-E66705C3E96B}"/>
            </c:ext>
          </c:extLst>
        </c:ser>
        <c:ser>
          <c:idx val="10"/>
          <c:order val="10"/>
          <c:tx>
            <c:strRef>
              <c:f>[17]graph!$H$46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2B1-4714-BAD5-E66705C3E96B}"/>
            </c:ext>
          </c:extLst>
        </c:ser>
        <c:ser>
          <c:idx val="11"/>
          <c:order val="11"/>
          <c:tx>
            <c:strRef>
              <c:f>[17]graph!$H$47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2B1-4714-BAD5-E66705C3E96B}"/>
            </c:ext>
          </c:extLst>
        </c:ser>
        <c:ser>
          <c:idx val="12"/>
          <c:order val="12"/>
          <c:tx>
            <c:strRef>
              <c:f>[17]graph!$H$48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B1-4714-BAD5-E66705C3E96B}"/>
            </c:ext>
          </c:extLst>
        </c:ser>
        <c:ser>
          <c:idx val="13"/>
          <c:order val="13"/>
          <c:tx>
            <c:strRef>
              <c:f>[17]graph!$H$49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2B1-4714-BAD5-E66705C3E9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2B1-4714-BAD5-E66705C3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B-4336-83B3-17C4B7EA2A6A}"/>
            </c:ext>
          </c:extLst>
        </c:ser>
        <c:ser>
          <c:idx val="1"/>
          <c:order val="1"/>
          <c:tx>
            <c:strRef>
              <c:f>[17]graph!$H$37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BB-4336-83B3-17C4B7EA2A6A}"/>
            </c:ext>
          </c:extLst>
        </c:ser>
        <c:ser>
          <c:idx val="2"/>
          <c:order val="2"/>
          <c:tx>
            <c:strRef>
              <c:f>[17]graph!$H$38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BB-4336-83B3-17C4B7EA2A6A}"/>
            </c:ext>
          </c:extLst>
        </c:ser>
        <c:ser>
          <c:idx val="3"/>
          <c:order val="3"/>
          <c:tx>
            <c:strRef>
              <c:f>[17]graph!$H$39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BB-4336-83B3-17C4B7EA2A6A}"/>
            </c:ext>
          </c:extLst>
        </c:ser>
        <c:ser>
          <c:idx val="4"/>
          <c:order val="4"/>
          <c:tx>
            <c:strRef>
              <c:f>[17]graph!$H$40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BB-4336-83B3-17C4B7EA2A6A}"/>
            </c:ext>
          </c:extLst>
        </c:ser>
        <c:ser>
          <c:idx val="5"/>
          <c:order val="5"/>
          <c:tx>
            <c:strRef>
              <c:f>[17]graph!$H$41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FBB-4336-83B3-17C4B7EA2A6A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B-4336-83B3-17C4B7EA2A6A}"/>
            </c:ext>
          </c:extLst>
        </c:ser>
        <c:ser>
          <c:idx val="6"/>
          <c:order val="6"/>
          <c:tx>
            <c:strRef>
              <c:f>[17]graph!$H$42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BB-4336-83B3-17C4B7EA2A6A}"/>
            </c:ext>
          </c:extLst>
        </c:ser>
        <c:ser>
          <c:idx val="7"/>
          <c:order val="7"/>
          <c:tx>
            <c:strRef>
              <c:f>[17]graph!$H$43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BB-4336-83B3-17C4B7EA2A6A}"/>
            </c:ext>
          </c:extLst>
        </c:ser>
        <c:ser>
          <c:idx val="8"/>
          <c:order val="8"/>
          <c:tx>
            <c:strRef>
              <c:f>[17]graph!$H$44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BB-4336-83B3-17C4B7EA2A6A}"/>
            </c:ext>
          </c:extLst>
        </c:ser>
        <c:ser>
          <c:idx val="9"/>
          <c:order val="9"/>
          <c:tx>
            <c:strRef>
              <c:f>[17]graph!$H$45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FBB-4336-83B3-17C4B7EA2A6A}"/>
            </c:ext>
          </c:extLst>
        </c:ser>
        <c:ser>
          <c:idx val="10"/>
          <c:order val="10"/>
          <c:tx>
            <c:strRef>
              <c:f>[17]graph!$H$46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FBB-4336-83B3-17C4B7EA2A6A}"/>
            </c:ext>
          </c:extLst>
        </c:ser>
        <c:ser>
          <c:idx val="11"/>
          <c:order val="11"/>
          <c:tx>
            <c:strRef>
              <c:f>[17]graph!$H$47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BB-4336-83B3-17C4B7EA2A6A}"/>
            </c:ext>
          </c:extLst>
        </c:ser>
        <c:ser>
          <c:idx val="12"/>
          <c:order val="12"/>
          <c:tx>
            <c:strRef>
              <c:f>[17]graph!$H$48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BB-4336-83B3-17C4B7EA2A6A}"/>
            </c:ext>
          </c:extLst>
        </c:ser>
        <c:ser>
          <c:idx val="13"/>
          <c:order val="13"/>
          <c:tx>
            <c:strRef>
              <c:f>[17]graph!$H$49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FBB-4336-83B3-17C4B7EA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[17]graph!$I$49:$J$49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FBB-4336-83B3-17C4B7EA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[7]graph!$H$36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0-436E-B6AD-4229AC387180}"/>
            </c:ext>
          </c:extLst>
        </c:ser>
        <c:ser>
          <c:idx val="1"/>
          <c:order val="1"/>
          <c:tx>
            <c:strRef>
              <c:f>[7]graph!$H$37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0-436E-B6AD-4229AC387180}"/>
            </c:ext>
          </c:extLst>
        </c:ser>
        <c:ser>
          <c:idx val="2"/>
          <c:order val="2"/>
          <c:tx>
            <c:strRef>
              <c:f>[7]graph!$H$38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60-436E-B6AD-4229AC387180}"/>
            </c:ext>
          </c:extLst>
        </c:ser>
        <c:ser>
          <c:idx val="3"/>
          <c:order val="3"/>
          <c:tx>
            <c:strRef>
              <c:f>[7]graph!$H$39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60-436E-B6AD-4229AC387180}"/>
            </c:ext>
          </c:extLst>
        </c:ser>
        <c:ser>
          <c:idx val="4"/>
          <c:order val="4"/>
          <c:tx>
            <c:strRef>
              <c:f>[7]graph!$H$40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60-436E-B6AD-4229AC387180}"/>
            </c:ext>
          </c:extLst>
        </c:ser>
        <c:ser>
          <c:idx val="5"/>
          <c:order val="5"/>
          <c:tx>
            <c:strRef>
              <c:f>[7]graph!$H$41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F60-436E-B6AD-4229AC387180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60-436E-B6AD-4229AC387180}"/>
            </c:ext>
          </c:extLst>
        </c:ser>
        <c:ser>
          <c:idx val="6"/>
          <c:order val="6"/>
          <c:tx>
            <c:strRef>
              <c:f>[7]graph!$H$42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60-436E-B6AD-4229AC387180}"/>
            </c:ext>
          </c:extLst>
        </c:ser>
        <c:ser>
          <c:idx val="7"/>
          <c:order val="7"/>
          <c:tx>
            <c:strRef>
              <c:f>[7]graph!$H$43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60-436E-B6AD-4229AC387180}"/>
            </c:ext>
          </c:extLst>
        </c:ser>
        <c:ser>
          <c:idx val="8"/>
          <c:order val="8"/>
          <c:tx>
            <c:strRef>
              <c:f>[7]graph!$H$44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60-436E-B6AD-4229AC387180}"/>
            </c:ext>
          </c:extLst>
        </c:ser>
        <c:ser>
          <c:idx val="9"/>
          <c:order val="9"/>
          <c:tx>
            <c:strRef>
              <c:f>[7]graph!$H$45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60-436E-B6AD-4229AC387180}"/>
            </c:ext>
          </c:extLst>
        </c:ser>
        <c:ser>
          <c:idx val="10"/>
          <c:order val="10"/>
          <c:tx>
            <c:strRef>
              <c:f>[7]graph!$H$46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F60-436E-B6AD-4229AC387180}"/>
            </c:ext>
          </c:extLst>
        </c:ser>
        <c:ser>
          <c:idx val="11"/>
          <c:order val="11"/>
          <c:tx>
            <c:strRef>
              <c:f>[7]graph!$H$47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60-436E-B6AD-4229AC387180}"/>
            </c:ext>
          </c:extLst>
        </c:ser>
        <c:ser>
          <c:idx val="12"/>
          <c:order val="12"/>
          <c:tx>
            <c:strRef>
              <c:f>[7]graph!$H$48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60-436E-B6AD-4229AC387180}"/>
            </c:ext>
          </c:extLst>
        </c:ser>
        <c:ser>
          <c:idx val="13"/>
          <c:order val="13"/>
          <c:tx>
            <c:strRef>
              <c:f>[7]graph!$H$49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F60-436E-B6AD-4229AC387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[7]graph!$I$35:$J$35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[7]graph!$I$49:$J$49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F60-436E-B6AD-4229AC387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[8]graph!$H$36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7-41F3-B45F-E6853EE2D44A}"/>
            </c:ext>
          </c:extLst>
        </c:ser>
        <c:ser>
          <c:idx val="1"/>
          <c:order val="1"/>
          <c:tx>
            <c:strRef>
              <c:f>[8]graph!$H$37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67-41F3-B45F-E6853EE2D44A}"/>
            </c:ext>
          </c:extLst>
        </c:ser>
        <c:ser>
          <c:idx val="2"/>
          <c:order val="2"/>
          <c:tx>
            <c:strRef>
              <c:f>[8]graph!$H$38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67-41F3-B45F-E6853EE2D44A}"/>
            </c:ext>
          </c:extLst>
        </c:ser>
        <c:ser>
          <c:idx val="3"/>
          <c:order val="3"/>
          <c:tx>
            <c:strRef>
              <c:f>[8]graph!$H$39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67-41F3-B45F-E6853EE2D44A}"/>
            </c:ext>
          </c:extLst>
        </c:ser>
        <c:ser>
          <c:idx val="4"/>
          <c:order val="4"/>
          <c:tx>
            <c:strRef>
              <c:f>[8]graph!$H$40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67-41F3-B45F-E6853EE2D44A}"/>
            </c:ext>
          </c:extLst>
        </c:ser>
        <c:ser>
          <c:idx val="5"/>
          <c:order val="5"/>
          <c:tx>
            <c:strRef>
              <c:f>[8]graph!$H$41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D67-41F3-B45F-E6853EE2D44A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67-41F3-B45F-E6853EE2D44A}"/>
            </c:ext>
          </c:extLst>
        </c:ser>
        <c:ser>
          <c:idx val="6"/>
          <c:order val="6"/>
          <c:tx>
            <c:strRef>
              <c:f>[8]graph!$H$42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67-41F3-B45F-E6853EE2D44A}"/>
            </c:ext>
          </c:extLst>
        </c:ser>
        <c:ser>
          <c:idx val="7"/>
          <c:order val="7"/>
          <c:tx>
            <c:strRef>
              <c:f>[8]graph!$H$43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67-41F3-B45F-E6853EE2D44A}"/>
            </c:ext>
          </c:extLst>
        </c:ser>
        <c:ser>
          <c:idx val="8"/>
          <c:order val="8"/>
          <c:tx>
            <c:strRef>
              <c:f>[8]graph!$H$44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D67-41F3-B45F-E6853EE2D44A}"/>
            </c:ext>
          </c:extLst>
        </c:ser>
        <c:ser>
          <c:idx val="9"/>
          <c:order val="9"/>
          <c:tx>
            <c:strRef>
              <c:f>[8]graph!$H$45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D67-41F3-B45F-E6853EE2D44A}"/>
            </c:ext>
          </c:extLst>
        </c:ser>
        <c:ser>
          <c:idx val="10"/>
          <c:order val="10"/>
          <c:tx>
            <c:strRef>
              <c:f>[8]graph!$H$46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D67-41F3-B45F-E6853EE2D44A}"/>
            </c:ext>
          </c:extLst>
        </c:ser>
        <c:ser>
          <c:idx val="11"/>
          <c:order val="11"/>
          <c:tx>
            <c:strRef>
              <c:f>[8]graph!$H$47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67-41F3-B45F-E6853EE2D44A}"/>
            </c:ext>
          </c:extLst>
        </c:ser>
        <c:ser>
          <c:idx val="12"/>
          <c:order val="12"/>
          <c:tx>
            <c:strRef>
              <c:f>[8]graph!$H$48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67-41F3-B45F-E6853EE2D44A}"/>
            </c:ext>
          </c:extLst>
        </c:ser>
        <c:ser>
          <c:idx val="13"/>
          <c:order val="13"/>
          <c:tx>
            <c:strRef>
              <c:f>[8]graph!$H$49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D67-41F3-B45F-E6853EE2D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D67-41F3-B45F-E6853EE2D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[8]graph!$H$36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CB-4D99-AE4F-7CADC8CADA3B}"/>
            </c:ext>
          </c:extLst>
        </c:ser>
        <c:ser>
          <c:idx val="1"/>
          <c:order val="1"/>
          <c:tx>
            <c:strRef>
              <c:f>[8]graph!$H$37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CB-4D99-AE4F-7CADC8CADA3B}"/>
            </c:ext>
          </c:extLst>
        </c:ser>
        <c:ser>
          <c:idx val="2"/>
          <c:order val="2"/>
          <c:tx>
            <c:strRef>
              <c:f>[8]graph!$H$38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CB-4D99-AE4F-7CADC8CADA3B}"/>
            </c:ext>
          </c:extLst>
        </c:ser>
        <c:ser>
          <c:idx val="3"/>
          <c:order val="3"/>
          <c:tx>
            <c:strRef>
              <c:f>[8]graph!$H$39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CB-4D99-AE4F-7CADC8CADA3B}"/>
            </c:ext>
          </c:extLst>
        </c:ser>
        <c:ser>
          <c:idx val="4"/>
          <c:order val="4"/>
          <c:tx>
            <c:strRef>
              <c:f>[8]graph!$H$40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CB-4D99-AE4F-7CADC8CADA3B}"/>
            </c:ext>
          </c:extLst>
        </c:ser>
        <c:ser>
          <c:idx val="5"/>
          <c:order val="5"/>
          <c:tx>
            <c:strRef>
              <c:f>[8]graph!$H$41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9CB-4D99-AE4F-7CADC8CADA3B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CB-4D99-AE4F-7CADC8CADA3B}"/>
            </c:ext>
          </c:extLst>
        </c:ser>
        <c:ser>
          <c:idx val="6"/>
          <c:order val="6"/>
          <c:tx>
            <c:strRef>
              <c:f>[8]graph!$H$42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CB-4D99-AE4F-7CADC8CADA3B}"/>
            </c:ext>
          </c:extLst>
        </c:ser>
        <c:ser>
          <c:idx val="7"/>
          <c:order val="7"/>
          <c:tx>
            <c:strRef>
              <c:f>[8]graph!$H$43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B-4D99-AE4F-7CADC8CADA3B}"/>
            </c:ext>
          </c:extLst>
        </c:ser>
        <c:ser>
          <c:idx val="8"/>
          <c:order val="8"/>
          <c:tx>
            <c:strRef>
              <c:f>[8]graph!$H$44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9CB-4D99-AE4F-7CADC8CADA3B}"/>
            </c:ext>
          </c:extLst>
        </c:ser>
        <c:ser>
          <c:idx val="9"/>
          <c:order val="9"/>
          <c:tx>
            <c:strRef>
              <c:f>[8]graph!$H$45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9CB-4D99-AE4F-7CADC8CADA3B}"/>
            </c:ext>
          </c:extLst>
        </c:ser>
        <c:ser>
          <c:idx val="10"/>
          <c:order val="10"/>
          <c:tx>
            <c:strRef>
              <c:f>[8]graph!$H$46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CB-4D99-AE4F-7CADC8CADA3B}"/>
            </c:ext>
          </c:extLst>
        </c:ser>
        <c:ser>
          <c:idx val="11"/>
          <c:order val="11"/>
          <c:tx>
            <c:strRef>
              <c:f>[8]graph!$H$47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CB-4D99-AE4F-7CADC8CADA3B}"/>
            </c:ext>
          </c:extLst>
        </c:ser>
        <c:ser>
          <c:idx val="12"/>
          <c:order val="12"/>
          <c:tx>
            <c:strRef>
              <c:f>[8]graph!$H$48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CB-4D99-AE4F-7CADC8CADA3B}"/>
            </c:ext>
          </c:extLst>
        </c:ser>
        <c:ser>
          <c:idx val="13"/>
          <c:order val="13"/>
          <c:tx>
            <c:strRef>
              <c:f>[8]graph!$H$49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9CB-4D99-AE4F-7CADC8CA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CB-4D99-AE4F-7CADC8CAD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[8]graph!$H$36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B-4D5D-BF0E-F90573D71A4F}"/>
            </c:ext>
          </c:extLst>
        </c:ser>
        <c:ser>
          <c:idx val="1"/>
          <c:order val="1"/>
          <c:tx>
            <c:strRef>
              <c:f>[8]graph!$H$37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7B-4D5D-BF0E-F90573D71A4F}"/>
            </c:ext>
          </c:extLst>
        </c:ser>
        <c:ser>
          <c:idx val="2"/>
          <c:order val="2"/>
          <c:tx>
            <c:strRef>
              <c:f>[8]graph!$H$38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7B-4D5D-BF0E-F90573D71A4F}"/>
            </c:ext>
          </c:extLst>
        </c:ser>
        <c:ser>
          <c:idx val="3"/>
          <c:order val="3"/>
          <c:tx>
            <c:strRef>
              <c:f>[8]graph!$H$39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7B-4D5D-BF0E-F90573D71A4F}"/>
            </c:ext>
          </c:extLst>
        </c:ser>
        <c:ser>
          <c:idx val="4"/>
          <c:order val="4"/>
          <c:tx>
            <c:strRef>
              <c:f>[8]graph!$H$40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7B-4D5D-BF0E-F90573D71A4F}"/>
            </c:ext>
          </c:extLst>
        </c:ser>
        <c:ser>
          <c:idx val="5"/>
          <c:order val="5"/>
          <c:tx>
            <c:strRef>
              <c:f>[8]graph!$H$41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F7B-4D5D-BF0E-F90573D71A4F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7B-4D5D-BF0E-F90573D71A4F}"/>
            </c:ext>
          </c:extLst>
        </c:ser>
        <c:ser>
          <c:idx val="6"/>
          <c:order val="6"/>
          <c:tx>
            <c:strRef>
              <c:f>[8]graph!$H$42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7B-4D5D-BF0E-F90573D71A4F}"/>
            </c:ext>
          </c:extLst>
        </c:ser>
        <c:ser>
          <c:idx val="7"/>
          <c:order val="7"/>
          <c:tx>
            <c:strRef>
              <c:f>[8]graph!$H$43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7B-4D5D-BF0E-F90573D71A4F}"/>
            </c:ext>
          </c:extLst>
        </c:ser>
        <c:ser>
          <c:idx val="8"/>
          <c:order val="8"/>
          <c:tx>
            <c:strRef>
              <c:f>[8]graph!$H$44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F7B-4D5D-BF0E-F90573D71A4F}"/>
            </c:ext>
          </c:extLst>
        </c:ser>
        <c:ser>
          <c:idx val="9"/>
          <c:order val="9"/>
          <c:tx>
            <c:strRef>
              <c:f>[8]graph!$H$45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F7B-4D5D-BF0E-F90573D71A4F}"/>
            </c:ext>
          </c:extLst>
        </c:ser>
        <c:ser>
          <c:idx val="10"/>
          <c:order val="10"/>
          <c:tx>
            <c:strRef>
              <c:f>[8]graph!$H$46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F7B-4D5D-BF0E-F90573D71A4F}"/>
            </c:ext>
          </c:extLst>
        </c:ser>
        <c:ser>
          <c:idx val="11"/>
          <c:order val="11"/>
          <c:tx>
            <c:strRef>
              <c:f>[8]graph!$H$47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F7B-4D5D-BF0E-F90573D71A4F}"/>
            </c:ext>
          </c:extLst>
        </c:ser>
        <c:ser>
          <c:idx val="12"/>
          <c:order val="12"/>
          <c:tx>
            <c:strRef>
              <c:f>[8]graph!$H$48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7B-4D5D-BF0E-F90573D71A4F}"/>
            </c:ext>
          </c:extLst>
        </c:ser>
        <c:ser>
          <c:idx val="13"/>
          <c:order val="13"/>
          <c:tx>
            <c:strRef>
              <c:f>[8]graph!$H$49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F7B-4D5D-BF0E-F90573D7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F7B-4D5D-BF0E-F90573D7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[8]graph!$H$36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4-40B7-AD82-8A4F72ECBA7B}"/>
            </c:ext>
          </c:extLst>
        </c:ser>
        <c:ser>
          <c:idx val="1"/>
          <c:order val="1"/>
          <c:tx>
            <c:strRef>
              <c:f>[8]graph!$H$37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04-40B7-AD82-8A4F72ECBA7B}"/>
            </c:ext>
          </c:extLst>
        </c:ser>
        <c:ser>
          <c:idx val="2"/>
          <c:order val="2"/>
          <c:tx>
            <c:strRef>
              <c:f>[8]graph!$H$38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04-40B7-AD82-8A4F72ECBA7B}"/>
            </c:ext>
          </c:extLst>
        </c:ser>
        <c:ser>
          <c:idx val="3"/>
          <c:order val="3"/>
          <c:tx>
            <c:strRef>
              <c:f>[8]graph!$H$39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04-40B7-AD82-8A4F72ECBA7B}"/>
            </c:ext>
          </c:extLst>
        </c:ser>
        <c:ser>
          <c:idx val="4"/>
          <c:order val="4"/>
          <c:tx>
            <c:strRef>
              <c:f>[8]graph!$H$40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04-40B7-AD82-8A4F72ECBA7B}"/>
            </c:ext>
          </c:extLst>
        </c:ser>
        <c:ser>
          <c:idx val="5"/>
          <c:order val="5"/>
          <c:tx>
            <c:strRef>
              <c:f>[8]graph!$H$41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204-40B7-AD82-8A4F72ECBA7B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4-40B7-AD82-8A4F72ECBA7B}"/>
            </c:ext>
          </c:extLst>
        </c:ser>
        <c:ser>
          <c:idx val="6"/>
          <c:order val="6"/>
          <c:tx>
            <c:strRef>
              <c:f>[8]graph!$H$42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4-40B7-AD82-8A4F72ECBA7B}"/>
            </c:ext>
          </c:extLst>
        </c:ser>
        <c:ser>
          <c:idx val="7"/>
          <c:order val="7"/>
          <c:tx>
            <c:strRef>
              <c:f>[8]graph!$H$43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04-40B7-AD82-8A4F72ECBA7B}"/>
            </c:ext>
          </c:extLst>
        </c:ser>
        <c:ser>
          <c:idx val="8"/>
          <c:order val="8"/>
          <c:tx>
            <c:strRef>
              <c:f>[8]graph!$H$44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04-40B7-AD82-8A4F72ECBA7B}"/>
            </c:ext>
          </c:extLst>
        </c:ser>
        <c:ser>
          <c:idx val="9"/>
          <c:order val="9"/>
          <c:tx>
            <c:strRef>
              <c:f>[8]graph!$H$45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204-40B7-AD82-8A4F72ECBA7B}"/>
            </c:ext>
          </c:extLst>
        </c:ser>
        <c:ser>
          <c:idx val="10"/>
          <c:order val="10"/>
          <c:tx>
            <c:strRef>
              <c:f>[8]graph!$H$46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204-40B7-AD82-8A4F72ECBA7B}"/>
            </c:ext>
          </c:extLst>
        </c:ser>
        <c:ser>
          <c:idx val="11"/>
          <c:order val="11"/>
          <c:tx>
            <c:strRef>
              <c:f>[8]graph!$H$47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204-40B7-AD82-8A4F72ECBA7B}"/>
            </c:ext>
          </c:extLst>
        </c:ser>
        <c:ser>
          <c:idx val="12"/>
          <c:order val="12"/>
          <c:tx>
            <c:strRef>
              <c:f>[8]graph!$H$48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204-40B7-AD82-8A4F72ECBA7B}"/>
            </c:ext>
          </c:extLst>
        </c:ser>
        <c:ser>
          <c:idx val="13"/>
          <c:order val="13"/>
          <c:tx>
            <c:strRef>
              <c:f>[8]graph!$H$49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B204-40B7-AD82-8A4F72ECB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204-40B7-AD82-8A4F72ECB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 sz="12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再エネの出力抑制を行う必要性と抑制必要量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1567871320211431"/>
          <c:w val="1"/>
          <c:h val="0.81793581717389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[8]graph!$H$36</c:f>
              <c:strCache>
                <c:ptCount val="1"/>
                <c:pt idx="0">
                  <c:v>(A) 九州エリア（本土）需要</c:v>
                </c:pt>
              </c:strCache>
            </c:strRef>
          </c:tx>
          <c:spPr>
            <a:solidFill>
              <a:srgbClr val="D9D9D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[8]graph!$I$36:$J$36</c:f>
              <c:numCache>
                <c:formatCode>General</c:formatCode>
                <c:ptCount val="2"/>
                <c:pt idx="0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2-4E05-BBE9-2ED027D2B3FB}"/>
            </c:ext>
          </c:extLst>
        </c:ser>
        <c:ser>
          <c:idx val="1"/>
          <c:order val="1"/>
          <c:tx>
            <c:strRef>
              <c:f>[8]graph!$H$37</c:f>
              <c:strCache>
                <c:ptCount val="1"/>
                <c:pt idx="0">
                  <c:v>(C-1) 揚水式発電機の揚水運転</c:v>
                </c:pt>
              </c:strCache>
            </c:strRef>
          </c:tx>
          <c:spPr>
            <a:solidFill>
              <a:srgbClr val="BDDAD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[8]graph!$I$37:$J$37</c:f>
              <c:numCache>
                <c:formatCode>General</c:formatCode>
                <c:ptCount val="2"/>
                <c:pt idx="0">
                  <c:v>253.2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42-4E05-BBE9-2ED027D2B3FB}"/>
            </c:ext>
          </c:extLst>
        </c:ser>
        <c:ser>
          <c:idx val="2"/>
          <c:order val="2"/>
          <c:tx>
            <c:strRef>
              <c:f>[8]graph!$H$38</c:f>
              <c:strCache>
                <c:ptCount val="1"/>
                <c:pt idx="0">
                  <c:v>(C-2) 電力貯蔵装置の充電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5057413352835489"/>
                  <c:y val="7.4281895589619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72164372980932"/>
                      <c:h val="0.10188682648858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[8]graph!$I$38:$J$38</c:f>
              <c:numCache>
                <c:formatCode>General</c:formatCode>
                <c:ptCount val="2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2-4E05-BBE9-2ED027D2B3FB}"/>
            </c:ext>
          </c:extLst>
        </c:ser>
        <c:ser>
          <c:idx val="3"/>
          <c:order val="3"/>
          <c:tx>
            <c:strRef>
              <c:f>[8]graph!$H$39</c:f>
              <c:strCache>
                <c:ptCount val="1"/>
                <c:pt idx="0">
                  <c:v>(B-1) 約定済みの域外送電電力</c:v>
                </c:pt>
              </c:strCache>
            </c:strRef>
          </c:tx>
          <c:spPr>
            <a:solidFill>
              <a:srgbClr val="E8FEA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262738-03A7-4717-8B56-84A746DD9D5B}" type="SERIESNAME">
                      <a:rPr lang="ja-JP" altLang="en-US" sz="6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/>
                      <a:t>[系列名]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6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[8]graph!$I$39:$J$39</c:f>
              <c:numCache>
                <c:formatCode>General</c:formatCode>
                <c:ptCount val="2"/>
                <c:pt idx="0">
                  <c:v>172.9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42-4E05-BBE9-2ED027D2B3FB}"/>
            </c:ext>
          </c:extLst>
        </c:ser>
        <c:ser>
          <c:idx val="4"/>
          <c:order val="4"/>
          <c:tx>
            <c:strRef>
              <c:f>[8]graph!$H$40</c:f>
              <c:strCache>
                <c:ptCount val="1"/>
                <c:pt idx="0">
                  <c:v>(B-2) 長周期広域周波数調整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21666657418679672"/>
                  <c:y val="6.55559105325144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75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r">
                  <a:defRPr sz="7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[8]graph!$I$40:$J$40</c:f>
              <c:numCache>
                <c:formatCode>General</c:formatCode>
                <c:ptCount val="2"/>
                <c:pt idx="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42-4E05-BBE9-2ED027D2B3FB}"/>
            </c:ext>
          </c:extLst>
        </c:ser>
        <c:ser>
          <c:idx val="5"/>
          <c:order val="5"/>
          <c:tx>
            <c:strRef>
              <c:f>[8]graph!$H$41</c:f>
              <c:strCache>
                <c:ptCount val="1"/>
                <c:pt idx="0">
                  <c:v>(L) 原子力</c:v>
                </c:pt>
              </c:strCache>
            </c:strRef>
          </c:tx>
          <c:spPr>
            <a:solidFill>
              <a:srgbClr val="FF99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>
                  <a:outerShdw blurRad="50800" dist="50800" dir="5400000" sx="1000" sy="1000" algn="ctr" rotWithShape="0">
                    <a:srgbClr val="000000">
                      <a:alpha val="43137"/>
                    </a:srgb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B42-4E05-BBE9-2ED027D2B3FB}"/>
                </c:ext>
              </c:extLst>
            </c:dLbl>
            <c:spPr>
              <a:noFill/>
              <a:ln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[8]graph!$I$41:$J$41</c:f>
              <c:numCache>
                <c:formatCode>General</c:formatCode>
                <c:ptCount val="2"/>
                <c:pt idx="1">
                  <c:v>414.3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42-4E05-BBE9-2ED027D2B3FB}"/>
            </c:ext>
          </c:extLst>
        </c:ser>
        <c:ser>
          <c:idx val="6"/>
          <c:order val="6"/>
          <c:tx>
            <c:strRef>
              <c:f>[8]graph!$H$42</c:f>
              <c:strCache>
                <c:ptCount val="1"/>
                <c:pt idx="0">
                  <c:v>(K) 地熱</c:v>
                </c:pt>
              </c:strCache>
            </c:strRef>
          </c:tx>
          <c:spPr>
            <a:solidFill>
              <a:srgbClr val="99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1944444444444442"/>
                  <c:y val="7.3774689542164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[8]graph!$I$42:$J$42</c:f>
              <c:numCache>
                <c:formatCode>General</c:formatCode>
                <c:ptCount val="2"/>
                <c:pt idx="1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B42-4E05-BBE9-2ED027D2B3FB}"/>
            </c:ext>
          </c:extLst>
        </c:ser>
        <c:ser>
          <c:idx val="7"/>
          <c:order val="7"/>
          <c:tx>
            <c:strRef>
              <c:f>[8]graph!$H$43</c:f>
              <c:strCache>
                <c:ptCount val="1"/>
                <c:pt idx="0">
                  <c:v>(J) 一般水力</c:v>
                </c:pt>
              </c:strCache>
            </c:strRef>
          </c:tx>
          <c:spPr>
            <a:solidFill>
              <a:srgbClr val="7EB2EE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30000000000000004"/>
                  <c:y val="3.5411850980239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[8]graph!$I$43:$J$43</c:f>
              <c:numCache>
                <c:formatCode>General</c:formatCode>
                <c:ptCount val="2"/>
                <c:pt idx="1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42-4E05-BBE9-2ED027D2B3FB}"/>
            </c:ext>
          </c:extLst>
        </c:ser>
        <c:ser>
          <c:idx val="8"/>
          <c:order val="8"/>
          <c:tx>
            <c:strRef>
              <c:f>[8]graph!$H$44</c:f>
              <c:strCache>
                <c:ptCount val="1"/>
                <c:pt idx="0">
                  <c:v>(I) 地域資源バイオマス</c:v>
                </c:pt>
              </c:strCache>
            </c:strRef>
          </c:tx>
          <c:spPr>
            <a:solidFill>
              <a:srgbClr val="CC99FF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0338087908404"/>
                  <c:y val="-2.95102947801455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230815328427456"/>
                      <c:h val="7.7906181330353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[8]graph!$I$44:$J$44</c:f>
              <c:numCache>
                <c:formatCode>General</c:formatCode>
                <c:ptCount val="2"/>
                <c:pt idx="1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B42-4E05-BBE9-2ED027D2B3FB}"/>
            </c:ext>
          </c:extLst>
        </c:ser>
        <c:ser>
          <c:idx val="9"/>
          <c:order val="9"/>
          <c:tx>
            <c:strRef>
              <c:f>[8]graph!$H$45</c:f>
              <c:strCache>
                <c:ptCount val="1"/>
                <c:pt idx="0">
                  <c:v>(H) バイオマス専焼電源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6552380043435947"/>
                  <c:y val="-3.560211872191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  <a:cs typeface="+mn-cs"/>
                      </a:defRPr>
                    </a:pPr>
                    <a:fld id="{CEFE66F1-B878-4A41-90E2-7639FE2C8C57}" type="SERIESNAME">
                      <a:rPr lang="ja-JP" altLang="en-US" sz="800">
                        <a:solidFill>
                          <a:schemeClr val="tx1"/>
                        </a:solidFill>
                        <a:latin typeface="Meiryo UI" panose="020B0604030504040204" pitchFamily="50" charset="-128"/>
                        <a:ea typeface="Meiryo UI" panose="020B0604030504040204" pitchFamily="50" charset="-128"/>
                      </a:rPr>
                      <a:pPr>
                        <a:defRPr sz="800">
                          <a:solidFill>
                            <a:schemeClr val="tx1"/>
                          </a:solidFill>
                          <a:latin typeface="Meiryo UI" panose="020B0604030504040204" pitchFamily="50" charset="-128"/>
                          <a:ea typeface="Meiryo UI" panose="020B0604030504040204" pitchFamily="50" charset="-128"/>
                        </a:defRPr>
                      </a:pPr>
                      <a:t>[系列名]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6804461942257"/>
                      <c:h val="7.790607215652595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[8]graph!$I$45:$J$45</c:f>
              <c:numCache>
                <c:formatCode>General</c:formatCode>
                <c:ptCount val="2"/>
                <c:pt idx="1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42-4E05-BBE9-2ED027D2B3FB}"/>
            </c:ext>
          </c:extLst>
        </c:ser>
        <c:ser>
          <c:idx val="10"/>
          <c:order val="10"/>
          <c:tx>
            <c:strRef>
              <c:f>[8]graph!$H$46</c:f>
              <c:strCache>
                <c:ptCount val="1"/>
                <c:pt idx="0">
                  <c:v>(G) 電源Ⅲ火力</c:v>
                </c:pt>
              </c:strCache>
            </c:strRef>
          </c:tx>
          <c:spPr>
            <a:solidFill>
              <a:srgbClr val="9933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[8]graph!$I$46:$J$46</c:f>
              <c:numCache>
                <c:formatCode>General</c:formatCode>
                <c:ptCount val="2"/>
                <c:pt idx="1">
                  <c:v>145.5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B42-4E05-BBE9-2ED027D2B3FB}"/>
            </c:ext>
          </c:extLst>
        </c:ser>
        <c:ser>
          <c:idx val="11"/>
          <c:order val="11"/>
          <c:tx>
            <c:strRef>
              <c:f>[8]graph!$H$47</c:f>
              <c:strCache>
                <c:ptCount val="1"/>
                <c:pt idx="0">
                  <c:v>(F) 電源Ⅰ・Ⅱ火力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0.25108121298570274"/>
                  <c:y val="-8.85296274505982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58614000490509"/>
                      <c:h val="8.86837406891732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[8]graph!$I$47:$J$47</c:f>
              <c:numCache>
                <c:formatCode>General</c:formatCode>
                <c:ptCount val="2"/>
                <c:pt idx="1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42-4E05-BBE9-2ED027D2B3FB}"/>
            </c:ext>
          </c:extLst>
        </c:ser>
        <c:ser>
          <c:idx val="12"/>
          <c:order val="12"/>
          <c:tx>
            <c:strRef>
              <c:f>[8]graph!$H$48</c:f>
              <c:strCache>
                <c:ptCount val="1"/>
                <c:pt idx="0">
                  <c:v>(E-1) 太陽光・風力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[8]graph!$I$48:$J$48</c:f>
              <c:numCache>
                <c:formatCode>General</c:formatCode>
                <c:ptCount val="2"/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42-4E05-BBE9-2ED027D2B3FB}"/>
            </c:ext>
          </c:extLst>
        </c:ser>
        <c:ser>
          <c:idx val="13"/>
          <c:order val="13"/>
          <c:tx>
            <c:strRef>
              <c:f>[8]graph!$H$49</c:f>
              <c:strCache>
                <c:ptCount val="1"/>
                <c:pt idx="0">
                  <c:v>(E-2) 想定誤差量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AB42-4E05-BBE9-2ED027D2B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[8]graph!$I$35:$J$35</c:f>
              <c:strCache>
                <c:ptCount val="2"/>
                <c:pt idx="0">
                  <c:v>（エリア需要等）</c:v>
                </c:pt>
                <c:pt idx="1">
                  <c:v>（エリア供給力）</c:v>
                </c:pt>
              </c:strCache>
            </c:strRef>
          </c:cat>
          <c:val>
            <c:numRef>
              <c:f>[8]graph!$I$49:$J$49</c:f>
              <c:numCache>
                <c:formatCode>General</c:formatCode>
                <c:ptCount val="2"/>
                <c:pt idx="1">
                  <c:v>115.2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B42-4E05-BBE9-2ED027D2B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00672"/>
        <c:axId val="211910656"/>
      </c:barChart>
      <c:catAx>
        <c:axId val="21190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70C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211910656"/>
        <c:crosses val="autoZero"/>
        <c:auto val="1"/>
        <c:lblAlgn val="ctr"/>
        <c:lblOffset val="100"/>
        <c:noMultiLvlLbl val="0"/>
      </c:catAx>
      <c:valAx>
        <c:axId val="21191065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90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8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8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8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8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8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8.pn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8.pn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8.pn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8.pn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18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8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8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8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8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8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8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8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8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8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8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8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8.pn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8.pn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8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8.pn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8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1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3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6.emf"/></Relationships>
</file>

<file path=xl/drawings/_rels/vmlDrawing3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5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6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6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6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6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C67AA2C4-47F3-42D8-99CD-4DD54485C5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972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4C6C28F-9B24-4BDF-9016-DB6CA87A874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973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65BE924-01D1-43F3-BAA7-EA591A28E6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65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71727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CDB2A1D-5F71-4622-9ADB-C751E544CA5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651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33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4652" y="792183"/>
          <a:ext cx="2744127" cy="399775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0F46E6F-6F6E-4A6F-AB41-4C93FC55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B63B56DE-65E7-4BD8-9C6A-C55FDE8C3A94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7A50D8B-8A2E-8B3D-6DC4-F911B9DF55E2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2C0B94AA-57C5-4460-B1EB-A71ACA2D43BC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F9D976AF-8459-9565-57B7-CD1E90C05E46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F6A4FDA-0902-4F27-AB7D-2F1FB3CAC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CE069101-6909-400E-A6FB-271D5EB030E2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E162C5B8-B4FF-74D8-1F00-0F983172067C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C8D514E-8AC6-1746-5003-859F24E07E48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5E85D03A-2BC4-849A-7B7E-4608536D0FFF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A39B967-F755-4EA4-B3A6-B20037C9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9A9CDD9-6289-4866-AEFB-0740B7E77BEE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6931D98-A30E-C626-7324-7407A75B8712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1050DA74-383C-B3C1-F5B1-7FC8EBCF9483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E9196EEE-0009-BA36-9CAE-025C34AD468B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AF57CDB-B9B8-4EBE-9AB0-0BC823C96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738C07F-EBD1-4954-AB87-B12EFD945EA7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54A546C8-F340-12D9-F970-FFB14CADB933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DEB96CC-A341-F93F-D1BF-6DB5667ED99E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2A5950DD-0CED-8DD5-A601-D9D4CBC701CB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7BBFFB-1880-403B-B9E8-1210B92DD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4FA51D8-84EC-4458-BFAB-DE72ECFBC9EF}"/>
            </a:ext>
          </a:extLst>
        </xdr:cNvPr>
        <xdr:cNvGrpSpPr/>
      </xdr:nvGrpSpPr>
      <xdr:grpSpPr>
        <a:xfrm>
          <a:off x="11482295" y="6312647"/>
          <a:ext cx="5262499" cy="4175622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3EC83B48-BB79-48A7-5DB7-8E66F0C5C39F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91449157-9889-64BC-EE6A-E9A3F31BCF40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39E5FC65-F64D-AE02-8CF1-764DC0DE48A6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43C70FF-5A20-4744-BB79-8B639BEEDB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761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71727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54D6E2E-C461-4693-9D24-82723AE9B6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7614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33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4652" y="792183"/>
          <a:ext cx="2744127" cy="399775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3B049C7-517D-46B5-8F8F-5A2FEB291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32AC866-39FC-4E03-9558-B2E738057084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2A3132A1-E779-D719-00A9-5324BA681925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94AFF157-3720-06C1-8CB2-FAFC1B732575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65AF82F9-FBB0-B82C-3BB4-E33C5026F12D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E675550-8065-4531-953A-ABCF74FA1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C72D1956-CC10-4D12-8B4E-46D9F28BA004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75DC5F92-8485-7F29-9F7C-BD4D14D65524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EBC972BC-439C-1CA4-7AC5-B6CD8756659A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3512F62C-624D-AA97-B32C-FDCA0EF4B0E8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08C3E8-D807-4B4B-A8B1-167BC332A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6C6868C-476C-4A4F-AD9C-8FDD3EAB1ABB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62E131BD-3B4C-8D37-FA56-BC25BEC88FC9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9201A0BC-CBC3-135D-25C2-35565AEFE508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00D0D66C-4CAC-75BB-0BA1-D7171D68D0B1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A67C17-6E21-4A39-9729-AE6EE50B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0F997E9-76DA-413B-BBB9-11B7C65B13E4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923E6AF-3B89-84E9-B78A-2A8AE20A913B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6E7C0CB4-9B51-8AB0-FC6D-1839B426C6BA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503D90EB-905F-1C0B-FBD5-297E461D430F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160DEE2-D1D3-486D-9D5F-278DB2510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385F24B0-26B1-4578-BB07-9241DDBD4340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97198529-644C-C3DD-4203-51E66820D245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2CD2A0F-81CF-8115-9177-09F00C3E5A7F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1FB61119-FF6E-652A-81D0-01A52EE56859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F887CA5-6036-48E2-B1FF-D9C87B72327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771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72363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9EC505FA-433C-405B-BC4C-D803D592185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771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3F46F4C-1ED1-4A3B-B6D4-AC6A79FE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C45620B-C886-41CB-844C-FE3A241F4E35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475C0CA9-9AC1-FBFA-D299-A980BD2784DB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F70D6FB-8037-5C9A-B6AC-A465DDB6B825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E48BA41C-5225-2D24-1D52-B234FCDD709B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485979D-DAA9-4781-93BE-79B582E70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B1443DB-FCB8-4A93-958E-DB3343331FEE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5F654DA-3E4A-1646-B26F-E128975EB360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AC83A45E-57BE-B45C-3B30-4F5F5EC781D2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33708F26-FA55-7D3D-BDB0-7165AAFF366D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917761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1AC92B0-8EF5-4AD7-9387-5D5F4B96A72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781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20765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422963</xdr:colOff>
          <xdr:row>54</xdr:row>
          <xdr:rowOff>68328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AC5E5F6A-EE9D-46B2-95F9-864B7A231B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7819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003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917761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C261789B-A64D-4C61-926F-708CBAE83D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330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20765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422963</xdr:colOff>
          <xdr:row>54</xdr:row>
          <xdr:rowOff>68328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EBBD3373-C158-4B29-A772-5DDE97328C6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330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003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7DA5B7A-EA35-484C-88AA-6A4872100C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43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79066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9144F692-15F8-416A-8A4B-0F7475411C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433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3592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4AC58E8-9739-4B37-B899-51A4BA4D965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63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291DBA1-B0D7-44FC-B33B-C52D89EEA2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63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90D71FF-51E1-48EA-9BDC-EE3C81F967C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74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8DC0C1A-F590-4299-AE28-813EB11EE2E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740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1A77E178-55DE-41E7-B38B-9DC4B4AC39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84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49CB1FE-3EA3-4226-AB7F-35699EFDDCD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84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29DCC6D-B51E-4DAA-A590-7E55F828CB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94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B3AE44D9-F1C8-49E3-8466-E205BE68D23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945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6AD57DF0-8B9F-41C3-BF2F-320A3F7846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983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777BCC7-6916-494B-A077-59B32D73E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983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FA4EA54-E6F6-47CE-B3FC-34D0561D62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945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E1C7D7D-4EA5-4BB9-9944-83874ECDEF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945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CEF5DA2-1184-4DDC-AFDB-8331510BB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966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3515C5CB-E733-4D8F-8094-55D6780B242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9661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6B01EEE1-A44D-4869-971C-5303EF64896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976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54040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455348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B2F858D-60E9-45CD-8806-55601722EDC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9764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9874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2B3DB54-7356-4703-A2C0-29904DFA0D5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9866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54040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455348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AEAED69-65A9-4FDB-AABA-5D6064B4F8B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986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9874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10</xdr:col>
      <xdr:colOff>332847</xdr:colOff>
      <xdr:row>0</xdr:row>
      <xdr:rowOff>186962</xdr:rowOff>
    </xdr:from>
    <xdr:to>
      <xdr:col>10</xdr:col>
      <xdr:colOff>1177562</xdr:colOff>
      <xdr:row>1</xdr:row>
      <xdr:rowOff>194038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72F7D2F-8C59-486F-8474-2D7E36EF627D}"/>
            </a:ext>
          </a:extLst>
        </xdr:cNvPr>
        <xdr:cNvSpPr txBox="1"/>
      </xdr:nvSpPr>
      <xdr:spPr>
        <a:xfrm>
          <a:off x="11372322" y="186962"/>
          <a:ext cx="844715" cy="21662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当日計画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707754</xdr:colOff>
      <xdr:row>1</xdr:row>
      <xdr:rowOff>191182</xdr:rowOff>
    </xdr:from>
    <xdr:to>
      <xdr:col>16</xdr:col>
      <xdr:colOff>937363</xdr:colOff>
      <xdr:row>3</xdr:row>
      <xdr:rowOff>4217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E1F892-202A-48CF-A6B7-6B6570541818}"/>
            </a:ext>
          </a:extLst>
        </xdr:cNvPr>
        <xdr:cNvSpPr txBox="1"/>
      </xdr:nvSpPr>
      <xdr:spPr>
        <a:xfrm>
          <a:off x="12737829" y="391207"/>
          <a:ext cx="1096384" cy="2797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当日計画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F2AD60B-4874-4A2B-8760-8E1A32F7481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27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9FEEF86-636D-4174-84C8-187837FC73E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27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8A9B9A50-7EDB-469F-A146-43F453F3671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37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F2C0427-3F50-4AA3-BC85-A332465CF29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37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B8E6409-A59E-4FA2-AAFE-459EDD171E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48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8CC974E-F2A9-4778-A1C0-8B7F249E40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481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506281</xdr:colOff>
          <xdr:row>27</xdr:row>
          <xdr:rowOff>260201</xdr:rowOff>
        </xdr:from>
        <xdr:to>
          <xdr:col>6</xdr:col>
          <xdr:colOff>948876</xdr:colOff>
          <xdr:row>49</xdr:row>
          <xdr:rowOff>157836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B140EB2A-4D2E-4C6B-BA9A-6CDFC21D125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89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96906" y="6032351"/>
              <a:ext cx="6140450" cy="439153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16</xdr:col>
          <xdr:colOff>107641</xdr:colOff>
          <xdr:row>54</xdr:row>
          <xdr:rowOff>73408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3B0DBFF1-2F36-4C69-AC6E-C977179482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890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54977" cy="52169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3A1BBE4A-5F77-45CF-9351-67842AAD8E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99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8928B1A-9237-4352-86A6-8F435DC6B6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99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B4CDFE6-4200-497D-9374-A211193B18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993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71727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5B42E1C-8F81-4AC4-97E8-61B723AA7C6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9934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33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9A51EC0-EBD2-41C2-AC66-A78F2F5AB4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109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4A0A6DD7-B80D-47FC-A98E-2BA4D8ABB1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1095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BE198ECE-80D4-4244-B38B-8BCBB61F2D7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119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A559FEE5-9A76-41D8-915B-63FA3F45AD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119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910590</xdr:colOff>
          <xdr:row>50</xdr:row>
          <xdr:rowOff>42415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68AB60DC-4F2C-48BB-B073-E409EA7C80A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129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20765" cy="441629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72138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E9F9764-39DE-4FDB-B4AE-94037906DE6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130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27399" cy="521563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481852</xdr:colOff>
          <xdr:row>27</xdr:row>
          <xdr:rowOff>336177</xdr:rowOff>
        </xdr:from>
        <xdr:to>
          <xdr:col>6</xdr:col>
          <xdr:colOff>896694</xdr:colOff>
          <xdr:row>50</xdr:row>
          <xdr:rowOff>27175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BE4C610B-56FA-4A07-BBCC-BDD47FDC904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:$G$24" spid="_x0000_s215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69676" y="6196853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833439</xdr:colOff>
          <xdr:row>28</xdr:row>
          <xdr:rowOff>95250</xdr:rowOff>
        </xdr:from>
        <xdr:to>
          <xdr:col>14</xdr:col>
          <xdr:colOff>1119188</xdr:colOff>
          <xdr:row>53</xdr:row>
          <xdr:rowOff>223476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E8A159C5-9DCC-4E1A-ADEB-48204B72731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5:$G$59" spid="_x0000_s2160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r="6699"/>
            <a:stretch/>
          </xdr:blipFill>
          <xdr:spPr bwMode="auto">
            <a:xfrm>
              <a:off x="11596689" y="6238875"/>
              <a:ext cx="6715124" cy="508122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363681</xdr:colOff>
          <xdr:row>28</xdr:row>
          <xdr:rowOff>-1</xdr:rowOff>
        </xdr:from>
        <xdr:to>
          <xdr:col>6</xdr:col>
          <xdr:colOff>813160</xdr:colOff>
          <xdr:row>50</xdr:row>
          <xdr:rowOff>27464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BBBA19A7-7751-483C-9E58-B60D2B7B0B6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:$G$24" spid="_x0000_s123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58636" y="6147954"/>
              <a:ext cx="6129842" cy="4426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850412</xdr:colOff>
          <xdr:row>28</xdr:row>
          <xdr:rowOff>31214</xdr:rowOff>
        </xdr:from>
        <xdr:to>
          <xdr:col>14</xdr:col>
          <xdr:colOff>1194955</xdr:colOff>
          <xdr:row>53</xdr:row>
          <xdr:rowOff>126413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39920512-1E07-4E3F-B90F-A838258FBE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5:$G$59" spid="_x0000_s12400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r="6712"/>
            <a:stretch/>
          </xdr:blipFill>
          <xdr:spPr bwMode="auto">
            <a:xfrm>
              <a:off x="11570367" y="6179169"/>
              <a:ext cx="6752270" cy="52213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258536</xdr:colOff>
          <xdr:row>27</xdr:row>
          <xdr:rowOff>340178</xdr:rowOff>
        </xdr:from>
        <xdr:to>
          <xdr:col>6</xdr:col>
          <xdr:colOff>673378</xdr:colOff>
          <xdr:row>50</xdr:row>
          <xdr:rowOff>31176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8B999B70-99EE-4295-9976-7316D89DFAD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:$G$24" spid="_x0000_s134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42357" y="6014357"/>
              <a:ext cx="6129842" cy="4426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729184</xdr:colOff>
          <xdr:row>28</xdr:row>
          <xdr:rowOff>4001</xdr:rowOff>
        </xdr:from>
        <xdr:to>
          <xdr:col>14</xdr:col>
          <xdr:colOff>1047750</xdr:colOff>
          <xdr:row>53</xdr:row>
          <xdr:rowOff>122702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30980CB5-96A9-4E2E-B830-133AED9B39A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6]graph!$A$35:$G$59" spid="_x0000_s13424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r="6302"/>
            <a:stretch/>
          </xdr:blipFill>
          <xdr:spPr bwMode="auto">
            <a:xfrm>
              <a:off x="11506041" y="6045572"/>
              <a:ext cx="6781959" cy="52213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43F49DA-3FAA-4902-916C-8BD1F769F35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749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7D56FC73-0A92-4128-B432-0C3441F929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749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628C2D6-1728-4605-B20A-D868ACD6712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851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ACA81521-695C-4EEB-9108-F2EBB1DD70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851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6BE274FB-8B7B-49CF-910C-C55EDDA5206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953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60332DF-D9CD-48FA-8D2C-B2A808A2137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954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8803578-C007-476F-AC7F-E422F80A647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05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0680B6D-6708-4315-9471-08DDE260F1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05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C3D8BA75-123C-40F4-98C1-3903C4C4A7D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03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71727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ECF8183C-D235-4CF2-9D43-F71DFA26ADF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03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33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3453391-2BC7-42EE-873E-FCE6799844E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15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35264E64-D4ED-4350-BF4A-F953884F253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15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EC325F58-C537-456B-BD6B-F9A2FC8AC30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44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477FB9BB-2D3E-4080-A21E-3A6AA68BCE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44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690DB5C8-C2A3-4A79-827D-A96C488B04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54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B5CA8EBD-109E-4B4E-BD21-73D08C4FFCB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544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6CBA6FF-1ED7-4640-BA1A-A1B6217B348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64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76400" y="6086475"/>
              <a:ext cx="6107430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920E852-B14C-4649-AC50-EF0DB78F81F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64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685494" y="6248400"/>
              <a:ext cx="721406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D24D831-8D96-4D3D-943B-EEB82EFAF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568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2C61BF1-303E-457C-9CE1-F69EF1E616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568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oneCellAnchor>
    <xdr:from>
      <xdr:col>12</xdr:col>
      <xdr:colOff>358588</xdr:colOff>
      <xdr:row>0</xdr:row>
      <xdr:rowOff>98612</xdr:rowOff>
    </xdr:from>
    <xdr:ext cx="748923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D7002FC-38E8-41CF-8B76-AF86596835C8}"/>
            </a:ext>
          </a:extLst>
        </xdr:cNvPr>
        <xdr:cNvSpPr txBox="1"/>
      </xdr:nvSpPr>
      <xdr:spPr>
        <a:xfrm>
          <a:off x="13754548" y="98612"/>
          <a:ext cx="748923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当日計画</a:t>
          </a:r>
        </a:p>
      </xdr:txBody>
    </xdr:sp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BB2E55B9-9C1A-4584-A550-75CF43C99C2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67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F1657C7-014E-4EA3-B953-0EBD8D5216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670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22860</xdr:colOff>
      <xdr:row>1</xdr:row>
      <xdr:rowOff>83820</xdr:rowOff>
    </xdr:from>
    <xdr:ext cx="748923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CA7EB02-943F-4A05-AB3D-A9E14177F852}"/>
            </a:ext>
          </a:extLst>
        </xdr:cNvPr>
        <xdr:cNvSpPr txBox="1"/>
      </xdr:nvSpPr>
      <xdr:spPr>
        <a:xfrm>
          <a:off x="12824460" y="251460"/>
          <a:ext cx="748923" cy="275717"/>
        </a:xfrm>
        <a:prstGeom prst="rect">
          <a:avLst/>
        </a:prstGeom>
        <a:solidFill>
          <a:srgbClr val="FFFFFF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当日計画</a:t>
          </a:r>
        </a:p>
      </xdr:txBody>
    </xdr:sp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32819D9-3AB5-445F-AD9A-D0D859E15CF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77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219C499-336B-4856-848F-74073BCF76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77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1FA4780E-072E-4CB2-B4C1-5D7B562C49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87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CB61A34-BEE9-450D-BD21-ABE5B61E6E9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875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F8CBDBB-6FE6-4200-956D-556B39C583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297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7D4ED7C-820C-4517-83AE-2C7066F30C2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297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1F33EB0-06EA-44FA-9C70-68512BC765C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139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3568E0F7-1C2E-4FC2-B543-C0372A4623F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139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E3663BFE-3D55-48C7-A960-42BF3F41C4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07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EE03E23-E4F5-45B4-845C-ED06B88135B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07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1138B73C-264B-4923-A3A1-60408130566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18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0229694-A303-402A-AEDE-66AAABA770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182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11CE9A1-8DC8-4515-8732-B048C5FA65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28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5927725"/>
              <a:ext cx="5637530" cy="42101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847795D-79B4-4A23-AA6D-CA94668933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284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6494" y="6064250"/>
              <a:ext cx="6585414" cy="50513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CF5FC3D7-519A-4FD7-840D-20556EEDF83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38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5927725"/>
              <a:ext cx="5637530" cy="42101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E64DB63B-31D0-43FD-B84F-34D94A489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386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6494" y="6064250"/>
              <a:ext cx="6585414" cy="50513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2CA850C-9777-4672-AEE3-6BC2FA9D12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48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BEA5ED4B-6A90-49CE-A5FE-6FD71605F1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48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2B981783-3944-459B-8BD5-2F79417E87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59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5435" y="5953125"/>
              <a:ext cx="5631180" cy="41898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4696DAE-A09F-4885-A80B-5D20C62130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591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3954" y="6096000"/>
              <a:ext cx="6585414" cy="49878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D592D25-BE36-4276-B53B-EB6F841D8B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69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A2FDCBA0-141B-4686-B9F7-B6522779F42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693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31514683-FA00-49A4-B30C-75C69965E3C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795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7C762C9-AA88-423C-A445-43B7C78ADDF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796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897255</xdr:colOff>
          <xdr:row>50</xdr:row>
          <xdr:rowOff>15969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9711D042-372F-44F3-AA7A-A60F047266F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3898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440108</xdr:colOff>
          <xdr:row>54</xdr:row>
          <xdr:rowOff>72997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809B215-8CF7-49E2-A85B-6C8A85772B7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389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64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485775</xdr:colOff>
          <xdr:row>27</xdr:row>
          <xdr:rowOff>314325</xdr:rowOff>
        </xdr:from>
        <xdr:ext cx="5628939" cy="4175033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D18F686C-ED95-4570-83F6-046EAA525E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512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735455" y="4695825"/>
              <a:ext cx="5628939" cy="417503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941294</xdr:colOff>
          <xdr:row>28</xdr:row>
          <xdr:rowOff>114300</xdr:rowOff>
        </xdr:from>
        <xdr:ext cx="6598861" cy="4969968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BB638B5B-6926-4344-AF43-80F39872820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5125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244814" y="4808220"/>
              <a:ext cx="6598861" cy="49699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59</xdr:row>
      <xdr:rowOff>1</xdr:rowOff>
    </xdr:from>
    <xdr:to>
      <xdr:col>10</xdr:col>
      <xdr:colOff>605560</xdr:colOff>
      <xdr:row>80</xdr:row>
      <xdr:rowOff>150496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558363-DFAC-4DD3-A17D-381C9675B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3573126"/>
          <a:ext cx="8096020" cy="431101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485775</xdr:colOff>
          <xdr:row>27</xdr:row>
          <xdr:rowOff>314325</xdr:rowOff>
        </xdr:from>
        <xdr:ext cx="5628939" cy="4175033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5834524-6051-4BF5-935A-3078D3406B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5227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735455" y="4695825"/>
              <a:ext cx="5628939" cy="417503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941294</xdr:colOff>
          <xdr:row>28</xdr:row>
          <xdr:rowOff>114300</xdr:rowOff>
        </xdr:from>
        <xdr:ext cx="6598861" cy="4969968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0BE38CC-A253-4607-9FEE-64DBE749E91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522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244814" y="4808220"/>
              <a:ext cx="6598861" cy="49699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485775</xdr:colOff>
          <xdr:row>27</xdr:row>
          <xdr:rowOff>314325</xdr:rowOff>
        </xdr:from>
        <xdr:ext cx="5628939" cy="4175033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111F2408-FFAD-411A-A08E-1A230D1783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533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735455" y="4695825"/>
              <a:ext cx="5628939" cy="417503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941294</xdr:colOff>
          <xdr:row>28</xdr:row>
          <xdr:rowOff>114300</xdr:rowOff>
        </xdr:from>
        <xdr:ext cx="6598861" cy="4969968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2D06BAEA-DF9D-468F-8DEA-D3ADCE166DB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533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244814" y="4808220"/>
              <a:ext cx="6598861" cy="49699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485775</xdr:colOff>
          <xdr:row>27</xdr:row>
          <xdr:rowOff>314325</xdr:rowOff>
        </xdr:from>
        <xdr:ext cx="5628939" cy="4175033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57FA1DFF-AD16-4C19-A97B-DEA37145B4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543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735455" y="4695825"/>
              <a:ext cx="5628939" cy="417503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941294</xdr:colOff>
          <xdr:row>28</xdr:row>
          <xdr:rowOff>114300</xdr:rowOff>
        </xdr:from>
        <xdr:ext cx="6598861" cy="4969968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52E086F4-29CA-4802-BC5A-BCFC7F5E53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5432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244814" y="4808220"/>
              <a:ext cx="6598861" cy="49699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78A22E-625A-4055-9565-F5A0B8E2D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9D243CD-5F7F-4A29-8C37-449E20D8CF1C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32C8CD06-D657-2B65-3C48-68ADAC17141E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1AC0CA4-DCFC-003F-10D2-57BA235EE2A0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5895267E-38D3-72B7-0666-E7E3D4CE2569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6D2BB48-48C6-4D30-9EA2-AA70142B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643E02D-AAAB-4F74-80DC-F0BD4E0FF32A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92CF9CFA-DBE3-EA80-C4A1-AD2EE6B7DF4B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8AE27A5-188A-3BA9-743A-548A31526604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92FDCD0D-C91C-4EB4-3EA3-07BCE8DEC187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0264B00-6A85-48C6-9BC1-6531C15B3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9F28CC4-29CC-4B75-B006-6021E3536C0D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7779DC3D-5160-F08F-197F-F7F16855AACF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A078C40-B670-CFBC-654E-3AEA096963C7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366F992D-564B-117E-E66D-9D0AC195A27B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49CEF2-96DD-4E7C-9ADD-0FFE49A3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6696A11-A79C-4305-8226-02AD2072203F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4F219BB5-F61A-FD82-AAB5-EDE3285333EA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1F22CB73-C614-24FA-48CC-E49400126A9C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E3AAAEC3-BED2-8E13-E421-2047B98A956F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CFC6390C-5F6C-4BBF-AC67-3FD3D13196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34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711188F0-B163-4880-9422-9440353F873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344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1B9948-15C8-4A31-80CC-4D3B80DF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4AFAFF8-01DF-4F14-9595-45F89674BBC5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6BFBF6C0-B4E1-4CD0-FB9E-7B5017D50D7A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ED276D1F-0709-BC5A-C22F-648C0A1341C4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F1D35B0C-C5E7-CE3B-2DA0-B9ACD9F05389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357B2BE-7D6C-4586-AC22-2F573D60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1B64FD1-C10B-422E-B8D2-E2DBF6896DAA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CF3DEB4E-5DDD-DFA2-3DA0-E35F9D2F00BA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FC290F6-C8BE-4060-5769-314DD4664891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681C6335-1819-230C-2449-4DF1330FD308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A044D94-623B-4C92-8CF5-5377DBAE8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D37CFAF-BA0D-4C39-9051-1D05F4AE520D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A69FE1B2-C4E2-79C3-795B-B713B3E12198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F4653677-B026-86B8-E38F-A31E4C6EF7D6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A3DFDF23-7D09-4200-CAA7-B0CE3D44E3FC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E1CA7F3-6607-4F9E-A756-0A700557F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FAC81E3-40AB-4F1D-A371-EB33A5CCCCCF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98CE72D3-1EA2-DBEC-30BC-E26C8E96031E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5A1FD1D8-1F5F-0DDB-4243-77972118B4D1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762FED96-8ABF-3177-1E41-E1FF35559163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E16EA5-A124-4B30-9C32-5F62ACD2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6E649EA-2B29-4011-8400-EB10DED3272E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20117260-67C8-F42F-D396-67C41C975054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29D23C08-3BFB-B42E-947C-294AD600A179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1DD3904E-E892-429A-2E3B-B7D2D1081B5A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7D15AED5-A72B-4910-AAAE-E5751B77533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44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72362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43F30F11-A39E-47D6-AD35-E8555C6EF2F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446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161541-A031-4C1D-99D3-96B164BB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3DF82F6-5382-4808-8831-67FDD512BB46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DAC189E6-061F-5A0D-256D-9F4C715A297C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C84100BE-8D5F-1B36-0BC9-B95BA524833B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DF295D8F-B420-A6FB-38A2-E6551EA7F3A8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5078CAA-EB59-4AD7-9B17-97F4FF0C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B6E69A10-DC8E-4B0D-B0F3-478D6067D2CB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F3FD793B-FC05-E0BD-FB95-B3123D741FEA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C482E44-B65B-D41D-16AF-83FB6B77C56A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B6E1A364-30E1-CEC8-033A-D000595E408A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B01D54-EB82-45E3-A07F-3BF20028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9A39C2A-15E3-44A1-A604-CE410BD26A8F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068BDED6-E778-EF5B-E6A5-1C118E1495AD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E261A1A-8934-2FC3-D72A-ABBF1CA9F2F8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FABCF030-F0B8-D149-E01F-90E793185F1E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5C4D52-9F7B-4C4F-A681-1BA84140F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E5C8A64-168E-4D27-8F6B-B86BA872B79F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290F15BD-4987-092C-9D0F-EF424990B533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5618F64-92BB-234A-0AB2-E8FB9A9E0873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D294A758-7EBF-5148-8BE0-A0682A8EB953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6596150-EF76-4BEA-BA38-306E871E1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E295449-94FE-41A8-B9A7-E3612A28662E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F44F94D5-1712-77A6-375D-61B345CF6118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5D80065-79F8-39DF-EB0D-3387D43BAD4D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5E8093A4-8F07-6358-0F65-1D0272EB5099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27</xdr:row>
          <xdr:rowOff>314325</xdr:rowOff>
        </xdr:from>
        <xdr:to>
          <xdr:col>6</xdr:col>
          <xdr:colOff>904875</xdr:colOff>
          <xdr:row>50</xdr:row>
          <xdr:rowOff>33114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F42BA5DE-D561-41D6-A495-B9D913F725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:$G$24" spid="_x0000_s10549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71625" y="6086475"/>
              <a:ext cx="5640705" cy="43974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941294</xdr:colOff>
          <xdr:row>28</xdr:row>
          <xdr:rowOff>114300</xdr:rowOff>
        </xdr:from>
        <xdr:to>
          <xdr:col>15</xdr:col>
          <xdr:colOff>451538</xdr:colOff>
          <xdr:row>54</xdr:row>
          <xdr:rowOff>71727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F2B2F7B7-C85E-4718-BFA9-CDA83800ACE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3]graph!$A$35:$G$59" spid="_x0000_s10549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799669" y="6248400"/>
              <a:ext cx="6585414" cy="52133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055492-0377-4FF6-BB4D-95D818FD5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634AE47-1B61-4526-BDED-89503A452A62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16EBC4C-7976-B118-009D-B703601EC2D2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2EDB9DE-695A-D47C-B333-AB23E9F3B1F8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807C5AC3-865D-3761-BBEE-5C3E86346E57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43C79E-3FF9-4E31-BFD8-3FB43FE4D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1989D62-4F78-4BE9-830C-63F568992209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F559F841-1138-D7CD-ECC0-B67F80111118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9C99AE7-00E0-F3AF-4137-22E168D7817E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B1BA140A-6221-9C65-6D28-8DBEDD109892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617AE8-B776-42CF-8B73-B9E31B7E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9AA003C-FC2D-4CEE-B61D-27B122FF4844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84E556F5-AF2E-02A1-5DB5-17136E7DCB1A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D42251B-FCFC-209E-B7D7-A22C41B957DE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93FB841B-A70C-2A07-6654-9CA8DA71E07E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D6D862B-0FEC-4E27-A870-4726E82A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98288E1-F86C-45A2-B735-81E043B48245}"/>
            </a:ext>
          </a:extLst>
        </xdr:cNvPr>
        <xdr:cNvGrpSpPr/>
      </xdr:nvGrpSpPr>
      <xdr:grpSpPr>
        <a:xfrm>
          <a:off x="11488165" y="6286500"/>
          <a:ext cx="5258229" cy="4136669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3E5D064A-5D0E-C964-E9D0-6CFD954EEA74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A1DEEFD4-5195-9995-2A08-12C07CFC995B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46CF5CDF-7581-9321-295C-BB66330183C4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0.33379</cdr:x>
      <cdr:y>0.19459</cdr:y>
    </cdr:from>
    <cdr:to>
      <cdr:x>0.86489</cdr:x>
      <cdr:y>0.29279</cdr:y>
    </cdr:to>
    <cdr:grpSp>
      <cdr:nvGrpSpPr>
        <cdr:cNvPr id="2" name="グループ化 1">
          <a:extLst xmlns:a="http://schemas.openxmlformats.org/drawingml/2006/main">
            <a:ext uri="{FF2B5EF4-FFF2-40B4-BE49-F238E27FC236}">
              <a16:creationId xmlns:a16="http://schemas.microsoft.com/office/drawing/2014/main" id="{EC7059DB-85C0-4B07-B01C-19BFA5F7F332}"/>
            </a:ext>
          </a:extLst>
        </cdr:cNvPr>
        <cdr:cNvGrpSpPr/>
      </cdr:nvGrpSpPr>
      <cdr:grpSpPr>
        <a:xfrm xmlns:a="http://schemas.openxmlformats.org/drawingml/2006/main">
          <a:off x="1721231" y="808132"/>
          <a:ext cx="2738686" cy="407824"/>
          <a:chOff x="1503886" y="819828"/>
          <a:chExt cx="2392863" cy="413727"/>
        </a:xfrm>
      </cdr:grpSpPr>
      <cdr:cxnSp macro="">
        <cdr:nvCxnSpPr>
          <cdr:cNvPr id="3" name="直線コネクタ 2">
            <a:extLst xmlns:a="http://schemas.openxmlformats.org/drawingml/2006/main">
              <a:ext uri="{FF2B5EF4-FFF2-40B4-BE49-F238E27FC236}">
                <a16:creationId xmlns:a16="http://schemas.microsoft.com/office/drawing/2014/main" id="{CF0B3882-DCA8-4955-8A77-3F1EE7A5023F}"/>
              </a:ext>
            </a:extLst>
          </cdr:cNvPr>
          <cdr:cNvCxnSpPr/>
        </cdr:nvCxnSpPr>
        <cdr:spPr>
          <a:xfrm xmlns:a="http://schemas.openxmlformats.org/drawingml/2006/main">
            <a:off x="2348214" y="819828"/>
            <a:ext cx="703441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直線コネクタ 4">
            <a:extLst xmlns:a="http://schemas.openxmlformats.org/drawingml/2006/main">
              <a:ext uri="{FF2B5EF4-FFF2-40B4-BE49-F238E27FC236}">
                <a16:creationId xmlns:a16="http://schemas.microsoft.com/office/drawing/2014/main" id="{5E7D44C9-27B5-4792-8732-553C30F86BC6}"/>
              </a:ext>
            </a:extLst>
          </cdr:cNvPr>
          <cdr:cNvCxnSpPr/>
        </cdr:nvCxnSpPr>
        <cdr:spPr>
          <a:xfrm xmlns:a="http://schemas.openxmlformats.org/drawingml/2006/main">
            <a:off x="1503886" y="1233555"/>
            <a:ext cx="2392863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rgbClr val="C00000"/>
            </a:solidFill>
            <a:prstDash val="lg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</xdr:row>
      <xdr:rowOff>0</xdr:rowOff>
    </xdr:from>
    <xdr:to>
      <xdr:col>5</xdr:col>
      <xdr:colOff>773602</xdr:colOff>
      <xdr:row>48</xdr:row>
      <xdr:rowOff>1491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AB4A51-4015-4FCC-AC9B-50726C53D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5440" y="6172200"/>
          <a:ext cx="4194982" cy="3590511"/>
        </a:xfrm>
        <a:prstGeom prst="rect">
          <a:avLst/>
        </a:prstGeom>
      </xdr:spPr>
    </xdr:pic>
    <xdr:clientData/>
  </xdr:twoCellAnchor>
  <xdr:twoCellAnchor>
    <xdr:from>
      <xdr:col>10</xdr:col>
      <xdr:colOff>448236</xdr:colOff>
      <xdr:row>30</xdr:row>
      <xdr:rowOff>0</xdr:rowOff>
    </xdr:from>
    <xdr:to>
      <xdr:col>14</xdr:col>
      <xdr:colOff>989323</xdr:colOff>
      <xdr:row>51</xdr:row>
      <xdr:rowOff>81740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CA1D080-6346-4D1B-9A81-EBD51ECA2F48}"/>
            </a:ext>
          </a:extLst>
        </xdr:cNvPr>
        <xdr:cNvGrpSpPr/>
      </xdr:nvGrpSpPr>
      <xdr:grpSpPr>
        <a:xfrm>
          <a:off x="11482295" y="6312647"/>
          <a:ext cx="5262499" cy="4175622"/>
          <a:chOff x="347869" y="5840898"/>
          <a:chExt cx="4505485" cy="4213106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22AD6479-C697-2BC8-2CCD-54E5BD2F75B1}"/>
              </a:ext>
            </a:extLst>
          </xdr:cNvPr>
          <xdr:cNvGraphicFramePr>
            <a:graphicFrameLocks/>
          </xdr:cNvGraphicFramePr>
        </xdr:nvGraphicFramePr>
        <xdr:xfrm>
          <a:off x="347869" y="5840898"/>
          <a:ext cx="4505485" cy="42131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5CBA918-896B-5C78-D983-A05E18B4E0A9}"/>
              </a:ext>
            </a:extLst>
          </xdr:cNvPr>
          <xdr:cNvSpPr txBox="1"/>
        </xdr:nvSpPr>
        <xdr:spPr>
          <a:xfrm>
            <a:off x="971550" y="6696893"/>
            <a:ext cx="2171262" cy="2491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C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誤差量を織込んだ抑制必要量⑧</a:t>
            </a:r>
          </a:p>
        </xdr:txBody>
      </xdr:sp>
      <xdr:sp macro="" textlink="">
        <xdr:nvSpPr>
          <xdr:cNvPr id="6" name="下矢印 11">
            <a:extLst>
              <a:ext uri="{FF2B5EF4-FFF2-40B4-BE49-F238E27FC236}">
                <a16:creationId xmlns:a16="http://schemas.microsoft.com/office/drawing/2014/main" id="{D4FF1F8B-1147-1A19-05F5-3FA0180742E7}"/>
              </a:ext>
            </a:extLst>
          </xdr:cNvPr>
          <xdr:cNvSpPr/>
        </xdr:nvSpPr>
        <xdr:spPr>
          <a:xfrm>
            <a:off x="3020890" y="6659439"/>
            <a:ext cx="88341" cy="426428"/>
          </a:xfrm>
          <a:prstGeom prst="downArrow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7.123\&#38656;&#32102;&#29677;\DOCUME~1\346104\LOCALS~1\Temp\&#36913;&#38291;&#65418;&#65438;&#65431;&#65437;&#65405;&#12288;(7.25&#65374;8.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8&#26376;\&#26085;&#21029;&#12398;&#38656;&#35201;&#24819;&#23450;&#12539;&#38656;&#32102;&#29366;&#27841;&#12539;&#20877;&#12456;&#12493;&#20986;&#21147;&#25233;&#21046;&#12398;&#24517;&#35201;&#24615;&#65288;2023&#24180;08&#26376;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9&#26376;\&#26085;&#21029;&#12398;&#38656;&#35201;&#24819;&#23450;&#12539;&#38656;&#32102;&#29366;&#27841;&#12539;&#20877;&#12456;&#12493;&#20986;&#21147;&#25233;&#21046;&#12398;&#24517;&#35201;&#24615;&#65288;2023&#24180;09&#26376;&#6528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10&#26376;\&#26085;&#21029;&#12398;&#38656;&#35201;&#24819;&#23450;&#12539;&#38656;&#32102;&#29366;&#27841;&#12539;&#20877;&#12456;&#12493;&#20986;&#21147;&#25233;&#21046;&#12398;&#24517;&#35201;&#24615;&#65288;2023&#24180;10&#26376;&#65289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11&#26376;\&#26085;&#21029;&#12398;&#38656;&#35201;&#24819;&#23450;&#12539;&#38656;&#32102;&#29366;&#27841;&#12539;&#20877;&#12456;&#12493;&#20986;&#21147;&#25233;&#21046;&#12398;&#24517;&#35201;&#24615;&#65288;2023&#24180;11&#26376;&#6528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12&#26376;\&#26085;&#21029;&#12398;&#38656;&#35201;&#24819;&#23450;&#12539;&#38656;&#32102;&#29366;&#27841;&#12539;&#20877;&#12456;&#12493;&#20986;&#21147;&#25233;&#21046;&#12398;&#24517;&#35201;&#24615;&#65288;2023&#24180;12&#26376;&#65289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1&#26376;\&#26085;&#21029;&#12398;&#38656;&#35201;&#24819;&#23450;&#12539;&#38656;&#32102;&#29366;&#27841;&#12539;&#20877;&#12456;&#12493;&#20986;&#21147;&#25233;&#21046;&#12398;&#24517;&#35201;&#24615;&#65288;2024&#24180;01&#26376;&#652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2&#26376;\&#12304;&#23713;&#26412;&#20316;&#25104;&#12305;&#26085;&#21029;&#12398;&#38656;&#35201;&#24819;&#23450;&#12539;&#38656;&#32102;&#29366;&#27841;&#12539;&#20877;&#12456;&#12493;&#20986;&#21147;&#25233;&#21046;&#12398;&#24517;&#35201;&#24615;&#65288;2024&#24180;02&#26376;&#652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3&#26376;\&#26085;&#21029;&#12398;&#38656;&#35201;&#24819;&#23450;&#12539;&#38656;&#32102;&#29366;&#27841;&#12539;&#20877;&#12456;&#12493;&#20986;&#21147;&#25233;&#21046;&#12398;&#24517;&#35201;&#24615;&#65288;2024&#24180;03&#2637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ts005\&#38651;&#21147;&#21462;&#24341;\&#38651;&#21147;&#21462;&#24341;&#12464;&#12523;&#12540;&#12503;H16&#9733;&#9733;\T1_&#20808;&#28193;&#12375;&#21462;&#24341;\H1802&#26908;&#35342;\20051017&#36939;&#36578;&#21336;&#20385;&#34920;(11&#26376;)&#23436;&#25104;&#29256;&#12308;&#21407;&#27833;&#35576;&#25499;&#25913;&#123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7.123\&#20013;&#32102;\700_&#20877;&#12456;&#12493;&#29677;&#20491;&#21029;&#36039;&#26009;\&#9733;&#26412;&#22303;&#20986;&#21147;&#21046;&#24481;&#12395;&#23550;&#12377;&#12427;&#20107;&#24460;&#26908;&#35388;&#12398;&#32771;&#12360;&#26041;\20180800_&#20107;&#24460;&#26908;&#35388;&#36039;&#26009;\&#23455;&#32318;&#21462;&#32399;&#12417;\&#26908;&#35388;&#36039;&#26009;&#20316;&#25104;&#12484;&#12540;&#12523;\&#20986;&#21147;&#12501;&#12449;&#12452;&#12523;\2024&#24180;\0426_&#65300;&#26376;&#20998;&#20197;&#38477;&#12398;&#26908;&#35388;&#36039;&#26009;&#25552;&#20986;&#29992;&#21407;&#32025;\&#20462;&#27491;&#29256;&#12304;&#20195;&#34920;&#26085;&#12305;&#65288;&#21442;&#32771;&#65289;&#24403;&#26085;&#12398;&#38656;&#32102;&#23455;&#32318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17.123\&#20013;&#32102;\700_&#20877;&#12456;&#12493;&#29677;&#20491;&#21029;&#36039;&#26009;\&#9675;24&#26178;&#38291;&#12496;&#12521;&#12531;&#12473;&#25163;&#38918;&#26360;&#38306;&#20418;\&#38656;&#32102;&#12496;&#12521;&#12531;&#12473;&#12481;&#12455;&#12483;&#12463;&#34920;\2024&#24180;&#24230;\2025.03\&#38656;&#32102;&#26085;_0322\&#12304;&#38656;&#32102;&#26085;0322&#12305;&#38656;&#32102;&#12496;&#12521;&#12531;&#12473;&#12481;&#12455;&#12483;&#12463;&#34920;&#65288;&#32716;&#26085;&#65289;&#19968;&#24459;&#21046;&#24481;ver&#65288;&#25351;&#20196;CSV&#21462;&#36796;&#27231;&#33021;&#20184;&#21152;&#65289;&#21776;&#27941;&#12496;&#12452;&#12458;&#35430;&#36939;&#36578;&#26399;&#38291;&#30330;&#38651;&#35336;&#30011;&#20462;&#27491;.xlsm" TargetMode="External"/><Relationship Id="rId1" Type="http://schemas.openxmlformats.org/officeDocument/2006/relationships/externalLinkPath" Target="file:///\\10.1.17.123\&#20013;&#32102;\700_&#20877;&#12456;&#12493;&#29677;&#20491;&#21029;&#36039;&#26009;\&#9675;24&#26178;&#38291;&#12496;&#12521;&#12531;&#12473;&#25163;&#38918;&#26360;&#38306;&#20418;\&#38656;&#32102;&#12496;&#12521;&#12531;&#12473;&#12481;&#12455;&#12483;&#12463;&#34920;\2024&#24180;&#24230;\2025.03\&#38656;&#32102;&#26085;_0322\&#12304;&#38656;&#32102;&#26085;0322&#12305;&#38656;&#32102;&#12496;&#12521;&#12531;&#12473;&#12481;&#12455;&#12483;&#12463;&#34920;&#65288;&#32716;&#26085;&#65289;&#19968;&#24459;&#21046;&#24481;ver&#65288;&#25351;&#20196;CSV&#21462;&#36796;&#27231;&#33021;&#20184;&#21152;&#65289;&#21776;&#27941;&#12496;&#12452;&#12458;&#35430;&#36939;&#36578;&#26399;&#38291;&#30330;&#38651;&#35336;&#30011;&#20462;&#27491;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17.123\&#20013;&#32102;\700_&#20877;&#12456;&#12493;&#29677;&#20491;&#21029;&#36039;&#26009;\&#9675;24&#26178;&#38291;&#12496;&#12521;&#12531;&#12473;&#25163;&#38918;&#26360;&#38306;&#20418;\&#38656;&#32102;&#12496;&#12521;&#12531;&#12473;&#12481;&#12455;&#12483;&#12463;&#34920;\2025&#24180;&#24230;\2025.07\&#38656;&#32102;&#26085;_0719\&#12304;&#38656;&#32102;&#26085;0719&#12305;&#38656;&#32102;&#12496;&#12521;&#12531;&#12473;&#12481;&#12455;&#12483;&#12463;&#34920;&#65288;&#32716;&#26085;&#65289;&#19968;&#24459;&#21046;&#24481;ver&#65288;&#25351;&#20196;CSV&#21462;&#36796;&#27231;&#33021;&#20184;&#21152;&#65289;&#21776;&#27941;&#12496;&#12452;&#12458;&#35430;&#36939;&#36578;&#26399;&#38291;&#30330;&#38651;&#35336;&#30011;&#20462;&#27491;.xlsm" TargetMode="External"/><Relationship Id="rId1" Type="http://schemas.openxmlformats.org/officeDocument/2006/relationships/externalLinkPath" Target="file:///\\10.1.17.123\&#20013;&#32102;\700_&#20877;&#12456;&#12493;&#29677;&#20491;&#21029;&#36039;&#26009;\&#9675;24&#26178;&#38291;&#12496;&#12521;&#12531;&#12473;&#25163;&#38918;&#26360;&#38306;&#20418;\&#38656;&#32102;&#12496;&#12521;&#12531;&#12473;&#12481;&#12455;&#12483;&#12463;&#34920;\2025&#24180;&#24230;\2025.07\&#38656;&#32102;&#26085;_0719\&#12304;&#38656;&#32102;&#26085;0719&#12305;&#38656;&#32102;&#12496;&#12521;&#12531;&#12473;&#12481;&#12455;&#12483;&#12463;&#34920;&#65288;&#32716;&#26085;&#65289;&#19968;&#24459;&#21046;&#24481;ver&#65288;&#25351;&#20196;CSV&#21462;&#36796;&#27231;&#33021;&#20184;&#21152;&#65289;&#21776;&#27941;&#12496;&#12452;&#12458;&#35430;&#36939;&#36578;&#26399;&#38291;&#30330;&#38651;&#35336;&#30011;&#20462;&#27491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4&#24180;&#24230;\2024&#24180;&#24230;&#26032;&#27096;&#24335;\0426_&#65300;&#26376;&#20998;&#20197;&#38477;&#12398;&#26908;&#35388;&#36039;&#26009;&#25552;&#20986;&#29992;&#21407;&#32025;\&#20462;&#27491;&#29256;&#12304;&#20195;&#34920;&#26085;&#12305;&#65288;&#21442;&#32771;&#65289;&#24403;&#26085;&#12398;&#38656;&#32102;&#23455;&#3231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&#9733;HP&#20844;&#34920;&#12487;&#12540;&#12479;&#65288;&#12489;&#12461;&#12517;&#12289;PDF&#65289;\&#26085;&#21029;&#12398;&#38656;&#35201;&#24819;&#23450;&#12539;&#38656;&#32102;&#29366;&#27841;&#12539;&#20877;&#12456;&#12493;&#20986;&#21147;&#25233;&#21046;&#12398;&#24517;&#35201;&#24615;&#65288;2023&#24180;04&#26376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5&#26376;\&#26085;&#21029;&#12398;&#38656;&#35201;&#24819;&#23450;&#12539;&#38656;&#32102;&#29366;&#27841;&#12539;&#20877;&#12456;&#12493;&#20986;&#21147;&#25233;&#21046;&#12398;&#24517;&#35201;&#24615;&#65288;2023&#24180;05&#26376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fsvn03\&#20061;&#24030;&#26412;&#22303;&#20877;&#12456;&#12493;&#23550;&#24540;&#20849;&#26377;&#12489;&#12521;&#12452;&#12502;\06_&#20877;&#12456;&#12493;&#20986;&#21147;&#21046;&#24481;&#25351;&#31034;&#12395;&#38306;&#12377;&#12427;&#22577;&#21578;&#65288;&#65320;&#65328;&#20844;&#34920;&#65289;\2023&#24180;&#24230;\06&#26376;\&#26085;&#21029;&#12398;&#38656;&#35201;&#24819;&#23450;&#12539;&#38656;&#32102;&#29366;&#27841;&#12539;&#20877;&#12456;&#12493;&#20986;&#21147;&#25233;&#21046;&#12398;&#24517;&#35201;&#24615;&#65288;2023&#24180;06&#2637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示切替"/>
      <sheetName val="誤差"/>
    </sheetNames>
    <sheetDataSet>
      <sheetData sheetId="0" refreshError="1">
        <row r="3">
          <cell r="C3">
            <v>0</v>
          </cell>
        </row>
      </sheetData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/>
      <sheetData sheetId="4"/>
      <sheetData sheetId="5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/>
      <sheetData sheetId="4"/>
      <sheetData sheetId="5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ワーク"/>
      <sheetName val="差異算出"/>
      <sheetName val="先月"/>
      <sheetName val="単価計算表"/>
      <sheetName val="2005-11"/>
      <sheetName val="2005-10"/>
      <sheetName val="2005-9"/>
      <sheetName val="2005-8"/>
      <sheetName val="2005-7"/>
      <sheetName val="2005-6"/>
      <sheetName val="2005-5"/>
      <sheetName val="2005-4"/>
      <sheetName val="2005-3"/>
      <sheetName val="2005-2"/>
      <sheetName val="2005-1"/>
      <sheetName val="2004-12"/>
      <sheetName val="2004-11"/>
      <sheetName val="2004-10"/>
      <sheetName val="2004-9"/>
      <sheetName val="2004-8"/>
      <sheetName val="2004-7"/>
      <sheetName val="2004-6"/>
      <sheetName val="2004-5"/>
      <sheetName val="2004-4"/>
      <sheetName val="2004-3"/>
      <sheetName val="2004-2"/>
      <sheetName val="2004-1"/>
      <sheetName val="2003-12"/>
      <sheetName val="2003-11"/>
      <sheetName val="2003-10"/>
      <sheetName val="2003-9"/>
      <sheetName val="2003-8"/>
      <sheetName val="2003-6"/>
      <sheetName val="2002-12"/>
      <sheetName val="2002-11"/>
      <sheetName val="2002-10"/>
      <sheetName val="2002-9"/>
      <sheetName val="リスト定義"/>
    </sheetNames>
    <sheetDataSet>
      <sheetData sheetId="0"/>
      <sheetData sheetId="1"/>
      <sheetData sheetId="2"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参考）当日の需給実績"/>
      <sheetName val="graph"/>
      <sheetName val="graph_org"/>
      <sheetName val="調整力としてあらかじめ確保していない発電設備等詳細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翌日 (AM)"/>
      <sheetName val="リスト用"/>
      <sheetName val="翌日"/>
      <sheetName val="電発"/>
      <sheetName val="電源Ⅲ"/>
      <sheetName val="HP公表用"/>
      <sheetName val="電源Ⅲ (実績取り纏め)"/>
      <sheetName val="電源Ⅲ専焼バイオ最低出力値"/>
      <sheetName val="電源Ⅰ・Ⅱ・原子力　運転制約"/>
      <sheetName val="実績貼り付け用"/>
      <sheetName val="各種値取込み用"/>
      <sheetName val="翌日関門"/>
      <sheetName val="2日先関門"/>
      <sheetName val="3日先関門"/>
      <sheetName val="翌日電制電源検討"/>
      <sheetName val="無制御分"/>
      <sheetName val="中西低下側"/>
      <sheetName val="OFRy"/>
      <sheetName val="実証事業分"/>
      <sheetName val="誤差"/>
      <sheetName val="PV予測（貼付）"/>
      <sheetName val="WF予測（貼付）"/>
      <sheetName val="アンサンブル予測（貼付）"/>
      <sheetName val="関門連系線（貼付）"/>
      <sheetName val="発電計画（貼付）"/>
      <sheetName val="スタンプ"/>
      <sheetName val="掲示用"/>
      <sheetName val="マクロ設定"/>
      <sheetName val="テンプレート"/>
      <sheetName val="MENU"/>
      <sheetName val="CSVマクロ算定結果"/>
      <sheetName val="処理ログ"/>
      <sheetName val="設定"/>
      <sheetName val="CSVファイルリスト"/>
    </sheetNames>
    <sheetDataSet>
      <sheetData sheetId="0"/>
      <sheetData sheetId="1"/>
      <sheetData sheetId="2">
        <row r="15">
          <cell r="M15">
            <v>282.64999999999998</v>
          </cell>
        </row>
        <row r="24">
          <cell r="V24">
            <v>-45</v>
          </cell>
        </row>
      </sheetData>
      <sheetData sheetId="3"/>
      <sheetData sheetId="4"/>
      <sheetData sheetId="5"/>
      <sheetData sheetId="6">
        <row r="69">
          <cell r="P6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翌日 (AM)"/>
      <sheetName val="リスト用"/>
      <sheetName val="翌日"/>
      <sheetName val="電発"/>
      <sheetName val="電源Ⅲ"/>
      <sheetName val="HP公表用"/>
      <sheetName val="電源Ⅲ (実績取り纏め)"/>
      <sheetName val="電源Ⅲ専焼バイオ最低出力値"/>
      <sheetName val="電源Ⅰ・Ⅱ・原子力　運転制約"/>
      <sheetName val="実績貼り付け用"/>
      <sheetName val="各種値取込み用"/>
      <sheetName val="翌日関門"/>
      <sheetName val="2日先関門"/>
      <sheetName val="3日先関門"/>
      <sheetName val="翌日電制電源検討"/>
      <sheetName val="無制御分"/>
      <sheetName val="関門送電中西低下側"/>
      <sheetName val="OFRy"/>
      <sheetName val="実証事業分"/>
      <sheetName val="誤差"/>
      <sheetName val="PV予測（貼付）"/>
      <sheetName val="WF予測（貼付）"/>
      <sheetName val="アンサンブル予測（貼付）"/>
      <sheetName val="関門連系線（貼付）"/>
      <sheetName val="発電計画（貼付）"/>
      <sheetName val="スタンプ"/>
      <sheetName val="掲示用"/>
      <sheetName val="マクロ設定"/>
      <sheetName val="テンプレート"/>
      <sheetName val="MENU"/>
      <sheetName val="CSVマクロ算定結果"/>
      <sheetName val="処理ログ"/>
      <sheetName val="設定"/>
      <sheetName val="CSVファイルリスト"/>
    </sheetNames>
    <sheetDataSet>
      <sheetData sheetId="0" refreshError="1"/>
      <sheetData sheetId="1" refreshError="1"/>
      <sheetData sheetId="2">
        <row r="6">
          <cell r="M6" t="str">
            <v>11:30-12:00</v>
          </cell>
        </row>
        <row r="32">
          <cell r="T32" t="str">
            <v>11:00-11:30</v>
          </cell>
          <cell r="U32" t="str">
            <v>11:30-12:00</v>
          </cell>
          <cell r="V32" t="str">
            <v>12:00-12:30</v>
          </cell>
        </row>
        <row r="33">
          <cell r="T33">
            <v>2260</v>
          </cell>
          <cell r="U33">
            <v>2290</v>
          </cell>
          <cell r="V33">
            <v>2310</v>
          </cell>
        </row>
        <row r="34">
          <cell r="T34">
            <v>1859.184</v>
          </cell>
          <cell r="U34">
            <v>1648</v>
          </cell>
          <cell r="V34">
            <v>2310</v>
          </cell>
        </row>
        <row r="35">
          <cell r="T35">
            <v>0</v>
          </cell>
          <cell r="U35">
            <v>0</v>
          </cell>
          <cell r="V35">
            <v>0</v>
          </cell>
        </row>
        <row r="36">
          <cell r="T36">
            <v>1859.184</v>
          </cell>
          <cell r="U36">
            <v>1648</v>
          </cell>
          <cell r="V36">
            <v>2310</v>
          </cell>
        </row>
        <row r="37">
          <cell r="T37">
            <v>400.81600000000003</v>
          </cell>
          <cell r="U37">
            <v>642</v>
          </cell>
          <cell r="V37">
            <v>0</v>
          </cell>
        </row>
        <row r="39">
          <cell r="U39">
            <v>201</v>
          </cell>
        </row>
      </sheetData>
      <sheetData sheetId="3" refreshError="1"/>
      <sheetData sheetId="4" refreshError="1"/>
      <sheetData sheetId="5" refreshError="1"/>
      <sheetData sheetId="6">
        <row r="79">
          <cell r="I79">
            <v>0</v>
          </cell>
          <cell r="O79">
            <v>0</v>
          </cell>
        </row>
        <row r="80">
          <cell r="I80">
            <v>0</v>
          </cell>
        </row>
        <row r="81">
          <cell r="I81">
            <v>54.4</v>
          </cell>
          <cell r="O81">
            <v>54.4</v>
          </cell>
        </row>
        <row r="82">
          <cell r="I82">
            <v>28.813559322033893</v>
          </cell>
        </row>
        <row r="83">
          <cell r="H83">
            <v>43.6</v>
          </cell>
        </row>
        <row r="84">
          <cell r="H84">
            <v>23.942888522789676</v>
          </cell>
          <cell r="I84">
            <v>22.856929347826092</v>
          </cell>
          <cell r="O84">
            <v>33.291711956521738</v>
          </cell>
        </row>
        <row r="85">
          <cell r="H85">
            <v>10.02</v>
          </cell>
        </row>
        <row r="88">
          <cell r="I88">
            <v>39.4</v>
          </cell>
          <cell r="O88">
            <v>42.3</v>
          </cell>
        </row>
        <row r="89">
          <cell r="I89">
            <v>58.871871497945463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参考）当日の需給実績"/>
      <sheetName val="graph"/>
      <sheetName val="graph_org"/>
      <sheetName val="調整力としてあらかじめ確保していない発電設備等詳細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graph"/>
    </sheetNames>
    <sheetDataSet>
      <sheetData sheetId="0" refreshError="1"/>
      <sheetData sheetId="1"/>
      <sheetData sheetId="2"/>
      <sheetData sheetId="3"/>
      <sheetData sheetId="4"/>
      <sheetData sheetId="5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/>
      <sheetData sheetId="4"/>
      <sheetData sheetId="5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原紙"/>
      <sheetName val="必要性"/>
      <sheetName val="必要性 (2)"/>
      <sheetName val="必要性 (3)"/>
      <sheetName val="必要性 (4)"/>
      <sheetName val="必要性 (5)"/>
      <sheetName val="graph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>
        <row r="35">
          <cell r="I35" t="str">
            <v>（エリア需要等）</v>
          </cell>
          <cell r="J35" t="str">
            <v>（エリア供給力）</v>
          </cell>
        </row>
        <row r="36">
          <cell r="H36" t="str">
            <v>(A) 九州エリア（本土）需要</v>
          </cell>
          <cell r="I36">
            <v>800</v>
          </cell>
        </row>
        <row r="37">
          <cell r="H37" t="str">
            <v>(C-1) 揚水式発電機の揚水運転</v>
          </cell>
          <cell r="I37">
            <v>253.2</v>
          </cell>
        </row>
        <row r="38">
          <cell r="H38" t="str">
            <v>(C-2) 電力貯蔵装置の充電</v>
          </cell>
          <cell r="I38">
            <v>5</v>
          </cell>
        </row>
        <row r="39">
          <cell r="H39" t="str">
            <v>(B-1) 約定済みの域外送電電力</v>
          </cell>
          <cell r="I39">
            <v>172.9</v>
          </cell>
        </row>
        <row r="40">
          <cell r="H40" t="str">
            <v>(B-2) 長周期広域周波数調整</v>
          </cell>
          <cell r="I40">
            <v>21.1</v>
          </cell>
        </row>
        <row r="41">
          <cell r="H41" t="str">
            <v>(L) 原子力</v>
          </cell>
          <cell r="J41">
            <v>414.3</v>
          </cell>
        </row>
        <row r="42">
          <cell r="H42" t="str">
            <v>(K) 地熱</v>
          </cell>
          <cell r="J42">
            <v>14.7</v>
          </cell>
        </row>
        <row r="43">
          <cell r="H43" t="str">
            <v>(J) 一般水力</v>
          </cell>
          <cell r="J43">
            <v>16.100000000000001</v>
          </cell>
        </row>
        <row r="44">
          <cell r="H44" t="str">
            <v>(I) 地域資源バイオマス</v>
          </cell>
          <cell r="J44">
            <v>22.2</v>
          </cell>
        </row>
        <row r="45">
          <cell r="H45" t="str">
            <v>(H) バイオマス専焼電源</v>
          </cell>
          <cell r="J45">
            <v>9.9</v>
          </cell>
        </row>
        <row r="46">
          <cell r="H46" t="str">
            <v>(G) 電源Ⅲ火力</v>
          </cell>
          <cell r="J46">
            <v>145.5</v>
          </cell>
        </row>
        <row r="47">
          <cell r="H47" t="str">
            <v>(F) 電源Ⅰ・Ⅱ火力</v>
          </cell>
          <cell r="J47">
            <v>64.900000000000006</v>
          </cell>
        </row>
        <row r="48">
          <cell r="H48" t="str">
            <v>(E-1) 太陽光・風力</v>
          </cell>
          <cell r="J48">
            <v>643</v>
          </cell>
        </row>
        <row r="49">
          <cell r="H49" t="str">
            <v>(E-2) 想定誤差量</v>
          </cell>
          <cell r="J49">
            <v>115.2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85.bin"/><Relationship Id="rId4" Type="http://schemas.openxmlformats.org/officeDocument/2006/relationships/comments" Target="../comments3.xm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87.bin"/><Relationship Id="rId4" Type="http://schemas.openxmlformats.org/officeDocument/2006/relationships/comments" Target="../comments4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F284-726A-4AB9-9B0D-2168D57B8504}">
  <sheetPr>
    <tabColor rgb="FFFFFF00"/>
    <pageSetUpPr fitToPage="1"/>
  </sheetPr>
  <dimension ref="A1:L29"/>
  <sheetViews>
    <sheetView showGridLines="0" tabSelected="1" view="pageBreakPreview" zoomScale="70" zoomScaleNormal="70" zoomScaleSheetLayoutView="70" zoomScalePageLayoutView="70" workbookViewId="0">
      <selection activeCell="P13" sqref="P13"/>
    </sheetView>
  </sheetViews>
  <sheetFormatPr defaultColWidth="8.90625" defaultRowHeight="16.5"/>
  <cols>
    <col min="1" max="1" width="8.90625" style="315"/>
    <col min="2" max="2" width="18.453125" style="315" customWidth="1"/>
    <col min="3" max="3" width="20" style="315" customWidth="1"/>
    <col min="4" max="4" width="17.36328125" style="316" customWidth="1"/>
    <col min="5" max="5" width="17.36328125" style="315" customWidth="1"/>
    <col min="6" max="6" width="34.08984375" style="315" customWidth="1"/>
    <col min="7" max="7" width="6.453125" style="315" customWidth="1"/>
    <col min="8" max="8" width="30.36328125" style="315" customWidth="1"/>
    <col min="9" max="9" width="12.453125" style="315" customWidth="1"/>
    <col min="10" max="10" width="4.90625" style="315" customWidth="1"/>
    <col min="11" max="11" width="12.453125" style="315" customWidth="1"/>
    <col min="12" max="12" width="15.90625" style="315" customWidth="1"/>
    <col min="13" max="16384" width="8.90625" style="315"/>
  </cols>
  <sheetData>
    <row r="1" spans="1:12">
      <c r="A1" s="363" t="s">
        <v>248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12" ht="33.65" customHeight="1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2" ht="8.65" customHeight="1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</row>
    <row r="4" spans="1:12" ht="32.15" customHeight="1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</row>
    <row r="5" spans="1:12" ht="33" customHeight="1">
      <c r="A5" s="364"/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</row>
    <row r="6" spans="1:12" ht="38.65" customHeight="1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</row>
    <row r="7" spans="1:12" ht="38.65" customHeight="1">
      <c r="A7" s="364"/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</row>
    <row r="8" spans="1:12" ht="38.65" customHeight="1">
      <c r="A8" s="364"/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</row>
    <row r="9" spans="1:12" ht="38.65" customHeight="1">
      <c r="A9" s="364"/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</row>
    <row r="10" spans="1:12" ht="38.15" customHeight="1">
      <c r="A10" s="364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</row>
    <row r="11" spans="1:12" ht="38.15" customHeight="1">
      <c r="A11" s="364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</row>
    <row r="12" spans="1:12" ht="19.399999999999999" customHeight="1">
      <c r="A12" s="364"/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</row>
    <row r="13" spans="1:12" ht="19.399999999999999" customHeight="1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</row>
    <row r="14" spans="1:12" ht="38.65" customHeight="1">
      <c r="A14" s="364"/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</row>
    <row r="15" spans="1:12" ht="38.65" customHeight="1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</row>
    <row r="16" spans="1:12" ht="38.65" customHeight="1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</row>
    <row r="17" spans="1:12" ht="38.65" customHeight="1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</row>
    <row r="18" spans="1:12" ht="38.65" customHeight="1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</row>
    <row r="19" spans="1:12" ht="38.65" customHeight="1">
      <c r="A19" s="364"/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</row>
    <row r="20" spans="1:12" ht="38.65" customHeight="1">
      <c r="A20" s="364"/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</row>
    <row r="21" spans="1:12" ht="38.65" customHeight="1">
      <c r="A21" s="364"/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</row>
    <row r="22" spans="1:12" ht="38.65" customHeight="1">
      <c r="A22" s="364"/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</row>
    <row r="23" spans="1:12" ht="7.4" customHeight="1">
      <c r="A23" s="364"/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</row>
    <row r="24" spans="1:12" ht="24.65" customHeight="1">
      <c r="A24" s="364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</row>
    <row r="25" spans="1:12" ht="24.65" customHeight="1">
      <c r="A25" s="364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</row>
    <row r="26" spans="1:12" ht="24.65" customHeight="1">
      <c r="A26" s="364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</row>
    <row r="27" spans="1:12" ht="24.65" customHeight="1">
      <c r="A27" s="364"/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</row>
    <row r="28" spans="1:12" ht="24.65" customHeight="1">
      <c r="A28" s="364"/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</row>
    <row r="29" spans="1:12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</row>
  </sheetData>
  <mergeCells count="1">
    <mergeCell ref="A1:L29"/>
  </mergeCells>
  <phoneticPr fontId="1"/>
  <printOptions horizontalCentered="1" verticalCentered="1"/>
  <pageMargins left="0.47244094488188981" right="0.43307086614173229" top="0.51181102362204722" bottom="0.15748031496062992" header="0.31496062992125984" footer="0.31496062992125984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EA45-D478-4848-B42F-BD88D2C0E4C0}">
  <sheetPr>
    <pageSetUpPr fitToPage="1"/>
  </sheetPr>
  <dimension ref="A1:Y57"/>
  <sheetViews>
    <sheetView showGridLines="0" view="pageBreakPreview" zoomScale="55" zoomScaleNormal="55" zoomScaleSheetLayoutView="55" zoomScalePageLayoutView="7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45768</v>
      </c>
      <c r="G3" s="491"/>
      <c r="H3" s="491"/>
      <c r="I3" s="492"/>
      <c r="J3" s="490">
        <v>45771</v>
      </c>
      <c r="K3" s="491"/>
      <c r="L3" s="491"/>
      <c r="M3" s="492"/>
      <c r="N3" s="490">
        <v>45772</v>
      </c>
      <c r="O3" s="491"/>
      <c r="P3" s="491"/>
      <c r="Q3" s="492"/>
      <c r="R3" s="490">
        <v>45773</v>
      </c>
      <c r="S3" s="491"/>
      <c r="T3" s="491"/>
      <c r="U3" s="492"/>
      <c r="V3" s="490">
        <v>45774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f t="shared" ref="L5:L8" si="0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f t="shared" si="0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 t="shared" si="0"/>
        <v>0</v>
      </c>
      <c r="M7" s="219"/>
      <c r="N7" s="166">
        <v>0</v>
      </c>
      <c r="O7" s="165">
        <v>0</v>
      </c>
      <c r="P7" s="164">
        <f t="shared" ref="P7" si="1">SUM(O7,-N7)</f>
        <v>0</v>
      </c>
      <c r="Q7" s="219"/>
      <c r="R7" s="166">
        <v>0</v>
      </c>
      <c r="S7" s="165">
        <v>0</v>
      </c>
      <c r="T7" s="164">
        <f t="shared" ref="T7" si="2">SUM(S7,-R7)</f>
        <v>0</v>
      </c>
      <c r="U7" s="219"/>
      <c r="V7" s="166">
        <v>0</v>
      </c>
      <c r="W7" s="165">
        <v>0</v>
      </c>
      <c r="X7" s="164">
        <f t="shared" ref="X7" si="3">SUM(W7,-V7)</f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54.7</v>
      </c>
      <c r="G8" s="216">
        <v>54.7</v>
      </c>
      <c r="H8" s="215">
        <v>0</v>
      </c>
      <c r="I8" s="214"/>
      <c r="J8" s="217">
        <v>54.300000000000004</v>
      </c>
      <c r="K8" s="216">
        <v>54.300000000000004</v>
      </c>
      <c r="L8" s="215">
        <f t="shared" si="0"/>
        <v>0</v>
      </c>
      <c r="M8" s="214"/>
      <c r="N8" s="217">
        <v>54.5</v>
      </c>
      <c r="O8" s="216">
        <v>54.5</v>
      </c>
      <c r="P8" s="215">
        <f>SUM(O8,-N8)</f>
        <v>0</v>
      </c>
      <c r="Q8" s="232"/>
      <c r="R8" s="217">
        <v>53.300000000000004</v>
      </c>
      <c r="S8" s="216">
        <v>53.300000000000004</v>
      </c>
      <c r="T8" s="215">
        <f>SUM(S8,-R8)</f>
        <v>0</v>
      </c>
      <c r="U8" s="232"/>
      <c r="V8" s="217">
        <v>51.7</v>
      </c>
      <c r="W8" s="216">
        <v>51.7</v>
      </c>
      <c r="X8" s="215">
        <f>SUM(W8,-V8)</f>
        <v>0</v>
      </c>
      <c r="Y8" s="264"/>
    </row>
    <row r="9" spans="2:25" ht="16.5" thickBot="1">
      <c r="B9" s="281"/>
      <c r="C9" s="497"/>
      <c r="D9" s="427" t="s">
        <v>101</v>
      </c>
      <c r="E9" s="428"/>
      <c r="F9" s="188">
        <v>108.9</v>
      </c>
      <c r="G9" s="187">
        <v>108.9</v>
      </c>
      <c r="H9" s="187">
        <v>0</v>
      </c>
      <c r="I9" s="213" t="s">
        <v>81</v>
      </c>
      <c r="J9" s="188">
        <f t="shared" ref="J9:L9" si="4">SUM(J5:J8)</f>
        <v>75.5</v>
      </c>
      <c r="K9" s="187">
        <f t="shared" si="4"/>
        <v>75.5</v>
      </c>
      <c r="L9" s="187">
        <f t="shared" si="4"/>
        <v>0</v>
      </c>
      <c r="M9" s="213" t="s">
        <v>159</v>
      </c>
      <c r="N9" s="188">
        <f>SUM(N5:N8)</f>
        <v>75.7</v>
      </c>
      <c r="O9" s="187">
        <f>SUM(O5:O8)</f>
        <v>75.7</v>
      </c>
      <c r="P9" s="187">
        <f>SUM(P5:P8)</f>
        <v>0</v>
      </c>
      <c r="Q9" s="213" t="s">
        <v>159</v>
      </c>
      <c r="R9" s="188">
        <f>SUM(R5:R8)</f>
        <v>74.5</v>
      </c>
      <c r="S9" s="187">
        <f>SUM(S5:S8)</f>
        <v>74.5</v>
      </c>
      <c r="T9" s="187">
        <f>SUM(T5:T8)</f>
        <v>0</v>
      </c>
      <c r="U9" s="213" t="s">
        <v>159</v>
      </c>
      <c r="V9" s="188">
        <f>SUM(V5:V8)</f>
        <v>72.900000000000006</v>
      </c>
      <c r="W9" s="187">
        <f>SUM(W5:W8)</f>
        <v>72.900000000000006</v>
      </c>
      <c r="X9" s="187">
        <f>SUM(X5:X8)</f>
        <v>0</v>
      </c>
      <c r="Y9" s="265" t="s">
        <v>159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282"/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f>SUM(G13,-F13)</f>
        <v>26.1</v>
      </c>
      <c r="I13" s="232" t="s">
        <v>149</v>
      </c>
      <c r="J13" s="166">
        <v>-26.1</v>
      </c>
      <c r="K13" s="165">
        <v>0</v>
      </c>
      <c r="L13" s="164">
        <f>SUM(K13,-J13)</f>
        <v>26.1</v>
      </c>
      <c r="M13" s="232" t="s">
        <v>149</v>
      </c>
      <c r="N13" s="166">
        <v>-26.1</v>
      </c>
      <c r="O13" s="165">
        <v>0</v>
      </c>
      <c r="P13" s="164">
        <f>SUM(O13,-N13)</f>
        <v>26.1</v>
      </c>
      <c r="Q13" s="232" t="s">
        <v>149</v>
      </c>
      <c r="R13" s="166">
        <v>-26.1</v>
      </c>
      <c r="S13" s="165">
        <v>0</v>
      </c>
      <c r="T13" s="164">
        <f>SUM(S13,-R13)</f>
        <v>26.1</v>
      </c>
      <c r="U13" s="232" t="s">
        <v>149</v>
      </c>
      <c r="V13" s="166">
        <v>-26.1</v>
      </c>
      <c r="W13" s="165">
        <v>0</v>
      </c>
      <c r="X13" s="164">
        <f>SUM(W13,-V13)</f>
        <v>26.1</v>
      </c>
      <c r="Y13" s="285" t="s">
        <v>149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f t="shared" ref="H14:H20" si="5">SUM(G14,-F14)</f>
        <v>26.1</v>
      </c>
      <c r="I14" s="189" t="s">
        <v>149</v>
      </c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232"/>
      <c r="R14" s="166">
        <v>-26.1</v>
      </c>
      <c r="S14" s="165">
        <v>-26.1</v>
      </c>
      <c r="T14" s="164">
        <f t="shared" ref="T14:T20" si="8">SUM(S14,-R14)</f>
        <v>0</v>
      </c>
      <c r="U14" s="232"/>
      <c r="V14" s="166">
        <v>-26.1</v>
      </c>
      <c r="W14" s="165">
        <v>-26.1</v>
      </c>
      <c r="X14" s="164">
        <f t="shared" ref="X14:X20" si="9">SUM(W14,-V14)</f>
        <v>0</v>
      </c>
      <c r="Y14" s="285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232"/>
      <c r="J15" s="166">
        <v>-32.5</v>
      </c>
      <c r="K15" s="165">
        <v>-32.5</v>
      </c>
      <c r="L15" s="164">
        <f t="shared" si="6"/>
        <v>0</v>
      </c>
      <c r="M15" s="232"/>
      <c r="N15" s="166">
        <v>-32.5</v>
      </c>
      <c r="O15" s="165">
        <v>-32.5</v>
      </c>
      <c r="P15" s="164">
        <f t="shared" si="7"/>
        <v>0</v>
      </c>
      <c r="Q15" s="232"/>
      <c r="R15" s="166">
        <v>-32.5</v>
      </c>
      <c r="S15" s="165">
        <v>-32.5</v>
      </c>
      <c r="T15" s="164">
        <f t="shared" si="8"/>
        <v>0</v>
      </c>
      <c r="U15" s="232"/>
      <c r="V15" s="166">
        <v>-32.5</v>
      </c>
      <c r="W15" s="165">
        <v>-32.5</v>
      </c>
      <c r="X15" s="164">
        <f t="shared" si="9"/>
        <v>0</v>
      </c>
      <c r="Y15" s="285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232"/>
      <c r="J16" s="166">
        <v>-32.5</v>
      </c>
      <c r="K16" s="165">
        <v>-32.5</v>
      </c>
      <c r="L16" s="164">
        <f t="shared" si="6"/>
        <v>0</v>
      </c>
      <c r="M16" s="232"/>
      <c r="N16" s="166">
        <v>-32.5</v>
      </c>
      <c r="O16" s="165">
        <v>-32.5</v>
      </c>
      <c r="P16" s="164">
        <f t="shared" si="7"/>
        <v>0</v>
      </c>
      <c r="Q16" s="232"/>
      <c r="R16" s="166">
        <v>-32.5</v>
      </c>
      <c r="S16" s="165">
        <v>-32.5</v>
      </c>
      <c r="T16" s="164">
        <f t="shared" si="8"/>
        <v>0</v>
      </c>
      <c r="U16" s="232"/>
      <c r="V16" s="166">
        <v>-32.5</v>
      </c>
      <c r="W16" s="165">
        <v>-32.5</v>
      </c>
      <c r="X16" s="164">
        <f t="shared" si="9"/>
        <v>0</v>
      </c>
      <c r="Y16" s="285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12"/>
      <c r="J17" s="166">
        <v>-34</v>
      </c>
      <c r="K17" s="165">
        <v>-34</v>
      </c>
      <c r="L17" s="164">
        <f t="shared" si="6"/>
        <v>0</v>
      </c>
      <c r="M17" s="212"/>
      <c r="N17" s="166">
        <v>-34</v>
      </c>
      <c r="O17" s="165">
        <v>-34</v>
      </c>
      <c r="P17" s="164">
        <f t="shared" si="7"/>
        <v>0</v>
      </c>
      <c r="Q17" s="212"/>
      <c r="R17" s="166">
        <v>-34</v>
      </c>
      <c r="S17" s="165">
        <v>-34</v>
      </c>
      <c r="T17" s="164">
        <f t="shared" si="8"/>
        <v>0</v>
      </c>
      <c r="U17" s="212"/>
      <c r="V17" s="166">
        <v>-34</v>
      </c>
      <c r="W17" s="165">
        <v>-34</v>
      </c>
      <c r="X17" s="164">
        <f t="shared" si="9"/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189"/>
      <c r="N18" s="166">
        <v>-34</v>
      </c>
      <c r="O18" s="165">
        <v>-34</v>
      </c>
      <c r="P18" s="164">
        <f t="shared" si="7"/>
        <v>0</v>
      </c>
      <c r="Q18" s="189"/>
      <c r="R18" s="166">
        <v>-34</v>
      </c>
      <c r="S18" s="165">
        <v>-34</v>
      </c>
      <c r="T18" s="164">
        <f t="shared" si="8"/>
        <v>0</v>
      </c>
      <c r="U18" s="189"/>
      <c r="V18" s="166">
        <v>-34</v>
      </c>
      <c r="W18" s="165">
        <v>-34</v>
      </c>
      <c r="X18" s="164">
        <f t="shared" si="9"/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189"/>
      <c r="J19" s="166">
        <v>-34</v>
      </c>
      <c r="K19" s="165">
        <v>-34</v>
      </c>
      <c r="L19" s="164">
        <f t="shared" si="6"/>
        <v>0</v>
      </c>
      <c r="M19" s="189"/>
      <c r="N19" s="166">
        <v>-34</v>
      </c>
      <c r="O19" s="165">
        <v>-34</v>
      </c>
      <c r="P19" s="164">
        <f t="shared" si="7"/>
        <v>0</v>
      </c>
      <c r="Q19" s="189"/>
      <c r="R19" s="166">
        <v>-34</v>
      </c>
      <c r="S19" s="165">
        <v>-34</v>
      </c>
      <c r="T19" s="164">
        <f t="shared" si="8"/>
        <v>0</v>
      </c>
      <c r="U19" s="189"/>
      <c r="V19" s="166">
        <v>-34</v>
      </c>
      <c r="W19" s="165">
        <v>-34</v>
      </c>
      <c r="X19" s="164">
        <f t="shared" si="9"/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f t="shared" si="5"/>
        <v>0</v>
      </c>
      <c r="I20" s="189"/>
      <c r="J20" s="166">
        <v>-34</v>
      </c>
      <c r="K20" s="165">
        <v>-34</v>
      </c>
      <c r="L20" s="164">
        <f t="shared" si="6"/>
        <v>0</v>
      </c>
      <c r="M20" s="189"/>
      <c r="N20" s="166">
        <v>-34</v>
      </c>
      <c r="O20" s="165">
        <v>-34</v>
      </c>
      <c r="P20" s="164">
        <f t="shared" si="7"/>
        <v>0</v>
      </c>
      <c r="Q20" s="189"/>
      <c r="R20" s="166">
        <v>-34</v>
      </c>
      <c r="S20" s="165">
        <v>-34</v>
      </c>
      <c r="T20" s="164">
        <f t="shared" si="8"/>
        <v>0</v>
      </c>
      <c r="U20" s="189"/>
      <c r="V20" s="166">
        <v>-34</v>
      </c>
      <c r="W20" s="165">
        <v>-34</v>
      </c>
      <c r="X20" s="164">
        <f t="shared" si="9"/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f t="shared" ref="J21:L21" si="10">SUM(J13:J20)</f>
        <v>-253.2</v>
      </c>
      <c r="K21" s="187">
        <f t="shared" si="10"/>
        <v>-227.1</v>
      </c>
      <c r="L21" s="187">
        <f t="shared" si="10"/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268" t="s">
        <v>159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282"/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2:25" ht="16.5" thickBot="1">
      <c r="B25" s="281"/>
      <c r="C25" s="501"/>
      <c r="D25" s="447"/>
      <c r="E25" s="449"/>
      <c r="F25" s="209">
        <v>-5</v>
      </c>
      <c r="G25" s="208">
        <f>[4]翌日!V24/10</f>
        <v>-4.5</v>
      </c>
      <c r="H25" s="207">
        <f t="shared" ref="H25" si="11">SUM(G25,-F25)</f>
        <v>0.5</v>
      </c>
      <c r="I25" s="206" t="s">
        <v>150</v>
      </c>
      <c r="J25" s="209">
        <v>-5</v>
      </c>
      <c r="K25" s="208">
        <v>-4.5</v>
      </c>
      <c r="L25" s="207">
        <f t="shared" ref="L25" si="12">SUM(K25,-J25)</f>
        <v>0.5</v>
      </c>
      <c r="M25" s="206" t="s">
        <v>150</v>
      </c>
      <c r="N25" s="209">
        <v>-5</v>
      </c>
      <c r="O25" s="208">
        <v>-4.5</v>
      </c>
      <c r="P25" s="207">
        <f t="shared" ref="P25" si="13">SUM(O25,-N25)</f>
        <v>0.5</v>
      </c>
      <c r="Q25" s="206" t="s">
        <v>150</v>
      </c>
      <c r="R25" s="209">
        <v>-5</v>
      </c>
      <c r="S25" s="208">
        <v>-4.5</v>
      </c>
      <c r="T25" s="207">
        <f t="shared" ref="T25" si="14">SUM(S25,-R25)</f>
        <v>0.5</v>
      </c>
      <c r="U25" s="206" t="s">
        <v>150</v>
      </c>
      <c r="V25" s="209">
        <v>-5</v>
      </c>
      <c r="W25" s="208">
        <v>-4.5</v>
      </c>
      <c r="X25" s="207">
        <f t="shared" ref="X25" si="15">SUM(W25,-V25)</f>
        <v>0.5</v>
      </c>
      <c r="Y25" s="269" t="s">
        <v>150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282"/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6">SUM(G29,-F29)</f>
        <v>0</v>
      </c>
      <c r="I29" s="459"/>
      <c r="J29" s="200">
        <v>0</v>
      </c>
      <c r="K29" s="455">
        <v>0</v>
      </c>
      <c r="L29" s="457">
        <f t="shared" ref="L29" si="17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27.2</v>
      </c>
      <c r="G31" s="455">
        <v>27.2</v>
      </c>
      <c r="H31" s="457">
        <f t="shared" ref="H31" si="18">SUM(G31,-F31)</f>
        <v>0</v>
      </c>
      <c r="I31" s="459"/>
      <c r="J31" s="200">
        <v>27.2</v>
      </c>
      <c r="K31" s="455">
        <v>27.2</v>
      </c>
      <c r="L31" s="457">
        <f t="shared" ref="L31" si="19">SUM(K31,-J31)</f>
        <v>0</v>
      </c>
      <c r="M31" s="459"/>
      <c r="N31" s="200">
        <v>27.2</v>
      </c>
      <c r="O31" s="455">
        <v>27.2</v>
      </c>
      <c r="P31" s="457">
        <f t="shared" ref="P31" si="20">SUM(O31,-N31)</f>
        <v>0</v>
      </c>
      <c r="Q31" s="459"/>
      <c r="R31" s="200">
        <v>0</v>
      </c>
      <c r="S31" s="455">
        <v>0</v>
      </c>
      <c r="T31" s="457">
        <f t="shared" ref="T31" si="21">SUM(S31,-R31)</f>
        <v>0</v>
      </c>
      <c r="U31" s="459"/>
      <c r="V31" s="200">
        <v>0</v>
      </c>
      <c r="W31" s="455">
        <v>0</v>
      </c>
      <c r="X31" s="457">
        <f t="shared" ref="X31" si="22">SUM(W31,-V31)</f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</v>
      </c>
      <c r="S32" s="456">
        <v>0</v>
      </c>
      <c r="T32" s="458"/>
      <c r="U32" s="460"/>
      <c r="V32" s="202">
        <v>0</v>
      </c>
      <c r="W32" s="456">
        <v>0</v>
      </c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200">
        <v>21.6</v>
      </c>
      <c r="G33" s="199">
        <v>33.6</v>
      </c>
      <c r="H33" s="457">
        <f t="shared" ref="H33" si="23">SUM(G33,-F33)</f>
        <v>12</v>
      </c>
      <c r="I33" s="459" t="s">
        <v>154</v>
      </c>
      <c r="J33" s="200">
        <v>16</v>
      </c>
      <c r="K33" s="199">
        <v>29.4</v>
      </c>
      <c r="L33" s="457">
        <f t="shared" ref="L33" si="24">SUM(K33,-J33)</f>
        <v>13.399999999999999</v>
      </c>
      <c r="M33" s="459" t="s">
        <v>154</v>
      </c>
      <c r="N33" s="200">
        <v>23.9</v>
      </c>
      <c r="O33" s="199">
        <v>22.4</v>
      </c>
      <c r="P33" s="457">
        <f t="shared" ref="P33" si="25">SUM(O33,-N33)</f>
        <v>-1.5</v>
      </c>
      <c r="Q33" s="459" t="s">
        <v>146</v>
      </c>
      <c r="R33" s="200">
        <v>23.9</v>
      </c>
      <c r="S33" s="199">
        <v>20.2</v>
      </c>
      <c r="T33" s="457">
        <f t="shared" ref="T33" si="26">SUM(S33,-R33)</f>
        <v>-3.6999999999999993</v>
      </c>
      <c r="U33" s="459" t="s">
        <v>148</v>
      </c>
      <c r="V33" s="200">
        <v>23.9</v>
      </c>
      <c r="W33" s="199">
        <v>30.3</v>
      </c>
      <c r="X33" s="457">
        <f t="shared" ref="X33" si="27">SUM(W33,-V33)</f>
        <v>6.4000000000000021</v>
      </c>
      <c r="Y33" s="461" t="s">
        <v>148</v>
      </c>
    </row>
    <row r="34" spans="2:25" ht="16">
      <c r="B34" s="281"/>
      <c r="C34" s="506"/>
      <c r="D34" s="467"/>
      <c r="E34" s="463" t="s">
        <v>104</v>
      </c>
      <c r="F34" s="198">
        <v>0.18</v>
      </c>
      <c r="G34" s="197">
        <v>0.28999999999999998</v>
      </c>
      <c r="H34" s="458"/>
      <c r="I34" s="460"/>
      <c r="J34" s="198">
        <v>0.15</v>
      </c>
      <c r="K34" s="230">
        <v>28</v>
      </c>
      <c r="L34" s="458"/>
      <c r="M34" s="460"/>
      <c r="N34" s="198">
        <v>0.2</v>
      </c>
      <c r="O34" s="230">
        <v>18</v>
      </c>
      <c r="P34" s="458"/>
      <c r="Q34" s="460"/>
      <c r="R34" s="198">
        <v>0.2</v>
      </c>
      <c r="S34" s="230">
        <v>17</v>
      </c>
      <c r="T34" s="458"/>
      <c r="U34" s="460"/>
      <c r="V34" s="198">
        <v>0.2</v>
      </c>
      <c r="W34" s="230">
        <v>26</v>
      </c>
      <c r="X34" s="458"/>
      <c r="Y34" s="462"/>
    </row>
    <row r="35" spans="2:25" ht="13.5" customHeight="1">
      <c r="B35" s="281"/>
      <c r="C35" s="506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2:25" ht="16">
      <c r="B36" s="281"/>
      <c r="C36" s="506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2:25" ht="16">
      <c r="B37" s="281"/>
      <c r="C37" s="506"/>
      <c r="D37" s="467"/>
      <c r="E37" s="190" t="s">
        <v>103</v>
      </c>
      <c r="F37" s="166">
        <v>10</v>
      </c>
      <c r="G37" s="165">
        <v>0.5</v>
      </c>
      <c r="H37" s="164">
        <v>-8.8000000000000007</v>
      </c>
      <c r="I37" s="189" t="s">
        <v>147</v>
      </c>
      <c r="J37" s="166">
        <v>10</v>
      </c>
      <c r="K37" s="165">
        <v>0.49999999999999856</v>
      </c>
      <c r="L37" s="164">
        <f t="shared" ref="L37" si="28">SUM(K37,-J37)</f>
        <v>-9.5000000000000018</v>
      </c>
      <c r="M37" s="189" t="s">
        <v>147</v>
      </c>
      <c r="N37" s="166">
        <v>10</v>
      </c>
      <c r="O37" s="165">
        <v>0.49999999999999856</v>
      </c>
      <c r="P37" s="164">
        <f t="shared" ref="P37" si="29">SUM(O37,-N37)</f>
        <v>-9.5000000000000018</v>
      </c>
      <c r="Q37" s="189" t="s">
        <v>147</v>
      </c>
      <c r="R37" s="166">
        <v>10</v>
      </c>
      <c r="S37" s="165">
        <v>0.2</v>
      </c>
      <c r="T37" s="164">
        <f t="shared" ref="T37" si="30">SUM(S37,-R37)</f>
        <v>-9.8000000000000007</v>
      </c>
      <c r="U37" s="189" t="s">
        <v>147</v>
      </c>
      <c r="V37" s="166">
        <v>10</v>
      </c>
      <c r="W37" s="165">
        <v>1.9999999999999987</v>
      </c>
      <c r="X37" s="164">
        <f t="shared" ref="X37" si="31">SUM(W37,-V37)</f>
        <v>-8.0000000000000018</v>
      </c>
      <c r="Y37" s="26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129.79999999999998</v>
      </c>
      <c r="G38" s="187">
        <v>136.99999999999997</v>
      </c>
      <c r="H38" s="187">
        <v>7.1999999999999993</v>
      </c>
      <c r="I38" s="186"/>
      <c r="J38" s="188">
        <f t="shared" ref="J38" si="32">SUM(J29,J31,J33,J37)</f>
        <v>53.2</v>
      </c>
      <c r="K38" s="187">
        <f t="shared" ref="K38" si="33">SUM(K29:K33,K37)</f>
        <v>57.099999999999994</v>
      </c>
      <c r="L38" s="187">
        <f t="shared" ref="L38" si="34">SUM(L29:L34,L37)</f>
        <v>3.8999999999999968</v>
      </c>
      <c r="M38" s="186"/>
      <c r="N38" s="188">
        <f>SUM(N29,N31,N33,N37)</f>
        <v>61.099999999999994</v>
      </c>
      <c r="O38" s="187">
        <f>SUM(O29:O33,O37)</f>
        <v>50.099999999999994</v>
      </c>
      <c r="P38" s="187">
        <f>SUM(P29:P34,P37)</f>
        <v>-11.000000000000002</v>
      </c>
      <c r="Q38" s="186"/>
      <c r="R38" s="188">
        <f>SUM(R29,R31,R33,R37)</f>
        <v>33.9</v>
      </c>
      <c r="S38" s="187">
        <f>SUM(S29:S33,S37)</f>
        <v>20.399999999999999</v>
      </c>
      <c r="T38" s="187">
        <f>SUM(T29:T34,T37)</f>
        <v>-13.5</v>
      </c>
      <c r="U38" s="186"/>
      <c r="V38" s="188">
        <f>SUM(V29,V31,V33,V37)</f>
        <v>33.9</v>
      </c>
      <c r="W38" s="187">
        <f>SUM(W29:W33,W37)</f>
        <v>32.299999999999997</v>
      </c>
      <c r="X38" s="187">
        <f>SUM(X29:X34,X37)</f>
        <v>-1.5999999999999996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292"/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2:25" ht="16.5" customHeight="1">
      <c r="B42" s="281"/>
      <c r="C42" s="500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 t="shared" ref="L42" si="35">SUM(K42,-J42)</f>
        <v>0</v>
      </c>
      <c r="M42" s="459"/>
      <c r="N42" s="178">
        <v>27.2</v>
      </c>
      <c r="O42" s="478">
        <v>0</v>
      </c>
      <c r="P42" s="457">
        <f>SUM(O42,-N42)</f>
        <v>-27.2</v>
      </c>
      <c r="Q42" s="459" t="s">
        <v>151</v>
      </c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2:25" ht="16.5" thickBot="1">
      <c r="B43" s="281"/>
      <c r="C43" s="475"/>
      <c r="D43" s="475"/>
      <c r="E43" s="477"/>
      <c r="F43" s="183">
        <v>142.6</v>
      </c>
      <c r="G43" s="479"/>
      <c r="H43" s="509"/>
      <c r="I43" s="481"/>
      <c r="J43" s="183">
        <v>142.6</v>
      </c>
      <c r="K43" s="479"/>
      <c r="L43" s="480"/>
      <c r="M43" s="481"/>
      <c r="N43" s="183">
        <v>172.1</v>
      </c>
      <c r="O43" s="479"/>
      <c r="P43" s="480"/>
      <c r="Q43" s="481"/>
      <c r="R43" s="183">
        <v>135.9</v>
      </c>
      <c r="S43" s="479"/>
      <c r="T43" s="480"/>
      <c r="U43" s="481"/>
      <c r="V43" s="183">
        <v>135.9</v>
      </c>
      <c r="W43" s="510"/>
      <c r="X43" s="511"/>
      <c r="Y43" s="512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292"/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2:25" ht="16">
      <c r="B47" s="281"/>
      <c r="C47" s="500"/>
      <c r="D47" s="483"/>
      <c r="E47" s="488" t="s">
        <v>91</v>
      </c>
      <c r="F47" s="178">
        <v>33.357999999999997</v>
      </c>
      <c r="G47" s="478">
        <v>32.700000000000003</v>
      </c>
      <c r="H47" s="457">
        <f t="shared" ref="H47" si="36">SUM(G47,-F47)</f>
        <v>-0.65799999999999415</v>
      </c>
      <c r="I47" s="459" t="s">
        <v>146</v>
      </c>
      <c r="J47" s="178">
        <v>38.582999999999998</v>
      </c>
      <c r="K47" s="478">
        <v>40.4</v>
      </c>
      <c r="L47" s="457">
        <f t="shared" ref="L47" si="37">SUM(K47,-J47)</f>
        <v>1.8170000000000002</v>
      </c>
      <c r="M47" s="459" t="s">
        <v>149</v>
      </c>
      <c r="N47" s="178">
        <v>38.582999999999998</v>
      </c>
      <c r="O47" s="478">
        <v>38.299999999999997</v>
      </c>
      <c r="P47" s="457">
        <f>SUM(O47,-N47)</f>
        <v>-0.28300000000000125</v>
      </c>
      <c r="Q47" s="459" t="s">
        <v>146</v>
      </c>
      <c r="R47" s="178">
        <v>38.582999999999998</v>
      </c>
      <c r="S47" s="478">
        <v>35.1</v>
      </c>
      <c r="T47" s="457">
        <f>SUM(S47,-R47)</f>
        <v>-3.482999999999997</v>
      </c>
      <c r="U47" s="459" t="s">
        <v>146</v>
      </c>
      <c r="V47" s="178">
        <v>36.332999999999998</v>
      </c>
      <c r="W47" s="478">
        <v>35.1</v>
      </c>
      <c r="X47" s="457">
        <f>SUM(W47,-V47)</f>
        <v>-1.232999999999997</v>
      </c>
      <c r="Y47" s="461" t="s">
        <v>146</v>
      </c>
    </row>
    <row r="48" spans="2:25" ht="16.5" thickBot="1">
      <c r="B48" s="281"/>
      <c r="C48" s="447"/>
      <c r="D48" s="487"/>
      <c r="E48" s="489"/>
      <c r="F48" s="177">
        <v>0.60507890440776346</v>
      </c>
      <c r="G48" s="479"/>
      <c r="H48" s="480"/>
      <c r="I48" s="481"/>
      <c r="J48" s="177">
        <v>0.58168249660786975</v>
      </c>
      <c r="K48" s="479"/>
      <c r="L48" s="480"/>
      <c r="M48" s="481"/>
      <c r="N48" s="177">
        <v>0.58168249660786975</v>
      </c>
      <c r="O48" s="479"/>
      <c r="P48" s="480"/>
      <c r="Q48" s="481"/>
      <c r="R48" s="177">
        <v>0.58168249660786975</v>
      </c>
      <c r="S48" s="479"/>
      <c r="T48" s="480"/>
      <c r="U48" s="481"/>
      <c r="V48" s="177">
        <v>0.58762736535662297</v>
      </c>
      <c r="W48" s="510"/>
      <c r="X48" s="511"/>
      <c r="Y48" s="512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292"/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 t="shared" ref="L52" si="38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28</v>
      </c>
      <c r="H53" s="223" t="s">
        <v>81</v>
      </c>
      <c r="I53" s="222" t="s">
        <v>213</v>
      </c>
      <c r="J53" s="225">
        <v>0</v>
      </c>
      <c r="K53" s="229">
        <v>28</v>
      </c>
      <c r="L53" s="223" t="s">
        <v>159</v>
      </c>
      <c r="M53" s="222" t="s">
        <v>213</v>
      </c>
      <c r="N53" s="225">
        <v>0</v>
      </c>
      <c r="O53" s="229">
        <v>29</v>
      </c>
      <c r="P53" s="223" t="s">
        <v>159</v>
      </c>
      <c r="Q53" s="222" t="s">
        <v>213</v>
      </c>
      <c r="R53" s="225">
        <v>0</v>
      </c>
      <c r="S53" s="229">
        <v>27.6</v>
      </c>
      <c r="T53" s="223" t="s">
        <v>159</v>
      </c>
      <c r="U53" s="222" t="s">
        <v>213</v>
      </c>
      <c r="V53" s="225">
        <v>0</v>
      </c>
      <c r="W53" s="229">
        <v>28.1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7">
    <mergeCell ref="C50:E50"/>
    <mergeCell ref="F50:I50"/>
    <mergeCell ref="J50:M50"/>
    <mergeCell ref="N50:Q50"/>
    <mergeCell ref="R50:U50"/>
    <mergeCell ref="C51:D53"/>
    <mergeCell ref="S47:S48"/>
    <mergeCell ref="T47:T48"/>
    <mergeCell ref="U47:U48"/>
    <mergeCell ref="W47:W48"/>
    <mergeCell ref="X47:X48"/>
    <mergeCell ref="Y47:Y48"/>
    <mergeCell ref="K47:K48"/>
    <mergeCell ref="L47:L48"/>
    <mergeCell ref="M47:M48"/>
    <mergeCell ref="O47:O48"/>
    <mergeCell ref="P47:P48"/>
    <mergeCell ref="Q47:Q48"/>
    <mergeCell ref="C45:E45"/>
    <mergeCell ref="F45:I45"/>
    <mergeCell ref="J45:M45"/>
    <mergeCell ref="N45:Q45"/>
    <mergeCell ref="R45:U45"/>
    <mergeCell ref="C46:D48"/>
    <mergeCell ref="E47:E48"/>
    <mergeCell ref="G47:G48"/>
    <mergeCell ref="H47:H48"/>
    <mergeCell ref="I47:I48"/>
    <mergeCell ref="W42:W43"/>
    <mergeCell ref="X42:X43"/>
    <mergeCell ref="Y42:Y43"/>
    <mergeCell ref="K42:K43"/>
    <mergeCell ref="L42:L43"/>
    <mergeCell ref="M42:M43"/>
    <mergeCell ref="O42:O43"/>
    <mergeCell ref="P42:P43"/>
    <mergeCell ref="Q42:Q43"/>
    <mergeCell ref="E31:E32"/>
    <mergeCell ref="G31:G32"/>
    <mergeCell ref="C40:E40"/>
    <mergeCell ref="F40:I40"/>
    <mergeCell ref="J40:M40"/>
    <mergeCell ref="N40:Q40"/>
    <mergeCell ref="R40:U40"/>
    <mergeCell ref="C41:D43"/>
    <mergeCell ref="E42:E43"/>
    <mergeCell ref="G42:G43"/>
    <mergeCell ref="H42:H43"/>
    <mergeCell ref="I42:I43"/>
    <mergeCell ref="S42:S43"/>
    <mergeCell ref="T42:T43"/>
    <mergeCell ref="U42:U43"/>
    <mergeCell ref="U29:U30"/>
    <mergeCell ref="W29:W30"/>
    <mergeCell ref="T33:T34"/>
    <mergeCell ref="U33:U34"/>
    <mergeCell ref="X33:X34"/>
    <mergeCell ref="Y33:Y34"/>
    <mergeCell ref="E34:E36"/>
    <mergeCell ref="D38:E38"/>
    <mergeCell ref="U31:U32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M31:M32"/>
    <mergeCell ref="O31:O32"/>
    <mergeCell ref="P31:P32"/>
    <mergeCell ref="Q31:Q32"/>
    <mergeCell ref="S31:S32"/>
    <mergeCell ref="T31:T32"/>
    <mergeCell ref="X29:X30"/>
    <mergeCell ref="I29:I30"/>
    <mergeCell ref="K29:K30"/>
    <mergeCell ref="L29:L30"/>
    <mergeCell ref="M29:M30"/>
    <mergeCell ref="O29:O30"/>
    <mergeCell ref="P29:P30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H31:H32"/>
    <mergeCell ref="I31:I32"/>
    <mergeCell ref="K31:K32"/>
    <mergeCell ref="L31:L32"/>
    <mergeCell ref="Q29:Q30"/>
    <mergeCell ref="S29:S30"/>
    <mergeCell ref="T29:T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B9E3-7E69-4E52-8397-B37CB1B2FEFC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45634</v>
      </c>
      <c r="G3" s="26" t="s">
        <v>48</v>
      </c>
      <c r="H3" s="25">
        <v>45638</v>
      </c>
      <c r="I3" s="26" t="s">
        <v>48</v>
      </c>
      <c r="J3" s="25">
        <v>45640</v>
      </c>
      <c r="K3" s="26" t="s">
        <v>48</v>
      </c>
      <c r="L3" s="25">
        <v>45648</v>
      </c>
      <c r="M3" s="26" t="s">
        <v>48</v>
      </c>
      <c r="N3" s="25">
        <v>45657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104.9</v>
      </c>
      <c r="G5" s="384" t="s">
        <v>45</v>
      </c>
      <c r="H5" s="9">
        <v>158.69999999999999</v>
      </c>
      <c r="I5" s="384" t="s">
        <v>45</v>
      </c>
      <c r="J5" s="9">
        <v>114.9</v>
      </c>
      <c r="K5" s="384" t="s">
        <v>45</v>
      </c>
      <c r="L5" s="9">
        <v>106.5</v>
      </c>
      <c r="M5" s="384" t="s">
        <v>45</v>
      </c>
      <c r="N5" s="9">
        <v>82.6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134</v>
      </c>
      <c r="G6" s="385"/>
      <c r="H6" s="10">
        <v>158.80000000000001</v>
      </c>
      <c r="I6" s="385"/>
      <c r="J6" s="10">
        <v>126.6</v>
      </c>
      <c r="K6" s="385"/>
      <c r="L6" s="10">
        <v>128.69999999999999</v>
      </c>
      <c r="M6" s="385"/>
      <c r="N6" s="10">
        <v>117.7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413.4</v>
      </c>
      <c r="G7" s="385"/>
      <c r="H7" s="28">
        <v>414</v>
      </c>
      <c r="I7" s="385"/>
      <c r="J7" s="28">
        <v>414</v>
      </c>
      <c r="K7" s="385"/>
      <c r="L7" s="28">
        <v>414.4</v>
      </c>
      <c r="M7" s="385"/>
      <c r="N7" s="28">
        <v>414.5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20.6</v>
      </c>
      <c r="G8" s="385"/>
      <c r="H8" s="29">
        <v>20.5</v>
      </c>
      <c r="I8" s="385"/>
      <c r="J8" s="29">
        <v>20.600000000000033</v>
      </c>
      <c r="K8" s="385"/>
      <c r="L8" s="29">
        <v>17.8</v>
      </c>
      <c r="M8" s="385"/>
      <c r="N8" s="29">
        <v>17.700000000000092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15.8</v>
      </c>
      <c r="G9" s="385"/>
      <c r="H9" s="30">
        <v>15.8</v>
      </c>
      <c r="I9" s="385"/>
      <c r="J9" s="30">
        <v>15.9</v>
      </c>
      <c r="K9" s="385"/>
      <c r="L9" s="30">
        <v>16.3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37.5</v>
      </c>
      <c r="G10" s="385"/>
      <c r="H10" s="11">
        <v>33.5</v>
      </c>
      <c r="I10" s="385"/>
      <c r="J10" s="11">
        <v>40.200000000000003</v>
      </c>
      <c r="K10" s="385"/>
      <c r="L10" s="11">
        <v>40.5</v>
      </c>
      <c r="M10" s="385"/>
      <c r="N10" s="11">
        <v>38.799999999999997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26.7</v>
      </c>
      <c r="G11" s="385"/>
      <c r="H11" s="12">
        <v>25.2</v>
      </c>
      <c r="I11" s="385"/>
      <c r="J11" s="12">
        <v>26</v>
      </c>
      <c r="K11" s="385"/>
      <c r="L11" s="12">
        <v>28.5</v>
      </c>
      <c r="M11" s="385"/>
      <c r="N11" s="12">
        <v>28.5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689.9</v>
      </c>
      <c r="G12" s="385"/>
      <c r="H12" s="13">
        <v>651.4</v>
      </c>
      <c r="I12" s="385"/>
      <c r="J12" s="13">
        <v>690.3</v>
      </c>
      <c r="K12" s="385"/>
      <c r="L12" s="13">
        <v>680.1</v>
      </c>
      <c r="M12" s="385"/>
      <c r="N12" s="13">
        <v>708</v>
      </c>
      <c r="O12" s="385"/>
    </row>
    <row r="13" spans="2:15" ht="16">
      <c r="B13" s="376"/>
      <c r="C13" s="379"/>
      <c r="D13" s="388"/>
      <c r="E13" s="45" t="s">
        <v>27</v>
      </c>
      <c r="F13" s="13">
        <v>22.9</v>
      </c>
      <c r="G13" s="385"/>
      <c r="H13" s="13">
        <v>9.1999999999999993</v>
      </c>
      <c r="I13" s="385"/>
      <c r="J13" s="13">
        <v>25.7</v>
      </c>
      <c r="K13" s="385"/>
      <c r="L13" s="13">
        <v>28.6</v>
      </c>
      <c r="M13" s="385"/>
      <c r="N13" s="13">
        <v>27.2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200</v>
      </c>
      <c r="G14" s="385"/>
      <c r="H14" s="14">
        <v>200</v>
      </c>
      <c r="I14" s="385"/>
      <c r="J14" s="14">
        <v>200</v>
      </c>
      <c r="K14" s="385"/>
      <c r="L14" s="14">
        <v>200</v>
      </c>
      <c r="M14" s="385"/>
      <c r="N14" s="14">
        <v>233.8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1665.7</v>
      </c>
      <c r="G15" s="385"/>
      <c r="H15" s="15">
        <v>1687.1000000000001</v>
      </c>
      <c r="I15" s="385"/>
      <c r="J15" s="15">
        <v>1674.2</v>
      </c>
      <c r="K15" s="385"/>
      <c r="L15" s="15">
        <v>1661.3999999999996</v>
      </c>
      <c r="M15" s="385"/>
      <c r="N15" s="15">
        <v>1685.1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875</v>
      </c>
      <c r="G16" s="385"/>
      <c r="H16" s="8">
        <v>1025</v>
      </c>
      <c r="I16" s="385"/>
      <c r="J16" s="8">
        <v>955</v>
      </c>
      <c r="K16" s="385"/>
      <c r="L16" s="8">
        <v>955</v>
      </c>
      <c r="M16" s="385"/>
      <c r="N16" s="8">
        <v>775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-4.9000000000000004</v>
      </c>
      <c r="G18" s="385"/>
      <c r="H18" s="17">
        <v>-4.9000000000000004</v>
      </c>
      <c r="I18" s="385"/>
      <c r="J18" s="17">
        <v>-4.9000000000000004</v>
      </c>
      <c r="K18" s="385"/>
      <c r="L18" s="17">
        <v>-4.9000000000000004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-204</v>
      </c>
      <c r="G19" s="385"/>
      <c r="H19" s="18">
        <v>-241.7</v>
      </c>
      <c r="I19" s="385"/>
      <c r="J19" s="18">
        <v>-204</v>
      </c>
      <c r="K19" s="385"/>
      <c r="L19" s="18">
        <v>-204</v>
      </c>
      <c r="M19" s="385"/>
      <c r="N19" s="18">
        <v>-194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1311</v>
      </c>
      <c r="G21" s="386"/>
      <c r="H21" s="27">
        <v>1498.7</v>
      </c>
      <c r="I21" s="386"/>
      <c r="J21" s="27">
        <v>1391</v>
      </c>
      <c r="K21" s="386"/>
      <c r="L21" s="27">
        <v>1391</v>
      </c>
      <c r="M21" s="386"/>
      <c r="N21" s="27">
        <v>1201.0999999999999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1665.7</v>
      </c>
      <c r="G23" s="400"/>
      <c r="H23" s="20">
        <v>1687.1000000000001</v>
      </c>
      <c r="I23" s="400"/>
      <c r="J23" s="20">
        <v>1674.2</v>
      </c>
      <c r="K23" s="400"/>
      <c r="L23" s="20">
        <v>1661.3999999999996</v>
      </c>
      <c r="M23" s="400"/>
      <c r="N23" s="20">
        <v>1685.1</v>
      </c>
      <c r="O23" s="400"/>
    </row>
    <row r="24" spans="2:15" ht="16">
      <c r="B24" s="409"/>
      <c r="C24" s="403" t="s">
        <v>37</v>
      </c>
      <c r="D24" s="404"/>
      <c r="E24" s="405"/>
      <c r="F24" s="21">
        <v>1311</v>
      </c>
      <c r="G24" s="401"/>
      <c r="H24" s="21">
        <v>1498.7</v>
      </c>
      <c r="I24" s="401"/>
      <c r="J24" s="21">
        <v>1391</v>
      </c>
      <c r="K24" s="401"/>
      <c r="L24" s="21">
        <v>1391</v>
      </c>
      <c r="M24" s="401"/>
      <c r="N24" s="21">
        <v>1201.0999999999999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354.70000000000005</v>
      </c>
      <c r="G25" s="402"/>
      <c r="H25" s="67">
        <v>188.40000000000009</v>
      </c>
      <c r="I25" s="402"/>
      <c r="J25" s="67">
        <v>283.20000000000005</v>
      </c>
      <c r="K25" s="402"/>
      <c r="L25" s="67">
        <v>270.39999999999964</v>
      </c>
      <c r="M25" s="402"/>
      <c r="N25" s="67">
        <v>484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65F7-8080-4A45-8AD2-8FD052FDF94D}">
  <sheetPr>
    <pageSetUpPr fitToPage="1"/>
  </sheetPr>
  <dimension ref="A1:Y57"/>
  <sheetViews>
    <sheetView showGridLines="0" view="pageBreakPreview" zoomScale="55" zoomScaleNormal="70" zoomScaleSheetLayoutView="55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45627</v>
      </c>
      <c r="G3" s="418"/>
      <c r="H3" s="418"/>
      <c r="I3" s="419"/>
      <c r="J3" s="417">
        <v>45628</v>
      </c>
      <c r="K3" s="418"/>
      <c r="L3" s="418"/>
      <c r="M3" s="419"/>
      <c r="N3" s="417">
        <v>45629</v>
      </c>
      <c r="O3" s="418"/>
      <c r="P3" s="418"/>
      <c r="Q3" s="419"/>
      <c r="R3" s="417">
        <v>45630</v>
      </c>
      <c r="S3" s="418"/>
      <c r="T3" s="418"/>
      <c r="U3" s="419"/>
      <c r="V3" s="417">
        <v>45633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20.3</v>
      </c>
      <c r="H5" s="164">
        <f>SUM(G5,-F5)</f>
        <v>-12.400000000000002</v>
      </c>
      <c r="I5" s="219" t="s">
        <v>145</v>
      </c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V5" s="166">
        <v>32.700000000000003</v>
      </c>
      <c r="W5" s="165">
        <v>32.700000000000003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8.8000000000000007</v>
      </c>
      <c r="K6" s="165">
        <v>8.8000000000000007</v>
      </c>
      <c r="L6" s="164">
        <f>SUM(K6,-J6)</f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53.2</v>
      </c>
      <c r="G8" s="216">
        <v>53.2</v>
      </c>
      <c r="H8" s="215">
        <f>SUM(G8,-F8)</f>
        <v>0</v>
      </c>
      <c r="I8" s="214"/>
      <c r="J8" s="217">
        <v>55.300000000000004</v>
      </c>
      <c r="K8" s="216">
        <v>55.300000000000004</v>
      </c>
      <c r="L8" s="215">
        <f>SUM(K8,-J8)</f>
        <v>0</v>
      </c>
      <c r="M8" s="214"/>
      <c r="N8" s="217">
        <v>55.300000000000004</v>
      </c>
      <c r="O8" s="216">
        <v>60.4</v>
      </c>
      <c r="P8" s="215">
        <f>SUM(O8,-N8)</f>
        <v>5.0999999999999943</v>
      </c>
      <c r="Q8" s="189" t="s">
        <v>149</v>
      </c>
      <c r="R8" s="217">
        <v>56.7</v>
      </c>
      <c r="S8" s="216">
        <v>67.2</v>
      </c>
      <c r="T8" s="215">
        <f>SUM(S8,-R8)</f>
        <v>10.5</v>
      </c>
      <c r="U8" s="189" t="s">
        <v>149</v>
      </c>
      <c r="V8" s="217">
        <v>55.300000000000004</v>
      </c>
      <c r="W8" s="216">
        <v>55.300000000000004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103.4</v>
      </c>
      <c r="G9" s="187">
        <f>SUM(G5:G8)</f>
        <v>91</v>
      </c>
      <c r="H9" s="187">
        <f>SUM(H5:H8)</f>
        <v>-12.400000000000002</v>
      </c>
      <c r="I9" s="213" t="s">
        <v>159</v>
      </c>
      <c r="J9" s="188">
        <f>SUM(J5:J8)</f>
        <v>96.800000000000011</v>
      </c>
      <c r="K9" s="187">
        <f>SUM(K5:K8)</f>
        <v>96.800000000000011</v>
      </c>
      <c r="L9" s="187">
        <f>SUM(L5:L8)</f>
        <v>0</v>
      </c>
      <c r="M9" s="213" t="s">
        <v>159</v>
      </c>
      <c r="N9" s="188">
        <f>SUM(N5:N8)</f>
        <v>96.800000000000011</v>
      </c>
      <c r="O9" s="187">
        <f>SUM(O5:O8)</f>
        <v>101.9</v>
      </c>
      <c r="P9" s="187">
        <f>SUM(P5:P8)</f>
        <v>5.0999999999999943</v>
      </c>
      <c r="Q9" s="213" t="s">
        <v>159</v>
      </c>
      <c r="R9" s="188">
        <f>SUM(R5:R8)</f>
        <v>106.9</v>
      </c>
      <c r="S9" s="187">
        <f>SUM(S5:S8)</f>
        <v>117.4</v>
      </c>
      <c r="T9" s="187">
        <f>SUM(T5:T8)</f>
        <v>10.5</v>
      </c>
      <c r="U9" s="213" t="s">
        <v>159</v>
      </c>
      <c r="V9" s="188">
        <f>SUM(V5:V8)</f>
        <v>105.5</v>
      </c>
      <c r="W9" s="187">
        <f>SUM(W5:W8)</f>
        <v>105.5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0</v>
      </c>
      <c r="T19" s="164">
        <f t="shared" si="3"/>
        <v>34</v>
      </c>
      <c r="U19" s="189" t="s">
        <v>145</v>
      </c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0</v>
      </c>
      <c r="T20" s="164">
        <f t="shared" si="3"/>
        <v>34</v>
      </c>
      <c r="U20" s="189" t="s">
        <v>145</v>
      </c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-159.1</v>
      </c>
      <c r="T21" s="187">
        <f>SUM(T13:T20)</f>
        <v>94.1</v>
      </c>
      <c r="U21" s="186" t="s">
        <v>159</v>
      </c>
      <c r="V21" s="188"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-4.2</v>
      </c>
      <c r="H25" s="207">
        <f>SUM(G25,-F25)</f>
        <v>0.79999999999999982</v>
      </c>
      <c r="I25" s="206" t="s">
        <v>150</v>
      </c>
      <c r="J25" s="209">
        <v>-5</v>
      </c>
      <c r="K25" s="208">
        <v>-4.2</v>
      </c>
      <c r="L25" s="207">
        <f>SUM(K25,-J25)</f>
        <v>0.79999999999999982</v>
      </c>
      <c r="M25" s="206" t="s">
        <v>150</v>
      </c>
      <c r="N25" s="209">
        <v>-5</v>
      </c>
      <c r="O25" s="208">
        <v>-4.4000000000000004</v>
      </c>
      <c r="P25" s="207">
        <f>SUM(O25,-N25)</f>
        <v>0.59999999999999964</v>
      </c>
      <c r="Q25" s="206" t="s">
        <v>150</v>
      </c>
      <c r="R25" s="209">
        <v>-5</v>
      </c>
      <c r="S25" s="208">
        <v>-4.2</v>
      </c>
      <c r="T25" s="207">
        <f>SUM(S25,-R25)</f>
        <v>0.79999999999999982</v>
      </c>
      <c r="U25" s="206" t="s">
        <v>150</v>
      </c>
      <c r="V25" s="209">
        <v>-5</v>
      </c>
      <c r="W25" s="208">
        <v>-4.2</v>
      </c>
      <c r="X25" s="207">
        <f>SUM(W25,-V25)</f>
        <v>0.79999999999999982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21.2</v>
      </c>
      <c r="H29" s="457">
        <f>SUM(G29,-F29)</f>
        <v>-0.69999999999999929</v>
      </c>
      <c r="I29" s="459" t="s">
        <v>145</v>
      </c>
      <c r="J29" s="200">
        <v>43.8</v>
      </c>
      <c r="K29" s="455">
        <v>22.1</v>
      </c>
      <c r="L29" s="457">
        <f>SUM(K29,-J29)</f>
        <v>-21.699999999999996</v>
      </c>
      <c r="M29" s="459" t="s">
        <v>145</v>
      </c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62</v>
      </c>
      <c r="L31" s="457">
        <f>SUM(K31,-J31)</f>
        <v>7.6000000000000014</v>
      </c>
      <c r="M31" s="459" t="s">
        <v>151</v>
      </c>
      <c r="N31" s="200">
        <v>54.4</v>
      </c>
      <c r="O31" s="455">
        <v>57.8</v>
      </c>
      <c r="P31" s="457">
        <f>SUM(O31,-N31)</f>
        <v>3.3999999999999986</v>
      </c>
      <c r="Q31" s="459" t="s">
        <v>183</v>
      </c>
      <c r="R31" s="200">
        <v>54.4</v>
      </c>
      <c r="S31" s="455">
        <v>58.2</v>
      </c>
      <c r="T31" s="457">
        <f>SUM(S31,-R31)</f>
        <v>3.8000000000000043</v>
      </c>
      <c r="U31" s="459" t="s">
        <v>183</v>
      </c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27.4</v>
      </c>
      <c r="H33" s="457">
        <f>SUM(G33,-F33)</f>
        <v>5.7999999999999972</v>
      </c>
      <c r="I33" s="459" t="s">
        <v>148</v>
      </c>
      <c r="J33" s="200">
        <v>25.5</v>
      </c>
      <c r="K33" s="199">
        <v>30.5</v>
      </c>
      <c r="L33" s="457">
        <f>SUM(K33,-J33)</f>
        <v>5</v>
      </c>
      <c r="M33" s="459" t="s">
        <v>184</v>
      </c>
      <c r="N33" s="200">
        <v>25.5</v>
      </c>
      <c r="O33" s="199">
        <v>30.7</v>
      </c>
      <c r="P33" s="457">
        <f>SUM(O33,-N33)</f>
        <v>5.1999999999999993</v>
      </c>
      <c r="Q33" s="459" t="s">
        <v>184</v>
      </c>
      <c r="R33" s="200">
        <v>25.5</v>
      </c>
      <c r="S33" s="199">
        <v>30.7</v>
      </c>
      <c r="T33" s="457">
        <f>SUM(S33,-R33)</f>
        <v>5.1999999999999993</v>
      </c>
      <c r="U33" s="459" t="s">
        <v>184</v>
      </c>
      <c r="V33" s="200">
        <v>21.6</v>
      </c>
      <c r="W33" s="199">
        <v>36.6</v>
      </c>
      <c r="X33" s="457">
        <f>SUM(W33,-V33)</f>
        <v>15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0.18</v>
      </c>
      <c r="G34" s="230">
        <v>23</v>
      </c>
      <c r="H34" s="458"/>
      <c r="I34" s="460"/>
      <c r="J34" s="198">
        <v>0.19</v>
      </c>
      <c r="K34" s="230">
        <v>23</v>
      </c>
      <c r="L34" s="458"/>
      <c r="M34" s="460"/>
      <c r="N34" s="198">
        <v>0.19</v>
      </c>
      <c r="O34" s="230">
        <v>23</v>
      </c>
      <c r="P34" s="458"/>
      <c r="Q34" s="460"/>
      <c r="R34" s="198">
        <v>0.19</v>
      </c>
      <c r="S34" s="230">
        <v>23</v>
      </c>
      <c r="T34" s="458"/>
      <c r="U34" s="460"/>
      <c r="V34" s="198">
        <v>0.18</v>
      </c>
      <c r="W34" s="230">
        <v>31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0.1</v>
      </c>
      <c r="H37" s="164">
        <f>SUM(G37,-F37)</f>
        <v>-9.9</v>
      </c>
      <c r="I37" s="189" t="s">
        <v>147</v>
      </c>
      <c r="J37" s="166">
        <v>10</v>
      </c>
      <c r="K37" s="165">
        <v>0.1</v>
      </c>
      <c r="L37" s="164">
        <f>SUM(K37,-J37)</f>
        <v>-9.9</v>
      </c>
      <c r="M37" s="189" t="s">
        <v>147</v>
      </c>
      <c r="N37" s="166">
        <v>10</v>
      </c>
      <c r="O37" s="165">
        <v>0.4</v>
      </c>
      <c r="P37" s="164">
        <f>SUM(O37,-N37)</f>
        <v>-9.6</v>
      </c>
      <c r="Q37" s="189" t="s">
        <v>147</v>
      </c>
      <c r="R37" s="166">
        <v>10</v>
      </c>
      <c r="S37" s="165">
        <v>0.4</v>
      </c>
      <c r="T37" s="164">
        <f>SUM(S37,-R37)</f>
        <v>-9.6</v>
      </c>
      <c r="U37" s="189" t="s">
        <v>170</v>
      </c>
      <c r="V37" s="166">
        <v>10</v>
      </c>
      <c r="W37" s="165">
        <v>0.6</v>
      </c>
      <c r="X37" s="164">
        <f>SUM(W37,-V37)</f>
        <v>-9.4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107.9</v>
      </c>
      <c r="G38" s="187">
        <f>SUM(G29:G33,G37)</f>
        <v>103.1</v>
      </c>
      <c r="H38" s="187">
        <f>SUM(H29:H34,H37)</f>
        <v>-4.8000000000000025</v>
      </c>
      <c r="I38" s="186"/>
      <c r="J38" s="188">
        <f>SUM(J29,J31,J33,J37)</f>
        <v>133.69999999999999</v>
      </c>
      <c r="K38" s="187">
        <f>SUM(K29:K33,K37)</f>
        <v>114.69999999999999</v>
      </c>
      <c r="L38" s="187">
        <f>SUM(L29:L34,L37)</f>
        <v>-18.999999999999993</v>
      </c>
      <c r="M38" s="186"/>
      <c r="N38" s="188">
        <f>SUM(N29,N31,N33,N37)</f>
        <v>133.69999999999999</v>
      </c>
      <c r="O38" s="187">
        <f>SUM(O29:O33,O37)</f>
        <v>132.69999999999999</v>
      </c>
      <c r="P38" s="187">
        <f>SUM(P29:P34,P37)</f>
        <v>-1.0000000000000018</v>
      </c>
      <c r="Q38" s="186"/>
      <c r="R38" s="188">
        <f>SUM(R29,R31,R33,R37)</f>
        <v>133.69999999999999</v>
      </c>
      <c r="S38" s="187">
        <f>SUM(S29:S33,S37)</f>
        <v>133.1</v>
      </c>
      <c r="T38" s="187">
        <f>SUM(T29:T34,T37)</f>
        <v>-0.59999999999999609</v>
      </c>
      <c r="U38" s="186"/>
      <c r="V38" s="188">
        <f>SUM(V29,V31,V33,V37)</f>
        <v>129.79999999999998</v>
      </c>
      <c r="W38" s="187">
        <f>SUM(W29:W33,W37)</f>
        <v>135.39999999999998</v>
      </c>
      <c r="X38" s="187">
        <f>SUM(X29:X34,X37)</f>
        <v>5.6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112</v>
      </c>
      <c r="G42" s="478">
        <v>8.5</v>
      </c>
      <c r="H42" s="457">
        <f>SUM(G42,-F42)</f>
        <v>-103.5</v>
      </c>
      <c r="I42" s="459" t="s">
        <v>151</v>
      </c>
      <c r="J42" s="178">
        <v>6.1</v>
      </c>
      <c r="K42" s="478">
        <v>3.6</v>
      </c>
      <c r="L42" s="457">
        <f>SUM(K42,-J42)</f>
        <v>-2.4999999999999996</v>
      </c>
      <c r="M42" s="459" t="s">
        <v>183</v>
      </c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207</v>
      </c>
      <c r="G43" s="479"/>
      <c r="H43" s="480"/>
      <c r="I43" s="481"/>
      <c r="J43" s="183">
        <v>233.2</v>
      </c>
      <c r="K43" s="479"/>
      <c r="L43" s="480"/>
      <c r="M43" s="481"/>
      <c r="N43" s="183">
        <v>250.7</v>
      </c>
      <c r="O43" s="479"/>
      <c r="P43" s="480"/>
      <c r="Q43" s="481"/>
      <c r="R43" s="183">
        <v>251</v>
      </c>
      <c r="S43" s="479"/>
      <c r="T43" s="480"/>
      <c r="U43" s="481"/>
      <c r="V43" s="183">
        <v>204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39.388500000000001</v>
      </c>
      <c r="G47" s="478">
        <v>42</v>
      </c>
      <c r="H47" s="457">
        <f>SUM(G47,-F47)</f>
        <v>2.6114999999999995</v>
      </c>
      <c r="I47" s="459" t="s">
        <v>149</v>
      </c>
      <c r="J47" s="178">
        <v>39.388500000000001</v>
      </c>
      <c r="K47" s="478">
        <v>45</v>
      </c>
      <c r="L47" s="457">
        <f>SUM(K47,-J47)</f>
        <v>5.6114999999999995</v>
      </c>
      <c r="M47" s="459" t="s">
        <v>149</v>
      </c>
      <c r="N47" s="178">
        <v>34.163499999999999</v>
      </c>
      <c r="O47" s="478">
        <v>34.1</v>
      </c>
      <c r="P47" s="457">
        <f>SUM(O47,-N47)</f>
        <v>-6.3499999999997669E-2</v>
      </c>
      <c r="Q47" s="459" t="s">
        <v>181</v>
      </c>
      <c r="R47" s="178">
        <v>39.388500000000001</v>
      </c>
      <c r="S47" s="478">
        <v>39.799999999999997</v>
      </c>
      <c r="T47" s="457">
        <f>SUM(S47,-R47)</f>
        <v>0.41149999999999665</v>
      </c>
      <c r="U47" s="459" t="s">
        <v>181</v>
      </c>
      <c r="V47" s="178">
        <v>34.988500000000002</v>
      </c>
      <c r="W47" s="478">
        <v>39.200000000000003</v>
      </c>
      <c r="X47" s="457">
        <f>SUM(W47,-V47)</f>
        <v>4.2115000000000009</v>
      </c>
      <c r="Y47" s="459" t="s">
        <v>149</v>
      </c>
    </row>
    <row r="48" spans="3:25" ht="16.5" thickBot="1">
      <c r="C48" s="486"/>
      <c r="D48" s="487"/>
      <c r="E48" s="489"/>
      <c r="F48" s="177">
        <v>0.60057177708317444</v>
      </c>
      <c r="G48" s="479"/>
      <c r="H48" s="480"/>
      <c r="I48" s="481"/>
      <c r="J48" s="177">
        <v>0.60057177708317444</v>
      </c>
      <c r="K48" s="479"/>
      <c r="L48" s="480"/>
      <c r="M48" s="481"/>
      <c r="N48" s="177">
        <v>0.62817872575158584</v>
      </c>
      <c r="O48" s="479"/>
      <c r="P48" s="480"/>
      <c r="Q48" s="481"/>
      <c r="R48" s="177">
        <v>0.60057177708317444</v>
      </c>
      <c r="S48" s="479"/>
      <c r="T48" s="480"/>
      <c r="U48" s="481"/>
      <c r="V48" s="177">
        <v>0.59519435230075701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27.7</v>
      </c>
      <c r="H53" s="223" t="s">
        <v>159</v>
      </c>
      <c r="I53" s="260" t="s">
        <v>180</v>
      </c>
      <c r="J53" s="225">
        <v>0</v>
      </c>
      <c r="K53" s="229">
        <v>27.2</v>
      </c>
      <c r="L53" s="223" t="s">
        <v>159</v>
      </c>
      <c r="M53" s="222" t="s">
        <v>180</v>
      </c>
      <c r="N53" s="225">
        <v>0</v>
      </c>
      <c r="O53" s="229">
        <v>26.9</v>
      </c>
      <c r="P53" s="223" t="s">
        <v>159</v>
      </c>
      <c r="Q53" s="222" t="s">
        <v>180</v>
      </c>
      <c r="R53" s="225">
        <v>0</v>
      </c>
      <c r="S53" s="229">
        <v>27.2</v>
      </c>
      <c r="T53" s="223" t="s">
        <v>159</v>
      </c>
      <c r="U53" s="222" t="s">
        <v>180</v>
      </c>
      <c r="V53" s="225">
        <v>0</v>
      </c>
      <c r="W53" s="229">
        <v>27.5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N11:Q11"/>
    <mergeCell ref="R11:U11"/>
    <mergeCell ref="V11:Y11"/>
    <mergeCell ref="C3:E3"/>
    <mergeCell ref="F3:I3"/>
    <mergeCell ref="J3:M3"/>
    <mergeCell ref="N3:Q3"/>
    <mergeCell ref="R3:U3"/>
    <mergeCell ref="V3:Y3"/>
    <mergeCell ref="C4:C9"/>
    <mergeCell ref="D5:D6"/>
    <mergeCell ref="D7:D8"/>
    <mergeCell ref="D9:E9"/>
    <mergeCell ref="C12:C21"/>
    <mergeCell ref="D13:D14"/>
    <mergeCell ref="D15:D16"/>
    <mergeCell ref="D17:D20"/>
    <mergeCell ref="D21:E21"/>
    <mergeCell ref="C11:E11"/>
    <mergeCell ref="C23:E23"/>
    <mergeCell ref="F23:I23"/>
    <mergeCell ref="J23:M23"/>
    <mergeCell ref="F11:I11"/>
    <mergeCell ref="J11:M11"/>
    <mergeCell ref="N23:Q23"/>
    <mergeCell ref="R23:U23"/>
    <mergeCell ref="V23:Y23"/>
    <mergeCell ref="C24:D25"/>
    <mergeCell ref="E24:E25"/>
    <mergeCell ref="C27:E27"/>
    <mergeCell ref="F27:I27"/>
    <mergeCell ref="J27:M27"/>
    <mergeCell ref="N27:Q27"/>
    <mergeCell ref="R27:U27"/>
    <mergeCell ref="V27:Y27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W29:W30"/>
    <mergeCell ref="X29:X30"/>
    <mergeCell ref="Q29:Q30"/>
    <mergeCell ref="C28:C38"/>
    <mergeCell ref="D29:D32"/>
    <mergeCell ref="E29:E30"/>
    <mergeCell ref="G29:G30"/>
    <mergeCell ref="H29:H30"/>
    <mergeCell ref="I29:I30"/>
    <mergeCell ref="K29:K30"/>
    <mergeCell ref="L29:L30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M31:M32"/>
    <mergeCell ref="O31:O32"/>
    <mergeCell ref="P31:P32"/>
    <mergeCell ref="S29:S30"/>
    <mergeCell ref="T29:T30"/>
    <mergeCell ref="X33:X34"/>
    <mergeCell ref="U29:U3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X42:X43"/>
    <mergeCell ref="Y42:Y43"/>
    <mergeCell ref="D38:E38"/>
    <mergeCell ref="C40:E40"/>
    <mergeCell ref="F40:I40"/>
    <mergeCell ref="J40:M40"/>
    <mergeCell ref="N40:Q40"/>
    <mergeCell ref="R40:U40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W42:W43"/>
    <mergeCell ref="C45:E45"/>
    <mergeCell ref="F45:I45"/>
    <mergeCell ref="J45:M45"/>
    <mergeCell ref="N45:Q45"/>
    <mergeCell ref="R45:U45"/>
    <mergeCell ref="V45:Y45"/>
    <mergeCell ref="C46:D48"/>
    <mergeCell ref="E47:E48"/>
    <mergeCell ref="G47:G48"/>
    <mergeCell ref="H47:H48"/>
    <mergeCell ref="I47:I48"/>
    <mergeCell ref="K47:K48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V50:Y50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746F-C370-4D09-8C7C-A0489CACD01F}">
  <sheetPr>
    <pageSetUpPr fitToPage="1"/>
  </sheetPr>
  <dimension ref="A1:Y57"/>
  <sheetViews>
    <sheetView showGridLines="0" view="pageBreakPreview" zoomScale="55" zoomScaleNormal="70" zoomScaleSheetLayoutView="55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45634</v>
      </c>
      <c r="G3" s="418"/>
      <c r="H3" s="418"/>
      <c r="I3" s="419"/>
      <c r="J3" s="417">
        <v>45638</v>
      </c>
      <c r="K3" s="418"/>
      <c r="L3" s="418"/>
      <c r="M3" s="419"/>
      <c r="N3" s="417">
        <v>45640</v>
      </c>
      <c r="O3" s="418"/>
      <c r="P3" s="418"/>
      <c r="Q3" s="419"/>
      <c r="R3" s="417">
        <v>45648</v>
      </c>
      <c r="S3" s="418"/>
      <c r="T3" s="418"/>
      <c r="U3" s="419"/>
      <c r="V3" s="417">
        <v>46022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SUM(G5,-F5)</f>
        <v>0</v>
      </c>
      <c r="I5" s="219"/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8.4</v>
      </c>
      <c r="O7" s="165">
        <v>8.4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54.7</v>
      </c>
      <c r="G8" s="216">
        <v>54.7</v>
      </c>
      <c r="H8" s="215">
        <f>SUM(G8,-F8)</f>
        <v>0</v>
      </c>
      <c r="I8" s="214"/>
      <c r="J8" s="217">
        <v>57.7</v>
      </c>
      <c r="K8" s="216">
        <v>108.5</v>
      </c>
      <c r="L8" s="215">
        <f>SUM(K8,-J8)</f>
        <v>50.8</v>
      </c>
      <c r="M8" s="214" t="s">
        <v>148</v>
      </c>
      <c r="N8" s="217">
        <v>56.300000000000004</v>
      </c>
      <c r="O8" s="216">
        <v>56.300000000000004</v>
      </c>
      <c r="P8" s="215">
        <f>SUM(O8,-N8)</f>
        <v>0</v>
      </c>
      <c r="Q8" s="214"/>
      <c r="R8" s="217">
        <v>56.300000000000004</v>
      </c>
      <c r="S8" s="216">
        <v>56.300000000000004</v>
      </c>
      <c r="T8" s="215">
        <f>SUM(S8,-R8)</f>
        <v>0</v>
      </c>
      <c r="U8" s="214"/>
      <c r="V8" s="217">
        <v>52.7</v>
      </c>
      <c r="W8" s="216">
        <v>52.7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104.9</v>
      </c>
      <c r="G9" s="187">
        <f>SUM(G5:G8)</f>
        <v>104.9</v>
      </c>
      <c r="H9" s="187">
        <f>SUM(H5:H8)</f>
        <v>0</v>
      </c>
      <c r="I9" s="213" t="s">
        <v>159</v>
      </c>
      <c r="J9" s="188">
        <f>SUM(J5:J8)</f>
        <v>107.9</v>
      </c>
      <c r="K9" s="187">
        <f>SUM(K5:K8)</f>
        <v>158.69999999999999</v>
      </c>
      <c r="L9" s="187">
        <f>SUM(L5:L8)</f>
        <v>50.8</v>
      </c>
      <c r="M9" s="213" t="s">
        <v>159</v>
      </c>
      <c r="N9" s="188">
        <f>SUM(N5:N8)</f>
        <v>114.9</v>
      </c>
      <c r="O9" s="187">
        <f>SUM(O5:O8)</f>
        <v>114.9</v>
      </c>
      <c r="P9" s="187">
        <f>SUM(P5:P8)</f>
        <v>0</v>
      </c>
      <c r="Q9" s="213" t="s">
        <v>159</v>
      </c>
      <c r="R9" s="188">
        <f>SUM(R5:R8)</f>
        <v>106.5</v>
      </c>
      <c r="S9" s="187">
        <f>SUM(S5:S8)</f>
        <v>106.5</v>
      </c>
      <c r="T9" s="187">
        <f>SUM(T5:T8)</f>
        <v>0</v>
      </c>
      <c r="U9" s="213" t="s">
        <v>159</v>
      </c>
      <c r="V9" s="188">
        <f>SUM(V5:V8)</f>
        <v>82.6</v>
      </c>
      <c r="W9" s="187">
        <f>SUM(W5:W8)</f>
        <v>82.6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-4.9000000000000004</v>
      </c>
      <c r="H25" s="207">
        <f>SUM(G25,-F25)</f>
        <v>9.9999999999999645E-2</v>
      </c>
      <c r="I25" s="206" t="s">
        <v>150</v>
      </c>
      <c r="J25" s="209">
        <v>-5</v>
      </c>
      <c r="K25" s="208">
        <v>-4.9000000000000004</v>
      </c>
      <c r="L25" s="207">
        <f>SUM(K25,-J25)</f>
        <v>9.9999999999999645E-2</v>
      </c>
      <c r="M25" s="206" t="s">
        <v>150</v>
      </c>
      <c r="N25" s="209">
        <v>-5</v>
      </c>
      <c r="O25" s="208">
        <v>-4.9000000000000004</v>
      </c>
      <c r="P25" s="207">
        <f>SUM(O25,-N25)</f>
        <v>9.9999999999999645E-2</v>
      </c>
      <c r="Q25" s="206" t="s">
        <v>150</v>
      </c>
      <c r="R25" s="209">
        <v>-5</v>
      </c>
      <c r="S25" s="208">
        <v>-4.9000000000000004</v>
      </c>
      <c r="T25" s="207">
        <f>SUM(S25,-R25)</f>
        <v>9.9999999999999645E-2</v>
      </c>
      <c r="U25" s="206" t="s">
        <v>150</v>
      </c>
      <c r="V25" s="209">
        <v>-5</v>
      </c>
      <c r="W25" s="208">
        <v>-5</v>
      </c>
      <c r="X25" s="207">
        <f>SUM(W25,-V25)</f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68.900000000000006</v>
      </c>
      <c r="L29" s="457">
        <f>SUM(K29,-J29)</f>
        <v>25.100000000000009</v>
      </c>
      <c r="M29" s="459" t="s">
        <v>145</v>
      </c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36.200000000000003</v>
      </c>
      <c r="X29" s="457">
        <f>SUM(W29,-V29)</f>
        <v>-7.5999999999999943</v>
      </c>
      <c r="Y29" s="459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0.46595744680851059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54.4</v>
      </c>
      <c r="T31" s="457">
        <f>SUM(S31,-R31)</f>
        <v>0</v>
      </c>
      <c r="U31" s="459"/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35.200000000000003</v>
      </c>
      <c r="H33" s="457">
        <f>SUM(G33,-F33)</f>
        <v>13.600000000000001</v>
      </c>
      <c r="I33" s="459" t="s">
        <v>184</v>
      </c>
      <c r="J33" s="200">
        <v>21.6</v>
      </c>
      <c r="K33" s="199">
        <v>34.9</v>
      </c>
      <c r="L33" s="457">
        <f>SUM(K33,-J33)</f>
        <v>13.299999999999997</v>
      </c>
      <c r="M33" s="459" t="s">
        <v>184</v>
      </c>
      <c r="N33" s="200">
        <v>21.6</v>
      </c>
      <c r="O33" s="199">
        <v>27.9</v>
      </c>
      <c r="P33" s="457">
        <f>SUM(O33,-N33)</f>
        <v>6.2999999999999972</v>
      </c>
      <c r="Q33" s="459" t="s">
        <v>184</v>
      </c>
      <c r="R33" s="200">
        <v>25.5</v>
      </c>
      <c r="S33" s="199">
        <v>30.1</v>
      </c>
      <c r="T33" s="457">
        <f>SUM(S33,-R33)</f>
        <v>4.6000000000000014</v>
      </c>
      <c r="U33" s="459" t="s">
        <v>184</v>
      </c>
      <c r="V33" s="200">
        <v>25.5</v>
      </c>
      <c r="W33" s="199">
        <v>26.7</v>
      </c>
      <c r="X33" s="457">
        <f>SUM(W33,-V33)</f>
        <v>1.1999999999999993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0.18</v>
      </c>
      <c r="G34" s="230">
        <v>30</v>
      </c>
      <c r="H34" s="458"/>
      <c r="I34" s="460"/>
      <c r="J34" s="198">
        <v>0.18</v>
      </c>
      <c r="K34" s="230">
        <v>29</v>
      </c>
      <c r="L34" s="458"/>
      <c r="M34" s="460"/>
      <c r="N34" s="198">
        <v>0.18</v>
      </c>
      <c r="O34" s="230">
        <v>24</v>
      </c>
      <c r="P34" s="458"/>
      <c r="Q34" s="460"/>
      <c r="R34" s="198">
        <v>0.19</v>
      </c>
      <c r="S34" s="230">
        <v>23</v>
      </c>
      <c r="T34" s="458"/>
      <c r="U34" s="460"/>
      <c r="V34" s="198">
        <v>0.19</v>
      </c>
      <c r="W34" s="230">
        <v>20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0.6</v>
      </c>
      <c r="H37" s="164">
        <f>SUM(G37,-F37)</f>
        <v>-9.4</v>
      </c>
      <c r="I37" s="189" t="s">
        <v>147</v>
      </c>
      <c r="J37" s="166">
        <v>10</v>
      </c>
      <c r="K37" s="165">
        <v>0.6</v>
      </c>
      <c r="L37" s="164">
        <f>SUM(K37,-J37)</f>
        <v>-9.4</v>
      </c>
      <c r="M37" s="189" t="s">
        <v>147</v>
      </c>
      <c r="N37" s="166">
        <v>10</v>
      </c>
      <c r="O37" s="165">
        <v>0.5</v>
      </c>
      <c r="P37" s="164">
        <f>SUM(O37,-N37)</f>
        <v>-9.5</v>
      </c>
      <c r="Q37" s="189" t="s">
        <v>147</v>
      </c>
      <c r="R37" s="166">
        <v>10</v>
      </c>
      <c r="S37" s="165">
        <v>0.4</v>
      </c>
      <c r="T37" s="164">
        <f>SUM(S37,-R37)</f>
        <v>-9.6</v>
      </c>
      <c r="U37" s="189" t="s">
        <v>170</v>
      </c>
      <c r="V37" s="166">
        <v>10</v>
      </c>
      <c r="W37" s="165">
        <v>0.4</v>
      </c>
      <c r="X37" s="164">
        <f>SUM(W37,-V37)</f>
        <v>-9.6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129.79999999999998</v>
      </c>
      <c r="G38" s="187">
        <f>SUM(G29:G33,G37)</f>
        <v>133.99999999999997</v>
      </c>
      <c r="H38" s="187">
        <f>SUM(H29:H34,H37)</f>
        <v>4.2000000000000011</v>
      </c>
      <c r="I38" s="186"/>
      <c r="J38" s="188">
        <f>SUM(J29,J31,J33,J37)</f>
        <v>129.79999999999998</v>
      </c>
      <c r="K38" s="187">
        <f>SUM(K29:K33,K37)</f>
        <v>158.80000000000001</v>
      </c>
      <c r="L38" s="187">
        <f>SUM(L29:L34,L37)</f>
        <v>29.000000000000007</v>
      </c>
      <c r="M38" s="186"/>
      <c r="N38" s="188">
        <f>SUM(N29,N31,N33,N37)</f>
        <v>129.79999999999998</v>
      </c>
      <c r="O38" s="187">
        <f>SUM(O29:O33,O37)</f>
        <v>126.6</v>
      </c>
      <c r="P38" s="187">
        <f>SUM(P29:P34,P37)</f>
        <v>-3.2000000000000028</v>
      </c>
      <c r="Q38" s="186"/>
      <c r="R38" s="188">
        <f>SUM(R29,R31,R33,R37)</f>
        <v>133.69999999999999</v>
      </c>
      <c r="S38" s="187">
        <f>SUM(S29:S33,S37)</f>
        <v>128.69999999999999</v>
      </c>
      <c r="T38" s="187">
        <f>SUM(T29:T34,T37)</f>
        <v>-4.9999999999999982</v>
      </c>
      <c r="U38" s="186"/>
      <c r="V38" s="188">
        <f>SUM(V29,V31,V33,V37)</f>
        <v>133.69999999999999</v>
      </c>
      <c r="W38" s="187">
        <f>SUM(W29:W33,W37)</f>
        <v>117.7</v>
      </c>
      <c r="X38" s="187">
        <f>SUM(X29:X34,X37)</f>
        <v>-15.999999999999995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204</v>
      </c>
      <c r="G43" s="479"/>
      <c r="H43" s="480"/>
      <c r="I43" s="481"/>
      <c r="J43" s="183">
        <v>251</v>
      </c>
      <c r="K43" s="479"/>
      <c r="L43" s="480"/>
      <c r="M43" s="481"/>
      <c r="N43" s="183">
        <v>204</v>
      </c>
      <c r="O43" s="479"/>
      <c r="P43" s="480"/>
      <c r="Q43" s="481"/>
      <c r="R43" s="183">
        <v>204</v>
      </c>
      <c r="S43" s="479"/>
      <c r="T43" s="480"/>
      <c r="U43" s="481"/>
      <c r="V43" s="183">
        <v>194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34.988500000000002</v>
      </c>
      <c r="G47" s="478">
        <v>37.5</v>
      </c>
      <c r="H47" s="457">
        <f>SUM(G47,-F47)</f>
        <v>2.5114999999999981</v>
      </c>
      <c r="I47" s="459" t="s">
        <v>149</v>
      </c>
      <c r="J47" s="178">
        <v>29.8</v>
      </c>
      <c r="K47" s="478">
        <v>33.5</v>
      </c>
      <c r="L47" s="457">
        <f>SUM(K47,-J47)</f>
        <v>3.6999999999999993</v>
      </c>
      <c r="M47" s="459" t="s">
        <v>149</v>
      </c>
      <c r="N47" s="178">
        <v>34.200000000000003</v>
      </c>
      <c r="O47" s="478">
        <v>40.200000000000003</v>
      </c>
      <c r="P47" s="457">
        <f>SUM(O47,-N47)</f>
        <v>6</v>
      </c>
      <c r="Q47" s="459" t="s">
        <v>181</v>
      </c>
      <c r="R47" s="178">
        <v>36.5</v>
      </c>
      <c r="S47" s="478">
        <v>40.5</v>
      </c>
      <c r="T47" s="457">
        <f>SUM(S47,-R47)</f>
        <v>4</v>
      </c>
      <c r="U47" s="459" t="s">
        <v>181</v>
      </c>
      <c r="V47" s="178">
        <v>36.513500000000001</v>
      </c>
      <c r="W47" s="478">
        <v>38.799999999999997</v>
      </c>
      <c r="X47" s="457">
        <f>SUM(W47,-V47)</f>
        <v>2.2864999999999966</v>
      </c>
      <c r="Y47" s="459" t="s">
        <v>181</v>
      </c>
    </row>
    <row r="48" spans="3:25" ht="16.5" thickBot="1">
      <c r="C48" s="486"/>
      <c r="D48" s="487"/>
      <c r="E48" s="489"/>
      <c r="F48" s="177">
        <v>0.59519435230075701</v>
      </c>
      <c r="G48" s="479"/>
      <c r="H48" s="480"/>
      <c r="I48" s="481"/>
      <c r="J48" s="177">
        <v>0.62548071871388045</v>
      </c>
      <c r="K48" s="479"/>
      <c r="L48" s="480"/>
      <c r="M48" s="481"/>
      <c r="N48" s="177">
        <v>0.63</v>
      </c>
      <c r="O48" s="479"/>
      <c r="P48" s="480"/>
      <c r="Q48" s="481"/>
      <c r="R48" s="177">
        <v>0.61589778190098676</v>
      </c>
      <c r="S48" s="479"/>
      <c r="T48" s="480"/>
      <c r="U48" s="481"/>
      <c r="V48" s="177">
        <v>0.61589778190098676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26.7</v>
      </c>
      <c r="H53" s="223" t="s">
        <v>159</v>
      </c>
      <c r="I53" s="260" t="s">
        <v>180</v>
      </c>
      <c r="J53" s="225">
        <v>0</v>
      </c>
      <c r="K53" s="229">
        <v>25.2</v>
      </c>
      <c r="L53" s="223" t="s">
        <v>159</v>
      </c>
      <c r="M53" s="222" t="s">
        <v>180</v>
      </c>
      <c r="N53" s="225">
        <v>0</v>
      </c>
      <c r="O53" s="229">
        <v>26</v>
      </c>
      <c r="P53" s="223" t="s">
        <v>159</v>
      </c>
      <c r="Q53" s="222" t="s">
        <v>180</v>
      </c>
      <c r="R53" s="225">
        <v>0</v>
      </c>
      <c r="S53" s="229">
        <v>28.5</v>
      </c>
      <c r="T53" s="223" t="s">
        <v>159</v>
      </c>
      <c r="U53" s="222" t="s">
        <v>180</v>
      </c>
      <c r="V53" s="225">
        <v>0</v>
      </c>
      <c r="W53" s="229">
        <v>28.5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N11:Q11"/>
    <mergeCell ref="R11:U11"/>
    <mergeCell ref="V11:Y11"/>
    <mergeCell ref="C3:E3"/>
    <mergeCell ref="F3:I3"/>
    <mergeCell ref="J3:M3"/>
    <mergeCell ref="N3:Q3"/>
    <mergeCell ref="R3:U3"/>
    <mergeCell ref="V3:Y3"/>
    <mergeCell ref="C4:C9"/>
    <mergeCell ref="D5:D6"/>
    <mergeCell ref="D7:D8"/>
    <mergeCell ref="D9:E9"/>
    <mergeCell ref="C12:C21"/>
    <mergeCell ref="D13:D14"/>
    <mergeCell ref="D15:D16"/>
    <mergeCell ref="D17:D20"/>
    <mergeCell ref="D21:E21"/>
    <mergeCell ref="C11:E11"/>
    <mergeCell ref="C23:E23"/>
    <mergeCell ref="F23:I23"/>
    <mergeCell ref="J23:M23"/>
    <mergeCell ref="F11:I11"/>
    <mergeCell ref="J11:M11"/>
    <mergeCell ref="N23:Q23"/>
    <mergeCell ref="R23:U23"/>
    <mergeCell ref="V23:Y23"/>
    <mergeCell ref="C24:D25"/>
    <mergeCell ref="E24:E25"/>
    <mergeCell ref="C27:E27"/>
    <mergeCell ref="F27:I27"/>
    <mergeCell ref="J27:M27"/>
    <mergeCell ref="N27:Q27"/>
    <mergeCell ref="R27:U27"/>
    <mergeCell ref="V27:Y27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W29:W30"/>
    <mergeCell ref="X29:X30"/>
    <mergeCell ref="Q29:Q30"/>
    <mergeCell ref="C28:C38"/>
    <mergeCell ref="D29:D32"/>
    <mergeCell ref="E29:E30"/>
    <mergeCell ref="G29:G30"/>
    <mergeCell ref="H29:H30"/>
    <mergeCell ref="I29:I30"/>
    <mergeCell ref="K29:K30"/>
    <mergeCell ref="L29:L30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M31:M32"/>
    <mergeCell ref="O31:O32"/>
    <mergeCell ref="P31:P32"/>
    <mergeCell ref="S29:S30"/>
    <mergeCell ref="T29:T30"/>
    <mergeCell ref="X33:X34"/>
    <mergeCell ref="U29:U3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X42:X43"/>
    <mergeCell ref="Y42:Y43"/>
    <mergeCell ref="D38:E38"/>
    <mergeCell ref="C40:E40"/>
    <mergeCell ref="F40:I40"/>
    <mergeCell ref="J40:M40"/>
    <mergeCell ref="N40:Q40"/>
    <mergeCell ref="R40:U40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W42:W43"/>
    <mergeCell ref="C45:E45"/>
    <mergeCell ref="F45:I45"/>
    <mergeCell ref="J45:M45"/>
    <mergeCell ref="N45:Q45"/>
    <mergeCell ref="R45:U45"/>
    <mergeCell ref="V45:Y45"/>
    <mergeCell ref="C46:D48"/>
    <mergeCell ref="E47:E48"/>
    <mergeCell ref="G47:G48"/>
    <mergeCell ref="H47:H48"/>
    <mergeCell ref="I47:I48"/>
    <mergeCell ref="K47:K48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V50:Y50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41E6-E6FD-43B2-AB41-21962387D0D4}">
  <dimension ref="B1:O69"/>
  <sheetViews>
    <sheetView showGridLines="0" view="pageBreakPreview" zoomScale="70" zoomScaleNormal="70" zoomScaleSheetLayoutView="70" zoomScalePageLayoutView="5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45658</v>
      </c>
      <c r="G3" s="96" t="s">
        <v>67</v>
      </c>
      <c r="H3" s="95">
        <v>45659</v>
      </c>
      <c r="I3" s="96" t="s">
        <v>67</v>
      </c>
      <c r="J3" s="25">
        <v>45660</v>
      </c>
      <c r="K3" s="26" t="s">
        <v>48</v>
      </c>
      <c r="L3" s="25">
        <v>45675</v>
      </c>
      <c r="M3" s="26" t="s">
        <v>48</v>
      </c>
      <c r="N3" s="25">
        <v>45676</v>
      </c>
      <c r="O3" s="26" t="s">
        <v>48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81</v>
      </c>
      <c r="G5" s="381" t="s">
        <v>45</v>
      </c>
      <c r="H5" s="9">
        <v>82.2</v>
      </c>
      <c r="I5" s="384" t="s">
        <v>65</v>
      </c>
      <c r="J5" s="9">
        <v>82.8</v>
      </c>
      <c r="K5" s="384" t="s">
        <v>45</v>
      </c>
      <c r="L5" s="9">
        <v>102.5</v>
      </c>
      <c r="M5" s="384" t="s">
        <v>45</v>
      </c>
      <c r="N5" s="9">
        <v>100.3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117.5</v>
      </c>
      <c r="G6" s="382"/>
      <c r="H6" s="10">
        <v>117.5</v>
      </c>
      <c r="I6" s="385"/>
      <c r="J6" s="10">
        <v>117.5</v>
      </c>
      <c r="K6" s="385"/>
      <c r="L6" s="10">
        <v>135.4</v>
      </c>
      <c r="M6" s="385"/>
      <c r="N6" s="10">
        <v>137.4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414.3</v>
      </c>
      <c r="G7" s="382"/>
      <c r="H7" s="28">
        <v>414.2</v>
      </c>
      <c r="I7" s="385"/>
      <c r="J7" s="28">
        <v>414</v>
      </c>
      <c r="K7" s="385"/>
      <c r="L7" s="28">
        <v>414.3</v>
      </c>
      <c r="M7" s="385"/>
      <c r="N7" s="28">
        <v>414.4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18.499999999999865</v>
      </c>
      <c r="G8" s="382"/>
      <c r="H8" s="29">
        <v>18.700000000000092</v>
      </c>
      <c r="I8" s="385"/>
      <c r="J8" s="29">
        <v>18.60000000000009</v>
      </c>
      <c r="K8" s="385"/>
      <c r="L8" s="29">
        <v>14.699999999999921</v>
      </c>
      <c r="M8" s="385"/>
      <c r="N8" s="29">
        <v>12.600000000000183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16.3</v>
      </c>
      <c r="G9" s="382"/>
      <c r="H9" s="30">
        <v>16.3</v>
      </c>
      <c r="I9" s="385"/>
      <c r="J9" s="30">
        <v>16.3</v>
      </c>
      <c r="K9" s="385"/>
      <c r="L9" s="30">
        <v>16.399999999999999</v>
      </c>
      <c r="M9" s="385"/>
      <c r="N9" s="30">
        <v>15.8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38.799999999999997</v>
      </c>
      <c r="G10" s="382"/>
      <c r="H10" s="11">
        <v>38.799999999999997</v>
      </c>
      <c r="I10" s="385"/>
      <c r="J10" s="11">
        <v>38.799999999999997</v>
      </c>
      <c r="K10" s="385"/>
      <c r="L10" s="11">
        <v>36.5</v>
      </c>
      <c r="M10" s="385"/>
      <c r="N10" s="11">
        <v>36.5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27.8</v>
      </c>
      <c r="G11" s="382"/>
      <c r="H11" s="12">
        <v>28</v>
      </c>
      <c r="I11" s="385"/>
      <c r="J11" s="12">
        <v>28.2</v>
      </c>
      <c r="K11" s="385"/>
      <c r="L11" s="12">
        <v>24.9</v>
      </c>
      <c r="M11" s="385"/>
      <c r="N11" s="12">
        <v>25.1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771.3</v>
      </c>
      <c r="G12" s="382"/>
      <c r="H12" s="13">
        <v>667.5</v>
      </c>
      <c r="I12" s="385"/>
      <c r="J12" s="13">
        <v>698.8</v>
      </c>
      <c r="K12" s="385"/>
      <c r="L12" s="13">
        <v>742.1</v>
      </c>
      <c r="M12" s="385"/>
      <c r="N12" s="13">
        <v>595.5</v>
      </c>
      <c r="O12" s="385"/>
    </row>
    <row r="13" spans="2:15" ht="16">
      <c r="B13" s="376"/>
      <c r="C13" s="379"/>
      <c r="D13" s="388"/>
      <c r="E13" s="45" t="s">
        <v>27</v>
      </c>
      <c r="F13" s="106">
        <v>4.4000000000000004</v>
      </c>
      <c r="G13" s="382"/>
      <c r="H13" s="13">
        <v>11.4</v>
      </c>
      <c r="I13" s="385"/>
      <c r="J13" s="13">
        <v>18.600000000000001</v>
      </c>
      <c r="K13" s="385"/>
      <c r="L13" s="13">
        <v>0.1</v>
      </c>
      <c r="M13" s="385"/>
      <c r="N13" s="13">
        <v>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232</v>
      </c>
      <c r="G14" s="382"/>
      <c r="H14" s="14">
        <v>232</v>
      </c>
      <c r="I14" s="385"/>
      <c r="J14" s="14">
        <v>232</v>
      </c>
      <c r="K14" s="385"/>
      <c r="L14" s="14">
        <v>232</v>
      </c>
      <c r="M14" s="385"/>
      <c r="N14" s="14">
        <v>339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1721.8999999999996</v>
      </c>
      <c r="G15" s="382"/>
      <c r="H15" s="15">
        <v>1626.6</v>
      </c>
      <c r="I15" s="385"/>
      <c r="J15" s="15">
        <v>1665.6</v>
      </c>
      <c r="K15" s="385"/>
      <c r="L15" s="15">
        <v>1718.8999999999999</v>
      </c>
      <c r="M15" s="385"/>
      <c r="N15" s="15">
        <v>1679.6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695</v>
      </c>
      <c r="G16" s="382"/>
      <c r="H16" s="8">
        <v>755</v>
      </c>
      <c r="I16" s="385"/>
      <c r="J16" s="8">
        <v>785</v>
      </c>
      <c r="K16" s="385"/>
      <c r="L16" s="8">
        <v>985</v>
      </c>
      <c r="M16" s="385"/>
      <c r="N16" s="8">
        <v>875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-227.1</v>
      </c>
      <c r="G17" s="382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382"/>
      <c r="H18" s="17">
        <v>-5</v>
      </c>
      <c r="I18" s="385"/>
      <c r="J18" s="17">
        <v>-5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-194</v>
      </c>
      <c r="G19" s="382"/>
      <c r="H19" s="18">
        <v>-194</v>
      </c>
      <c r="I19" s="385"/>
      <c r="J19" s="18">
        <v>-194</v>
      </c>
      <c r="K19" s="385"/>
      <c r="L19" s="18">
        <v>-218</v>
      </c>
      <c r="M19" s="385"/>
      <c r="N19" s="18">
        <v>-218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1121.0999999999999</v>
      </c>
      <c r="G21" s="383"/>
      <c r="H21" s="27">
        <v>1181.0999999999999</v>
      </c>
      <c r="I21" s="386"/>
      <c r="J21" s="27">
        <v>1211.0999999999999</v>
      </c>
      <c r="K21" s="386"/>
      <c r="L21" s="27">
        <v>1430.1</v>
      </c>
      <c r="M21" s="386"/>
      <c r="N21" s="27">
        <v>1320.1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1721.8999999999996</v>
      </c>
      <c r="G23" s="414"/>
      <c r="H23" s="20">
        <v>1626.6</v>
      </c>
      <c r="I23" s="400"/>
      <c r="J23" s="20">
        <v>1665.6</v>
      </c>
      <c r="K23" s="400"/>
      <c r="L23" s="20">
        <v>1718.8999999999999</v>
      </c>
      <c r="M23" s="400"/>
      <c r="N23" s="20">
        <v>1679.6</v>
      </c>
      <c r="O23" s="400"/>
    </row>
    <row r="24" spans="2:15" ht="16">
      <c r="B24" s="409"/>
      <c r="C24" s="403" t="s">
        <v>37</v>
      </c>
      <c r="D24" s="404"/>
      <c r="E24" s="405"/>
      <c r="F24" s="21">
        <v>1121.0999999999999</v>
      </c>
      <c r="G24" s="415"/>
      <c r="H24" s="21">
        <v>1181.0999999999999</v>
      </c>
      <c r="I24" s="401"/>
      <c r="J24" s="21">
        <v>1211.0999999999999</v>
      </c>
      <c r="K24" s="401"/>
      <c r="L24" s="21">
        <v>1430.1</v>
      </c>
      <c r="M24" s="401"/>
      <c r="N24" s="21">
        <v>1320.1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600.79999999999973</v>
      </c>
      <c r="G25" s="416"/>
      <c r="H25" s="67">
        <v>445.5</v>
      </c>
      <c r="I25" s="402"/>
      <c r="J25" s="67">
        <v>454.5</v>
      </c>
      <c r="K25" s="402"/>
      <c r="L25" s="67">
        <v>288.79999999999995</v>
      </c>
      <c r="M25" s="402"/>
      <c r="N25" s="67">
        <v>359.5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96BF-1E02-455A-B8EA-24A40EB79C21}">
  <dimension ref="B1:O69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45679</v>
      </c>
      <c r="G3" s="96" t="s">
        <v>67</v>
      </c>
      <c r="H3" s="25">
        <v>45682</v>
      </c>
      <c r="I3" s="26" t="s">
        <v>48</v>
      </c>
      <c r="J3" s="25">
        <v>45683</v>
      </c>
      <c r="K3" s="26" t="s">
        <v>48</v>
      </c>
      <c r="L3" s="25">
        <v>45687</v>
      </c>
      <c r="M3" s="26" t="s">
        <v>48</v>
      </c>
      <c r="N3" s="25">
        <v>45688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103.9</v>
      </c>
      <c r="G5" s="384" t="s">
        <v>45</v>
      </c>
      <c r="H5" s="9">
        <v>105.9</v>
      </c>
      <c r="I5" s="384" t="s">
        <v>45</v>
      </c>
      <c r="J5" s="9">
        <v>100.9</v>
      </c>
      <c r="K5" s="384" t="s">
        <v>45</v>
      </c>
      <c r="L5" s="9">
        <v>105.9</v>
      </c>
      <c r="M5" s="384" t="s">
        <v>45</v>
      </c>
      <c r="N5" s="9">
        <v>105.1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144.5</v>
      </c>
      <c r="G6" s="385"/>
      <c r="H6" s="10">
        <v>136.4</v>
      </c>
      <c r="I6" s="385"/>
      <c r="J6" s="10">
        <v>146.1</v>
      </c>
      <c r="K6" s="385"/>
      <c r="L6" s="10">
        <v>183.7</v>
      </c>
      <c r="M6" s="385"/>
      <c r="N6" s="10">
        <v>180.2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414.3</v>
      </c>
      <c r="G7" s="385"/>
      <c r="H7" s="28">
        <v>414.4</v>
      </c>
      <c r="I7" s="385"/>
      <c r="J7" s="28">
        <v>414.5</v>
      </c>
      <c r="K7" s="385"/>
      <c r="L7" s="28">
        <v>414.3</v>
      </c>
      <c r="M7" s="385"/>
      <c r="N7" s="28">
        <v>414.5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15.699999999999921</v>
      </c>
      <c r="G8" s="385"/>
      <c r="H8" s="29">
        <v>15.6</v>
      </c>
      <c r="I8" s="385"/>
      <c r="J8" s="29">
        <v>16</v>
      </c>
      <c r="K8" s="385"/>
      <c r="L8" s="29">
        <v>15.399999999999778</v>
      </c>
      <c r="M8" s="385"/>
      <c r="N8" s="29">
        <v>15.200000000000006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16.5</v>
      </c>
      <c r="G9" s="385"/>
      <c r="H9" s="30">
        <v>16.600000000000001</v>
      </c>
      <c r="I9" s="385"/>
      <c r="J9" s="30">
        <v>16.600000000000001</v>
      </c>
      <c r="K9" s="385"/>
      <c r="L9" s="30">
        <v>16.600000000000001</v>
      </c>
      <c r="M9" s="385"/>
      <c r="N9" s="30">
        <v>16.600000000000001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41.1</v>
      </c>
      <c r="G10" s="385"/>
      <c r="H10" s="11">
        <v>48</v>
      </c>
      <c r="I10" s="385"/>
      <c r="J10" s="11">
        <v>48.3</v>
      </c>
      <c r="K10" s="385"/>
      <c r="L10" s="11">
        <v>48</v>
      </c>
      <c r="M10" s="385"/>
      <c r="N10" s="11">
        <v>48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25.3</v>
      </c>
      <c r="G11" s="385"/>
      <c r="H11" s="12">
        <v>24.8</v>
      </c>
      <c r="I11" s="385"/>
      <c r="J11" s="12">
        <v>24.8</v>
      </c>
      <c r="K11" s="385"/>
      <c r="L11" s="12">
        <v>25.7</v>
      </c>
      <c r="M11" s="385"/>
      <c r="N11" s="12">
        <v>25.9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689.1</v>
      </c>
      <c r="G12" s="385"/>
      <c r="H12" s="13">
        <v>776.9</v>
      </c>
      <c r="I12" s="385"/>
      <c r="J12" s="13">
        <v>759.8</v>
      </c>
      <c r="K12" s="385"/>
      <c r="L12" s="13">
        <v>604.5</v>
      </c>
      <c r="M12" s="385"/>
      <c r="N12" s="13">
        <v>739.2</v>
      </c>
      <c r="O12" s="385"/>
    </row>
    <row r="13" spans="2:15" ht="16">
      <c r="B13" s="376"/>
      <c r="C13" s="379"/>
      <c r="D13" s="388"/>
      <c r="E13" s="45" t="s">
        <v>27</v>
      </c>
      <c r="F13" s="13">
        <v>0.5</v>
      </c>
      <c r="G13" s="385"/>
      <c r="H13" s="13">
        <v>28.7</v>
      </c>
      <c r="I13" s="385"/>
      <c r="J13" s="13">
        <v>17.600000000000001</v>
      </c>
      <c r="K13" s="385"/>
      <c r="L13" s="13">
        <v>13.1</v>
      </c>
      <c r="M13" s="385"/>
      <c r="N13" s="13">
        <v>1.1000000000000001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232</v>
      </c>
      <c r="G14" s="385"/>
      <c r="H14" s="14">
        <v>227.9</v>
      </c>
      <c r="I14" s="385"/>
      <c r="J14" s="14">
        <v>232</v>
      </c>
      <c r="K14" s="385"/>
      <c r="L14" s="14">
        <v>339</v>
      </c>
      <c r="M14" s="385"/>
      <c r="N14" s="14">
        <v>232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1682.9</v>
      </c>
      <c r="G15" s="385"/>
      <c r="H15" s="15">
        <v>1795.2</v>
      </c>
      <c r="I15" s="385"/>
      <c r="J15" s="15">
        <v>1776.6</v>
      </c>
      <c r="K15" s="385"/>
      <c r="L15" s="15">
        <v>1766.1999999999998</v>
      </c>
      <c r="M15" s="385"/>
      <c r="N15" s="15">
        <v>1777.8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1055</v>
      </c>
      <c r="G16" s="385"/>
      <c r="H16" s="8">
        <v>925</v>
      </c>
      <c r="I16" s="385"/>
      <c r="J16" s="8">
        <v>905</v>
      </c>
      <c r="K16" s="385"/>
      <c r="L16" s="8">
        <v>1155</v>
      </c>
      <c r="M16" s="385"/>
      <c r="N16" s="8">
        <v>1115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0</v>
      </c>
      <c r="I18" s="385"/>
      <c r="J18" s="17">
        <v>0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-248.3</v>
      </c>
      <c r="G19" s="385"/>
      <c r="H19" s="18">
        <v>-218</v>
      </c>
      <c r="I19" s="385"/>
      <c r="J19" s="18">
        <v>-218</v>
      </c>
      <c r="K19" s="385"/>
      <c r="L19" s="18">
        <v>-267.5</v>
      </c>
      <c r="M19" s="385"/>
      <c r="N19" s="18">
        <v>-263.3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110.8</v>
      </c>
      <c r="G20" s="385"/>
      <c r="H20" s="19">
        <v>0</v>
      </c>
      <c r="I20" s="385"/>
      <c r="J20" s="19">
        <v>0</v>
      </c>
      <c r="K20" s="385"/>
      <c r="L20" s="19">
        <v>4.3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1419.6</v>
      </c>
      <c r="G21" s="386"/>
      <c r="H21" s="27">
        <v>1370.1</v>
      </c>
      <c r="I21" s="386"/>
      <c r="J21" s="27">
        <v>1350.1</v>
      </c>
      <c r="K21" s="386"/>
      <c r="L21" s="27">
        <v>1645.3</v>
      </c>
      <c r="M21" s="386"/>
      <c r="N21" s="27">
        <v>1605.3999999999999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1682.9</v>
      </c>
      <c r="G23" s="400"/>
      <c r="H23" s="20">
        <v>1795.2</v>
      </c>
      <c r="I23" s="400"/>
      <c r="J23" s="20">
        <v>1776.6</v>
      </c>
      <c r="K23" s="400"/>
      <c r="L23" s="20">
        <v>1766.1999999999998</v>
      </c>
      <c r="M23" s="400"/>
      <c r="N23" s="20">
        <v>1777.8</v>
      </c>
      <c r="O23" s="400"/>
    </row>
    <row r="24" spans="2:15" ht="16">
      <c r="B24" s="409"/>
      <c r="C24" s="403" t="s">
        <v>37</v>
      </c>
      <c r="D24" s="404"/>
      <c r="E24" s="405"/>
      <c r="F24" s="21">
        <v>1419.6</v>
      </c>
      <c r="G24" s="401"/>
      <c r="H24" s="21">
        <v>1370.1</v>
      </c>
      <c r="I24" s="401"/>
      <c r="J24" s="21">
        <v>1350.1</v>
      </c>
      <c r="K24" s="401"/>
      <c r="L24" s="21">
        <v>1645.3</v>
      </c>
      <c r="M24" s="401"/>
      <c r="N24" s="21">
        <v>1605.3999999999999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263.30000000000018</v>
      </c>
      <c r="G25" s="402"/>
      <c r="H25" s="67">
        <v>425.10000000000014</v>
      </c>
      <c r="I25" s="402"/>
      <c r="J25" s="67">
        <v>426.5</v>
      </c>
      <c r="K25" s="402"/>
      <c r="L25" s="67">
        <v>120.89999999999986</v>
      </c>
      <c r="M25" s="402"/>
      <c r="N25" s="67">
        <v>172.40000000000009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DFCC-1CD7-4C11-A756-274EBF8E0BD6}">
  <sheetPr>
    <pageSetUpPr fitToPage="1"/>
  </sheetPr>
  <dimension ref="A1:Y57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45658</v>
      </c>
      <c r="G3" s="418"/>
      <c r="H3" s="418"/>
      <c r="I3" s="419"/>
      <c r="J3" s="417">
        <v>45659</v>
      </c>
      <c r="K3" s="418"/>
      <c r="L3" s="418"/>
      <c r="M3" s="419"/>
      <c r="N3" s="417">
        <v>45660</v>
      </c>
      <c r="O3" s="418"/>
      <c r="P3" s="418"/>
      <c r="Q3" s="419"/>
      <c r="R3" s="417">
        <v>45675</v>
      </c>
      <c r="S3" s="418"/>
      <c r="T3" s="418"/>
      <c r="U3" s="419"/>
      <c r="V3" s="417">
        <v>45676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28.1</v>
      </c>
      <c r="S5" s="165">
        <v>28.1</v>
      </c>
      <c r="T5" s="164">
        <f>SUM(S5,-R5)</f>
        <v>0</v>
      </c>
      <c r="U5" s="219"/>
      <c r="V5" s="166">
        <v>28.1</v>
      </c>
      <c r="W5" s="165">
        <v>28.1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51.1</v>
      </c>
      <c r="G8" s="216">
        <v>51.1</v>
      </c>
      <c r="H8" s="215">
        <f>SUM(G8,-F8)</f>
        <v>0</v>
      </c>
      <c r="I8" s="214"/>
      <c r="J8" s="217">
        <v>52.300000000000004</v>
      </c>
      <c r="K8" s="216">
        <v>52.300000000000004</v>
      </c>
      <c r="L8" s="215">
        <f>SUM(K8,-J8)</f>
        <v>0</v>
      </c>
      <c r="M8" s="214"/>
      <c r="N8" s="217">
        <v>52.900000000000006</v>
      </c>
      <c r="O8" s="216">
        <v>52.900000000000006</v>
      </c>
      <c r="P8" s="215">
        <f>SUM(O8,-N8)</f>
        <v>0</v>
      </c>
      <c r="Q8" s="189"/>
      <c r="R8" s="217">
        <v>56.900000000000006</v>
      </c>
      <c r="S8" s="216">
        <v>56.900000000000006</v>
      </c>
      <c r="T8" s="215">
        <f>SUM(S8,-R8)</f>
        <v>0</v>
      </c>
      <c r="U8" s="189"/>
      <c r="V8" s="217">
        <v>54.7</v>
      </c>
      <c r="W8" s="216">
        <v>54.7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81</v>
      </c>
      <c r="G9" s="187">
        <f>SUM(G5:G8)</f>
        <v>81</v>
      </c>
      <c r="H9" s="187">
        <f>SUM(H5:H8)</f>
        <v>0</v>
      </c>
      <c r="I9" s="213" t="s">
        <v>159</v>
      </c>
      <c r="J9" s="188">
        <f>SUM(J5:J8)</f>
        <v>82.2</v>
      </c>
      <c r="K9" s="187">
        <f>SUM(K5:K8)</f>
        <v>82.2</v>
      </c>
      <c r="L9" s="187">
        <f>SUM(L5:L8)</f>
        <v>0</v>
      </c>
      <c r="M9" s="213" t="s">
        <v>159</v>
      </c>
      <c r="N9" s="188">
        <f>SUM(N5:N8)</f>
        <v>82.800000000000011</v>
      </c>
      <c r="O9" s="187">
        <f>SUM(O5:O8)</f>
        <v>82.800000000000011</v>
      </c>
      <c r="P9" s="187">
        <f>SUM(P5:P8)</f>
        <v>0</v>
      </c>
      <c r="Q9" s="213" t="s">
        <v>159</v>
      </c>
      <c r="R9" s="188">
        <f>SUM(R5:R8)</f>
        <v>102.5</v>
      </c>
      <c r="S9" s="187">
        <f>SUM(S5:S8)</f>
        <v>102.5</v>
      </c>
      <c r="T9" s="187">
        <f>SUM(T5:T8)</f>
        <v>0</v>
      </c>
      <c r="U9" s="213" t="s">
        <v>159</v>
      </c>
      <c r="V9" s="188">
        <f>SUM(V5:V8)</f>
        <v>100.30000000000001</v>
      </c>
      <c r="W9" s="187">
        <f>SUM(W5:W8)</f>
        <v>100.30000000000001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f>SUM(G25,-F25)</f>
        <v>0</v>
      </c>
      <c r="I25" s="206"/>
      <c r="J25" s="209">
        <v>-5</v>
      </c>
      <c r="K25" s="208">
        <v>-5</v>
      </c>
      <c r="L25" s="207">
        <f>SUM(K25,-J25)</f>
        <v>0</v>
      </c>
      <c r="M25" s="206"/>
      <c r="N25" s="209">
        <v>-5</v>
      </c>
      <c r="O25" s="208">
        <v>-5</v>
      </c>
      <c r="P25" s="207">
        <f>SUM(O25,-N25)</f>
        <v>0</v>
      </c>
      <c r="Q25" s="206"/>
      <c r="R25" s="209">
        <v>-5</v>
      </c>
      <c r="S25" s="208">
        <v>0</v>
      </c>
      <c r="T25" s="207">
        <f>SUM(S25,-R25)</f>
        <v>5</v>
      </c>
      <c r="U25" s="189" t="s">
        <v>145</v>
      </c>
      <c r="V25" s="209">
        <v>-5</v>
      </c>
      <c r="W25" s="208">
        <v>0</v>
      </c>
      <c r="X25" s="207">
        <f>SUM(W25,-V25)</f>
        <v>5</v>
      </c>
      <c r="Y25" s="189" t="s">
        <v>145</v>
      </c>
    </row>
    <row r="26" spans="3:25" ht="15.65" customHeight="1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36.200000000000003</v>
      </c>
      <c r="H29" s="457">
        <f>SUM(G29,-F29)</f>
        <v>-7.5999999999999943</v>
      </c>
      <c r="I29" s="459" t="s">
        <v>146</v>
      </c>
      <c r="J29" s="200">
        <v>43.8</v>
      </c>
      <c r="K29" s="455">
        <v>36.200000000000003</v>
      </c>
      <c r="L29" s="457">
        <f>SUM(K29,-J29)</f>
        <v>-7.5999999999999943</v>
      </c>
      <c r="M29" s="459" t="s">
        <v>146</v>
      </c>
      <c r="N29" s="200">
        <v>43.8</v>
      </c>
      <c r="O29" s="455">
        <v>36.200000000000003</v>
      </c>
      <c r="P29" s="457">
        <f>SUM(O29,-N29)</f>
        <v>-7.5999999999999943</v>
      </c>
      <c r="Q29" s="459" t="s">
        <v>146</v>
      </c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54.4</v>
      </c>
      <c r="T31" s="457">
        <f>SUM(S31,-R31)</f>
        <v>0</v>
      </c>
      <c r="U31" s="459"/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26.7</v>
      </c>
      <c r="H33" s="457">
        <f>SUM(G33,-F33)</f>
        <v>1.1999999999999993</v>
      </c>
      <c r="I33" s="459" t="s">
        <v>148</v>
      </c>
      <c r="J33" s="200">
        <v>25.5</v>
      </c>
      <c r="K33" s="199">
        <v>26.7</v>
      </c>
      <c r="L33" s="457">
        <f>SUM(K33,-J33)</f>
        <v>1.1999999999999993</v>
      </c>
      <c r="M33" s="459" t="s">
        <v>184</v>
      </c>
      <c r="N33" s="200">
        <v>25.5</v>
      </c>
      <c r="O33" s="199">
        <v>26.7</v>
      </c>
      <c r="P33" s="457">
        <f>SUM(O33,-N33)</f>
        <v>1.1999999999999993</v>
      </c>
      <c r="Q33" s="459" t="s">
        <v>184</v>
      </c>
      <c r="R33" s="200">
        <v>25.5</v>
      </c>
      <c r="S33" s="199">
        <v>37</v>
      </c>
      <c r="T33" s="457">
        <f>SUM(S33,-R33)</f>
        <v>11.5</v>
      </c>
      <c r="U33" s="459" t="s">
        <v>184</v>
      </c>
      <c r="V33" s="200">
        <v>25.5</v>
      </c>
      <c r="W33" s="199">
        <v>39</v>
      </c>
      <c r="X33" s="457">
        <f>SUM(W33,-V33)</f>
        <v>13.5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0.19</v>
      </c>
      <c r="G34" s="230">
        <v>20</v>
      </c>
      <c r="H34" s="458"/>
      <c r="I34" s="460"/>
      <c r="J34" s="198">
        <v>0.19</v>
      </c>
      <c r="K34" s="230">
        <v>20</v>
      </c>
      <c r="L34" s="458"/>
      <c r="M34" s="460"/>
      <c r="N34" s="198">
        <v>0.19</v>
      </c>
      <c r="O34" s="230">
        <v>20</v>
      </c>
      <c r="P34" s="458"/>
      <c r="Q34" s="460"/>
      <c r="R34" s="198">
        <v>0.19</v>
      </c>
      <c r="S34" s="230">
        <v>28</v>
      </c>
      <c r="T34" s="458"/>
      <c r="U34" s="460"/>
      <c r="V34" s="198">
        <v>0.19</v>
      </c>
      <c r="W34" s="230">
        <v>29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0.2</v>
      </c>
      <c r="H37" s="164">
        <f>SUM(G37,-F37)</f>
        <v>-9.8000000000000007</v>
      </c>
      <c r="I37" s="189" t="s">
        <v>147</v>
      </c>
      <c r="J37" s="166">
        <v>10</v>
      </c>
      <c r="K37" s="165">
        <v>0.2</v>
      </c>
      <c r="L37" s="164">
        <f>SUM(K37,-J37)</f>
        <v>-9.8000000000000007</v>
      </c>
      <c r="M37" s="189" t="s">
        <v>147</v>
      </c>
      <c r="N37" s="166">
        <v>10</v>
      </c>
      <c r="O37" s="165">
        <v>0.2</v>
      </c>
      <c r="P37" s="164">
        <f>SUM(O37,-N37)</f>
        <v>-9.8000000000000007</v>
      </c>
      <c r="Q37" s="189" t="s">
        <v>147</v>
      </c>
      <c r="R37" s="166">
        <v>10</v>
      </c>
      <c r="S37" s="165">
        <v>0.2</v>
      </c>
      <c r="T37" s="164">
        <f>SUM(S37,-R37)</f>
        <v>-9.8000000000000007</v>
      </c>
      <c r="U37" s="189" t="s">
        <v>170</v>
      </c>
      <c r="V37" s="166">
        <v>10</v>
      </c>
      <c r="W37" s="165">
        <v>0.2</v>
      </c>
      <c r="X37" s="164">
        <f>SUM(W37,-V37)</f>
        <v>-9.8000000000000007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133.69999999999999</v>
      </c>
      <c r="G38" s="187">
        <f>SUM(G29:G33,G37)</f>
        <v>117.5</v>
      </c>
      <c r="H38" s="187">
        <f>SUM(H29:H34,H37)</f>
        <v>-16.199999999999996</v>
      </c>
      <c r="I38" s="186"/>
      <c r="J38" s="188">
        <f>SUM(J29,J31,J33,J37)</f>
        <v>133.69999999999999</v>
      </c>
      <c r="K38" s="187">
        <f>SUM(K29:K33,K37)</f>
        <v>117.5</v>
      </c>
      <c r="L38" s="187">
        <f>SUM(L29:L34,L37)</f>
        <v>-16.199999999999996</v>
      </c>
      <c r="M38" s="186"/>
      <c r="N38" s="188">
        <f>SUM(N29,N31,N33,N37)</f>
        <v>133.69999999999999</v>
      </c>
      <c r="O38" s="187">
        <f>SUM(O29:O33,O37)</f>
        <v>117.5</v>
      </c>
      <c r="P38" s="187">
        <f>SUM(P29:P34,P37)</f>
        <v>-16.199999999999996</v>
      </c>
      <c r="Q38" s="186"/>
      <c r="R38" s="188">
        <f>SUM(R29,R31,R33,R37)</f>
        <v>133.69999999999999</v>
      </c>
      <c r="S38" s="187">
        <f>SUM(S29:S33,S37)</f>
        <v>135.39999999999998</v>
      </c>
      <c r="T38" s="187">
        <f>SUM(T29:T34,T37)</f>
        <v>1.6999999999999993</v>
      </c>
      <c r="U38" s="186"/>
      <c r="V38" s="188">
        <f>SUM(V29,V31,V33,V37)</f>
        <v>133.69999999999999</v>
      </c>
      <c r="W38" s="187">
        <f>SUM(W29:W33,W37)</f>
        <v>137.39999999999998</v>
      </c>
      <c r="X38" s="187">
        <f>SUM(X29:X34,X37)</f>
        <v>3.6999999999999993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194</v>
      </c>
      <c r="G43" s="479"/>
      <c r="H43" s="480"/>
      <c r="I43" s="481"/>
      <c r="J43" s="183">
        <v>194</v>
      </c>
      <c r="K43" s="479"/>
      <c r="L43" s="480"/>
      <c r="M43" s="481"/>
      <c r="N43" s="183">
        <v>194</v>
      </c>
      <c r="O43" s="479"/>
      <c r="P43" s="480"/>
      <c r="Q43" s="481"/>
      <c r="R43" s="183">
        <v>218</v>
      </c>
      <c r="S43" s="479"/>
      <c r="T43" s="480"/>
      <c r="U43" s="481"/>
      <c r="V43" s="183">
        <v>218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36.5</v>
      </c>
      <c r="G47" s="478">
        <v>38.799999999999997</v>
      </c>
      <c r="H47" s="457">
        <f>SUM(G47,-F47)</f>
        <v>2.2999999999999972</v>
      </c>
      <c r="I47" s="459" t="s">
        <v>149</v>
      </c>
      <c r="J47" s="178">
        <v>36.5</v>
      </c>
      <c r="K47" s="478">
        <v>38.799999999999997</v>
      </c>
      <c r="L47" s="457">
        <f>SUM(K47,-J47)</f>
        <v>2.2999999999999972</v>
      </c>
      <c r="M47" s="459" t="s">
        <v>149</v>
      </c>
      <c r="N47" s="178">
        <v>36.5</v>
      </c>
      <c r="O47" s="478">
        <v>38.799999999999997</v>
      </c>
      <c r="P47" s="457">
        <f>SUM(O47,-N47)</f>
        <v>2.2999999999999972</v>
      </c>
      <c r="Q47" s="459" t="s">
        <v>181</v>
      </c>
      <c r="R47" s="178">
        <v>36.5</v>
      </c>
      <c r="S47" s="478">
        <v>36.5</v>
      </c>
      <c r="T47" s="457">
        <f>SUM(S47,-R47)</f>
        <v>0</v>
      </c>
      <c r="U47" s="459"/>
      <c r="V47" s="178">
        <v>39</v>
      </c>
      <c r="W47" s="478">
        <v>36.5</v>
      </c>
      <c r="X47" s="457">
        <f>SUM(W47,-V47)</f>
        <v>-2.5</v>
      </c>
      <c r="Y47" s="459" t="s">
        <v>149</v>
      </c>
    </row>
    <row r="48" spans="3:25" ht="16.5" thickBot="1">
      <c r="C48" s="486"/>
      <c r="D48" s="487"/>
      <c r="E48" s="489"/>
      <c r="F48" s="177">
        <v>0.62</v>
      </c>
      <c r="G48" s="479"/>
      <c r="H48" s="480"/>
      <c r="I48" s="481"/>
      <c r="J48" s="177">
        <v>0.62</v>
      </c>
      <c r="K48" s="479"/>
      <c r="L48" s="480"/>
      <c r="M48" s="481"/>
      <c r="N48" s="177">
        <v>0.62</v>
      </c>
      <c r="O48" s="479"/>
      <c r="P48" s="480"/>
      <c r="Q48" s="481"/>
      <c r="R48" s="177">
        <v>0.62</v>
      </c>
      <c r="S48" s="479"/>
      <c r="T48" s="480"/>
      <c r="U48" s="481"/>
      <c r="V48" s="177">
        <v>0.61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27.8</v>
      </c>
      <c r="H53" s="223" t="s">
        <v>159</v>
      </c>
      <c r="I53" s="222" t="s">
        <v>180</v>
      </c>
      <c r="J53" s="225">
        <v>0</v>
      </c>
      <c r="K53" s="229">
        <v>28</v>
      </c>
      <c r="L53" s="223" t="s">
        <v>159</v>
      </c>
      <c r="M53" s="222" t="s">
        <v>180</v>
      </c>
      <c r="N53" s="225">
        <v>0</v>
      </c>
      <c r="O53" s="229">
        <v>28.2</v>
      </c>
      <c r="P53" s="223" t="s">
        <v>159</v>
      </c>
      <c r="Q53" s="222" t="s">
        <v>180</v>
      </c>
      <c r="R53" s="225">
        <v>0</v>
      </c>
      <c r="S53" s="229">
        <v>24.9</v>
      </c>
      <c r="T53" s="223" t="s">
        <v>159</v>
      </c>
      <c r="U53" s="222" t="s">
        <v>180</v>
      </c>
      <c r="V53" s="225">
        <v>0</v>
      </c>
      <c r="W53" s="229">
        <v>25.1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EB31-686D-4570-B3C5-AC3582EE7E2E}">
  <sheetPr>
    <pageSetUpPr fitToPage="1"/>
  </sheetPr>
  <dimension ref="A1:Y57"/>
  <sheetViews>
    <sheetView showGridLines="0" view="pageBreakPreview" zoomScale="70" zoomScaleNormal="70" zoomScaleSheetLayoutView="70" zoomScalePageLayoutView="55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45679</v>
      </c>
      <c r="G3" s="418"/>
      <c r="H3" s="418"/>
      <c r="I3" s="419"/>
      <c r="J3" s="417">
        <v>45682</v>
      </c>
      <c r="K3" s="418"/>
      <c r="L3" s="418"/>
      <c r="M3" s="419"/>
      <c r="N3" s="417">
        <v>45683</v>
      </c>
      <c r="O3" s="418"/>
      <c r="P3" s="418"/>
      <c r="Q3" s="419"/>
      <c r="R3" s="417">
        <v>45687</v>
      </c>
      <c r="S3" s="418"/>
      <c r="T3" s="418"/>
      <c r="U3" s="419"/>
      <c r="V3" s="417">
        <v>45688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28.1</v>
      </c>
      <c r="G5" s="165">
        <v>28.1</v>
      </c>
      <c r="H5" s="164">
        <f>SUM(G5,-F5)</f>
        <v>0</v>
      </c>
      <c r="I5" s="219"/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28.1</v>
      </c>
      <c r="O5" s="165">
        <v>28.1</v>
      </c>
      <c r="P5" s="164">
        <f>SUM(O5,-N5)</f>
        <v>0</v>
      </c>
      <c r="Q5" s="219"/>
      <c r="R5" s="166">
        <v>28.1</v>
      </c>
      <c r="S5" s="165">
        <v>28.1</v>
      </c>
      <c r="T5" s="164">
        <f>SUM(S5,-R5)</f>
        <v>0</v>
      </c>
      <c r="U5" s="219"/>
      <c r="V5" s="166">
        <v>28.1</v>
      </c>
      <c r="W5" s="165">
        <v>28.1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54.7</v>
      </c>
      <c r="G8" s="216">
        <v>54.7</v>
      </c>
      <c r="H8" s="215">
        <f>SUM(G8,-F8)</f>
        <v>0</v>
      </c>
      <c r="I8" s="214"/>
      <c r="J8" s="217">
        <v>55.7</v>
      </c>
      <c r="K8" s="216">
        <v>55.7</v>
      </c>
      <c r="L8" s="215">
        <f>SUM(K8,-J8)</f>
        <v>0</v>
      </c>
      <c r="M8" s="214"/>
      <c r="N8" s="217">
        <v>55.300000000000004</v>
      </c>
      <c r="O8" s="216">
        <v>55.300000000000004</v>
      </c>
      <c r="P8" s="215">
        <f>SUM(O8,-N8)</f>
        <v>0</v>
      </c>
      <c r="Q8" s="214"/>
      <c r="R8" s="217">
        <v>60.300000000000004</v>
      </c>
      <c r="S8" s="216">
        <v>60.300000000000004</v>
      </c>
      <c r="T8" s="215">
        <f>SUM(S8,-R8)</f>
        <v>0</v>
      </c>
      <c r="U8" s="214"/>
      <c r="V8" s="217">
        <v>59.5</v>
      </c>
      <c r="W8" s="216">
        <v>59.5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100.30000000000001</v>
      </c>
      <c r="G9" s="187">
        <f>SUM(G5:G8)</f>
        <v>100.30000000000001</v>
      </c>
      <c r="H9" s="187">
        <f>SUM(H5:H8)</f>
        <v>0</v>
      </c>
      <c r="I9" s="213" t="s">
        <v>159</v>
      </c>
      <c r="J9" s="188">
        <f>SUM(J5:J8)</f>
        <v>105.9</v>
      </c>
      <c r="K9" s="187">
        <f>SUM(K5:K8)</f>
        <v>105.9</v>
      </c>
      <c r="L9" s="187">
        <f>SUM(L5:L8)</f>
        <v>0</v>
      </c>
      <c r="M9" s="213" t="s">
        <v>159</v>
      </c>
      <c r="N9" s="188">
        <f>SUM(N5:N8)</f>
        <v>100.9</v>
      </c>
      <c r="O9" s="187">
        <f>SUM(O5:O8)</f>
        <v>100.9</v>
      </c>
      <c r="P9" s="187">
        <f>SUM(P5:P8)</f>
        <v>0</v>
      </c>
      <c r="Q9" s="213" t="s">
        <v>159</v>
      </c>
      <c r="R9" s="188">
        <f>SUM(R5:R8)</f>
        <v>105.9</v>
      </c>
      <c r="S9" s="187">
        <f>SUM(S5:S8)</f>
        <v>105.9</v>
      </c>
      <c r="T9" s="187">
        <f>SUM(T5:T8)</f>
        <v>0</v>
      </c>
      <c r="U9" s="213" t="s">
        <v>159</v>
      </c>
      <c r="V9" s="188">
        <f>SUM(V5:V8)</f>
        <v>105.1</v>
      </c>
      <c r="W9" s="187">
        <f>SUM(W5:W8)</f>
        <v>105.1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f>SUM(G25,-F25)</f>
        <v>5</v>
      </c>
      <c r="I25" s="206" t="s">
        <v>149</v>
      </c>
      <c r="J25" s="209">
        <v>-5</v>
      </c>
      <c r="K25" s="208">
        <v>0</v>
      </c>
      <c r="L25" s="207">
        <f>SUM(K25,-J25)</f>
        <v>5</v>
      </c>
      <c r="M25" s="206" t="s">
        <v>149</v>
      </c>
      <c r="N25" s="209">
        <v>-5</v>
      </c>
      <c r="O25" s="208">
        <v>0</v>
      </c>
      <c r="P25" s="207">
        <f>SUM(O25,-N25)</f>
        <v>5</v>
      </c>
      <c r="Q25" s="206" t="s">
        <v>149</v>
      </c>
      <c r="R25" s="209">
        <v>-5</v>
      </c>
      <c r="S25" s="208">
        <v>0</v>
      </c>
      <c r="T25" s="207">
        <f>SUM(S25,-R25)</f>
        <v>5</v>
      </c>
      <c r="U25" s="206" t="s">
        <v>149</v>
      </c>
      <c r="V25" s="209">
        <v>-5</v>
      </c>
      <c r="W25" s="208">
        <v>0</v>
      </c>
      <c r="X25" s="207">
        <f>SUM(W25,-V25)</f>
        <v>5</v>
      </c>
      <c r="Y25" s="206" t="s">
        <v>149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0.46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64.099999999999994</v>
      </c>
      <c r="P31" s="457">
        <f>SUM(O31,-N31)</f>
        <v>9.6999999999999957</v>
      </c>
      <c r="Q31" s="459" t="s">
        <v>149</v>
      </c>
      <c r="R31" s="200">
        <v>54.4</v>
      </c>
      <c r="S31" s="455">
        <v>101</v>
      </c>
      <c r="T31" s="457">
        <f>SUM(S31,-R31)</f>
        <v>46.6</v>
      </c>
      <c r="U31" s="459" t="s">
        <v>149</v>
      </c>
      <c r="V31" s="200">
        <v>54.4</v>
      </c>
      <c r="W31" s="455">
        <v>97.6</v>
      </c>
      <c r="X31" s="457">
        <f>SUM(W31,-V31)</f>
        <v>43.199999999999996</v>
      </c>
      <c r="Y31" s="459" t="s">
        <v>149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46.1</v>
      </c>
      <c r="H33" s="457">
        <f>SUM(G33,-F33)</f>
        <v>20.6</v>
      </c>
      <c r="I33" s="459" t="s">
        <v>184</v>
      </c>
      <c r="J33" s="200">
        <v>25.5</v>
      </c>
      <c r="K33" s="199">
        <v>38.200000000000003</v>
      </c>
      <c r="L33" s="457">
        <f>SUM(K33,-J33)</f>
        <v>12.700000000000003</v>
      </c>
      <c r="M33" s="459" t="s">
        <v>184</v>
      </c>
      <c r="N33" s="200">
        <v>25.5</v>
      </c>
      <c r="O33" s="199">
        <v>38.200000000000003</v>
      </c>
      <c r="P33" s="457">
        <f>SUM(O33,-N33)</f>
        <v>12.700000000000003</v>
      </c>
      <c r="Q33" s="459" t="s">
        <v>184</v>
      </c>
      <c r="R33" s="200">
        <v>25.5</v>
      </c>
      <c r="S33" s="199">
        <v>38.9</v>
      </c>
      <c r="T33" s="457">
        <f>SUM(S33,-R33)</f>
        <v>13.399999999999999</v>
      </c>
      <c r="U33" s="459" t="s">
        <v>184</v>
      </c>
      <c r="V33" s="200">
        <v>25.5</v>
      </c>
      <c r="W33" s="199">
        <v>38.799999999999997</v>
      </c>
      <c r="X33" s="457">
        <f>SUM(W33,-V33)</f>
        <v>13.299999999999997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0.19</v>
      </c>
      <c r="G34" s="230">
        <v>35</v>
      </c>
      <c r="H34" s="458"/>
      <c r="I34" s="460"/>
      <c r="J34" s="198">
        <v>0.19</v>
      </c>
      <c r="K34" s="230">
        <v>29</v>
      </c>
      <c r="L34" s="458"/>
      <c r="M34" s="460"/>
      <c r="N34" s="198">
        <v>0.19</v>
      </c>
      <c r="O34" s="230">
        <v>29</v>
      </c>
      <c r="P34" s="458"/>
      <c r="Q34" s="460"/>
      <c r="R34" s="198">
        <v>0.19</v>
      </c>
      <c r="S34" s="230">
        <v>29</v>
      </c>
      <c r="T34" s="458"/>
      <c r="U34" s="460"/>
      <c r="V34" s="198">
        <v>0.19</v>
      </c>
      <c r="W34" s="230">
        <v>29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0.2</v>
      </c>
      <c r="H37" s="164">
        <f>SUM(G37,-F37)</f>
        <v>-9.8000000000000007</v>
      </c>
      <c r="I37" s="189" t="s">
        <v>147</v>
      </c>
      <c r="J37" s="166">
        <v>10</v>
      </c>
      <c r="K37" s="165">
        <v>0</v>
      </c>
      <c r="L37" s="164">
        <f>SUM(K37,-J37)</f>
        <v>-10</v>
      </c>
      <c r="M37" s="189" t="s">
        <v>147</v>
      </c>
      <c r="N37" s="166">
        <v>10</v>
      </c>
      <c r="O37" s="165">
        <v>0</v>
      </c>
      <c r="P37" s="164">
        <f>SUM(O37,-N37)</f>
        <v>-10</v>
      </c>
      <c r="Q37" s="189" t="s">
        <v>147</v>
      </c>
      <c r="R37" s="166">
        <v>10</v>
      </c>
      <c r="S37" s="165">
        <v>0</v>
      </c>
      <c r="T37" s="164">
        <f>SUM(S37,-R37)</f>
        <v>-10</v>
      </c>
      <c r="U37" s="189" t="s">
        <v>170</v>
      </c>
      <c r="V37" s="166">
        <v>10</v>
      </c>
      <c r="W37" s="165">
        <v>0</v>
      </c>
      <c r="X37" s="164">
        <f>SUM(W37,-V37)</f>
        <v>-10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133.69999999999999</v>
      </c>
      <c r="G38" s="187">
        <f>SUM(G29:G33,G37)</f>
        <v>144.49999999999997</v>
      </c>
      <c r="H38" s="187">
        <f>SUM(H29:H34,H37)</f>
        <v>10.8</v>
      </c>
      <c r="I38" s="186"/>
      <c r="J38" s="188">
        <f>SUM(J29,J31,J33,J37)</f>
        <v>133.69999999999999</v>
      </c>
      <c r="K38" s="187">
        <f>SUM(K29:K33,K37)</f>
        <v>136.39999999999998</v>
      </c>
      <c r="L38" s="187">
        <f>SUM(L29:L34,L37)</f>
        <v>2.7000000000000028</v>
      </c>
      <c r="M38" s="186"/>
      <c r="N38" s="188">
        <f>SUM(N29,N31,N33,N37)</f>
        <v>133.69999999999999</v>
      </c>
      <c r="O38" s="187">
        <f>SUM(O29:O33,O37)</f>
        <v>146.1</v>
      </c>
      <c r="P38" s="187">
        <f>SUM(P29:P34,P37)</f>
        <v>12.399999999999999</v>
      </c>
      <c r="Q38" s="186"/>
      <c r="R38" s="188">
        <f>SUM(R29,R31,R33,R37)</f>
        <v>133.69999999999999</v>
      </c>
      <c r="S38" s="187">
        <f>SUM(S29:S33,S37)</f>
        <v>183.70000000000002</v>
      </c>
      <c r="T38" s="187">
        <f>SUM(T29:T34,T37)</f>
        <v>50</v>
      </c>
      <c r="U38" s="186"/>
      <c r="V38" s="188">
        <f>SUM(V29,V31,V33,V37)</f>
        <v>133.69999999999999</v>
      </c>
      <c r="W38" s="187">
        <f>SUM(W29:W33,W37)</f>
        <v>180.2</v>
      </c>
      <c r="X38" s="187">
        <f>SUM(X29:X34,X37)</f>
        <v>46.499999999999993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110.8</v>
      </c>
      <c r="G42" s="478">
        <v>0</v>
      </c>
      <c r="H42" s="457">
        <f>SUM(G42,-F42)</f>
        <v>-110.8</v>
      </c>
      <c r="I42" s="459" t="s">
        <v>151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4.2</v>
      </c>
      <c r="S42" s="478">
        <v>4.2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257</v>
      </c>
      <c r="G43" s="479"/>
      <c r="H43" s="480"/>
      <c r="I43" s="481"/>
      <c r="J43" s="183">
        <v>218</v>
      </c>
      <c r="K43" s="479"/>
      <c r="L43" s="480"/>
      <c r="M43" s="481"/>
      <c r="N43" s="183">
        <v>218</v>
      </c>
      <c r="O43" s="479"/>
      <c r="P43" s="480"/>
      <c r="Q43" s="481"/>
      <c r="R43" s="183">
        <v>272</v>
      </c>
      <c r="S43" s="479"/>
      <c r="T43" s="480"/>
      <c r="U43" s="481"/>
      <c r="V43" s="183">
        <v>272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44.2</v>
      </c>
      <c r="G47" s="478">
        <v>48.3</v>
      </c>
      <c r="H47" s="457">
        <f>SUM(G47,-F47)</f>
        <v>4.0999999999999943</v>
      </c>
      <c r="I47" s="459" t="s">
        <v>149</v>
      </c>
      <c r="J47" s="178">
        <v>44.2</v>
      </c>
      <c r="K47" s="478">
        <v>48.3</v>
      </c>
      <c r="L47" s="457">
        <f>SUM(K47,-J47)</f>
        <v>4.0999999999999943</v>
      </c>
      <c r="M47" s="459" t="s">
        <v>149</v>
      </c>
      <c r="N47" s="178">
        <v>44.2</v>
      </c>
      <c r="O47" s="478">
        <v>47.8</v>
      </c>
      <c r="P47" s="457">
        <f>SUM(O47,-N47)</f>
        <v>3.5999999999999943</v>
      </c>
      <c r="Q47" s="459" t="s">
        <v>181</v>
      </c>
      <c r="R47" s="178">
        <v>44.2</v>
      </c>
      <c r="S47" s="478">
        <v>47.8</v>
      </c>
      <c r="T47" s="457">
        <f>SUM(S47,-R47)</f>
        <v>3.5999999999999943</v>
      </c>
      <c r="U47" s="459" t="s">
        <v>181</v>
      </c>
      <c r="V47" s="178">
        <v>44.2</v>
      </c>
      <c r="W47" s="478">
        <v>47.8</v>
      </c>
      <c r="X47" s="457">
        <f>SUM(W47,-V47)</f>
        <v>3.5999999999999943</v>
      </c>
      <c r="Y47" s="459" t="s">
        <v>181</v>
      </c>
    </row>
    <row r="48" spans="3:25" ht="16.5" thickBot="1">
      <c r="C48" s="486"/>
      <c r="D48" s="487"/>
      <c r="E48" s="489"/>
      <c r="F48" s="177">
        <v>0.59</v>
      </c>
      <c r="G48" s="479"/>
      <c r="H48" s="480"/>
      <c r="I48" s="481"/>
      <c r="J48" s="177">
        <v>0.59</v>
      </c>
      <c r="K48" s="479"/>
      <c r="L48" s="480"/>
      <c r="M48" s="481"/>
      <c r="N48" s="177">
        <v>0.59</v>
      </c>
      <c r="O48" s="479"/>
      <c r="P48" s="480"/>
      <c r="Q48" s="481"/>
      <c r="R48" s="177">
        <v>0.59</v>
      </c>
      <c r="S48" s="479"/>
      <c r="T48" s="480"/>
      <c r="U48" s="481"/>
      <c r="V48" s="177">
        <v>0.59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25.3</v>
      </c>
      <c r="H53" s="223" t="s">
        <v>159</v>
      </c>
      <c r="I53" s="222" t="s">
        <v>180</v>
      </c>
      <c r="J53" s="225">
        <v>0</v>
      </c>
      <c r="K53" s="229">
        <v>24.8</v>
      </c>
      <c r="L53" s="223" t="s">
        <v>159</v>
      </c>
      <c r="M53" s="222" t="s">
        <v>180</v>
      </c>
      <c r="N53" s="225">
        <v>0</v>
      </c>
      <c r="O53" s="229">
        <v>24.8</v>
      </c>
      <c r="P53" s="223" t="s">
        <v>159</v>
      </c>
      <c r="Q53" s="222" t="s">
        <v>180</v>
      </c>
      <c r="R53" s="225">
        <v>0</v>
      </c>
      <c r="S53" s="229">
        <v>25.7</v>
      </c>
      <c r="T53" s="223" t="s">
        <v>159</v>
      </c>
      <c r="U53" s="222" t="s">
        <v>180</v>
      </c>
      <c r="V53" s="225">
        <v>0</v>
      </c>
      <c r="W53" s="229">
        <v>25.9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79CD-4DBF-4200-A6F9-511FFE264998}">
  <dimension ref="B1:O69"/>
  <sheetViews>
    <sheetView showGridLines="0" view="pageBreakPreview" zoomScale="70" zoomScaleNormal="70" zoomScaleSheetLayoutView="70" zoomScalePage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45699</v>
      </c>
      <c r="G3" s="96" t="s">
        <v>67</v>
      </c>
      <c r="H3" s="95">
        <v>45701</v>
      </c>
      <c r="I3" s="96" t="s">
        <v>67</v>
      </c>
      <c r="J3" s="25">
        <v>45702</v>
      </c>
      <c r="K3" s="26" t="s">
        <v>48</v>
      </c>
      <c r="L3" s="25">
        <v>45704</v>
      </c>
      <c r="M3" s="26" t="s">
        <v>70</v>
      </c>
      <c r="N3" s="25">
        <v>45705</v>
      </c>
      <c r="O3" s="26" t="s">
        <v>48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107.3</v>
      </c>
      <c r="G5" s="381" t="s">
        <v>45</v>
      </c>
      <c r="H5" s="9">
        <v>109.1</v>
      </c>
      <c r="I5" s="384" t="s">
        <v>65</v>
      </c>
      <c r="J5" s="9">
        <v>108.9</v>
      </c>
      <c r="K5" s="384" t="s">
        <v>45</v>
      </c>
      <c r="L5" s="9">
        <v>104.6</v>
      </c>
      <c r="M5" s="384" t="s">
        <v>65</v>
      </c>
      <c r="N5" s="9">
        <v>108.9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134.1</v>
      </c>
      <c r="G6" s="382"/>
      <c r="H6" s="10">
        <v>214.3</v>
      </c>
      <c r="I6" s="385"/>
      <c r="J6" s="10">
        <v>203.6</v>
      </c>
      <c r="K6" s="385"/>
      <c r="L6" s="10">
        <v>136.30000000000001</v>
      </c>
      <c r="M6" s="385"/>
      <c r="N6" s="10">
        <v>136.19999999999999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414.5</v>
      </c>
      <c r="G7" s="382"/>
      <c r="H7" s="28">
        <v>411.3</v>
      </c>
      <c r="I7" s="385"/>
      <c r="J7" s="28">
        <v>414.6</v>
      </c>
      <c r="K7" s="385"/>
      <c r="L7" s="28">
        <v>414.5</v>
      </c>
      <c r="M7" s="385"/>
      <c r="N7" s="28">
        <v>411.3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18.600000000000001</v>
      </c>
      <c r="G8" s="382"/>
      <c r="H8" s="29">
        <v>16.10000000000009</v>
      </c>
      <c r="I8" s="385"/>
      <c r="J8" s="29">
        <v>17.8</v>
      </c>
      <c r="K8" s="385"/>
      <c r="L8" s="29">
        <v>20.500000000000362</v>
      </c>
      <c r="M8" s="385"/>
      <c r="N8" s="29">
        <v>18.59999999999992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16.7</v>
      </c>
      <c r="G9" s="382"/>
      <c r="H9" s="30">
        <v>15.5</v>
      </c>
      <c r="I9" s="385"/>
      <c r="J9" s="30">
        <v>15.5</v>
      </c>
      <c r="K9" s="385"/>
      <c r="L9" s="30">
        <v>16.7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43.2</v>
      </c>
      <c r="G10" s="382"/>
      <c r="H10" s="11">
        <v>45.3</v>
      </c>
      <c r="I10" s="385"/>
      <c r="J10" s="11">
        <v>46.2</v>
      </c>
      <c r="K10" s="385"/>
      <c r="L10" s="11">
        <v>44</v>
      </c>
      <c r="M10" s="385"/>
      <c r="N10" s="11">
        <v>46.1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23.4</v>
      </c>
      <c r="G11" s="382"/>
      <c r="H11" s="12">
        <v>23.3</v>
      </c>
      <c r="I11" s="385"/>
      <c r="J11" s="12">
        <v>23.5</v>
      </c>
      <c r="K11" s="385"/>
      <c r="L11" s="12">
        <v>24.3</v>
      </c>
      <c r="M11" s="385"/>
      <c r="N11" s="12">
        <v>24.6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883</v>
      </c>
      <c r="G12" s="382"/>
      <c r="H12" s="13">
        <v>867.8</v>
      </c>
      <c r="I12" s="385"/>
      <c r="J12" s="13">
        <v>883.5</v>
      </c>
      <c r="K12" s="385"/>
      <c r="L12" s="13">
        <v>517.4</v>
      </c>
      <c r="M12" s="385"/>
      <c r="N12" s="13">
        <v>893.8</v>
      </c>
      <c r="O12" s="385"/>
    </row>
    <row r="13" spans="2:15" ht="16">
      <c r="B13" s="376"/>
      <c r="C13" s="379"/>
      <c r="D13" s="388"/>
      <c r="E13" s="45" t="s">
        <v>27</v>
      </c>
      <c r="F13" s="106">
        <v>4</v>
      </c>
      <c r="G13" s="382"/>
      <c r="H13" s="13">
        <v>20.3</v>
      </c>
      <c r="I13" s="385"/>
      <c r="J13" s="13">
        <v>5.0999999999999996</v>
      </c>
      <c r="K13" s="385"/>
      <c r="L13" s="13">
        <v>14.1</v>
      </c>
      <c r="M13" s="385"/>
      <c r="N13" s="13">
        <v>26.1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163.9</v>
      </c>
      <c r="G14" s="382"/>
      <c r="H14" s="14">
        <v>179.1</v>
      </c>
      <c r="I14" s="385"/>
      <c r="J14" s="14">
        <v>163.4</v>
      </c>
      <c r="K14" s="385"/>
      <c r="L14" s="14">
        <v>233</v>
      </c>
      <c r="M14" s="385"/>
      <c r="N14" s="14">
        <v>153.1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1808.7000000000003</v>
      </c>
      <c r="G15" s="382"/>
      <c r="H15" s="15">
        <v>1902.1</v>
      </c>
      <c r="I15" s="385"/>
      <c r="J15" s="15">
        <v>1882.1</v>
      </c>
      <c r="K15" s="385"/>
      <c r="L15" s="15">
        <v>1525.4</v>
      </c>
      <c r="M15" s="385"/>
      <c r="N15" s="15">
        <v>1835.3999999999996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995</v>
      </c>
      <c r="G16" s="382"/>
      <c r="H16" s="8">
        <v>1085</v>
      </c>
      <c r="I16" s="385"/>
      <c r="J16" s="8">
        <v>1075</v>
      </c>
      <c r="K16" s="385"/>
      <c r="L16" s="8">
        <v>860.9</v>
      </c>
      <c r="M16" s="385"/>
      <c r="N16" s="8">
        <v>1075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-227.1</v>
      </c>
      <c r="G17" s="382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2"/>
      <c r="H18" s="17">
        <v>0</v>
      </c>
      <c r="I18" s="385"/>
      <c r="J18" s="17">
        <v>0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-206</v>
      </c>
      <c r="G19" s="382"/>
      <c r="H19" s="18">
        <v>-256</v>
      </c>
      <c r="I19" s="385"/>
      <c r="J19" s="18">
        <v>-247.1</v>
      </c>
      <c r="K19" s="385"/>
      <c r="L19" s="18">
        <v>-186.14</v>
      </c>
      <c r="M19" s="385"/>
      <c r="N19" s="18">
        <v>-256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-1.7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1428.1</v>
      </c>
      <c r="G21" s="383"/>
      <c r="H21" s="27">
        <v>1568.1</v>
      </c>
      <c r="I21" s="386"/>
      <c r="J21" s="27">
        <v>1549.2</v>
      </c>
      <c r="K21" s="386"/>
      <c r="L21" s="27">
        <v>1275.9000000000001</v>
      </c>
      <c r="M21" s="386"/>
      <c r="N21" s="27">
        <v>1558.1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1808.7000000000003</v>
      </c>
      <c r="G23" s="414"/>
      <c r="H23" s="20">
        <v>1902.1</v>
      </c>
      <c r="I23" s="400"/>
      <c r="J23" s="20">
        <v>1882.1</v>
      </c>
      <c r="K23" s="400"/>
      <c r="L23" s="20">
        <v>1525.4</v>
      </c>
      <c r="M23" s="400"/>
      <c r="N23" s="20">
        <v>1835.3999999999996</v>
      </c>
      <c r="O23" s="400"/>
    </row>
    <row r="24" spans="2:15" ht="16">
      <c r="B24" s="409"/>
      <c r="C24" s="403" t="s">
        <v>37</v>
      </c>
      <c r="D24" s="404"/>
      <c r="E24" s="405"/>
      <c r="F24" s="21">
        <v>1428.1</v>
      </c>
      <c r="G24" s="415"/>
      <c r="H24" s="21">
        <v>1568.1</v>
      </c>
      <c r="I24" s="401"/>
      <c r="J24" s="21">
        <v>1549.2</v>
      </c>
      <c r="K24" s="401"/>
      <c r="L24" s="21">
        <v>1275.9000000000001</v>
      </c>
      <c r="M24" s="401"/>
      <c r="N24" s="21">
        <v>1558.1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380.60000000000036</v>
      </c>
      <c r="G25" s="416"/>
      <c r="H25" s="67">
        <v>334</v>
      </c>
      <c r="I25" s="402"/>
      <c r="J25" s="67">
        <v>332.89999999999986</v>
      </c>
      <c r="K25" s="402"/>
      <c r="L25" s="67">
        <v>249.5</v>
      </c>
      <c r="M25" s="402"/>
      <c r="N25" s="67">
        <v>277.29999999999973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E55D-151A-48B2-A34A-EB58026CDC36}">
  <dimension ref="B1:O69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45706</v>
      </c>
      <c r="G3" s="96" t="s">
        <v>67</v>
      </c>
      <c r="H3" s="25">
        <v>45707</v>
      </c>
      <c r="I3" s="26" t="s">
        <v>48</v>
      </c>
      <c r="J3" s="25">
        <v>45708</v>
      </c>
      <c r="K3" s="26" t="s">
        <v>48</v>
      </c>
      <c r="L3" s="25">
        <v>45710</v>
      </c>
      <c r="M3" s="26" t="s">
        <v>71</v>
      </c>
      <c r="N3" s="25">
        <v>45711</v>
      </c>
      <c r="O3" s="26" t="s">
        <v>71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111.3</v>
      </c>
      <c r="G5" s="384" t="s">
        <v>45</v>
      </c>
      <c r="H5" s="9">
        <v>110.5</v>
      </c>
      <c r="I5" s="384" t="s">
        <v>45</v>
      </c>
      <c r="J5" s="9">
        <v>109.9</v>
      </c>
      <c r="K5" s="384" t="s">
        <v>45</v>
      </c>
      <c r="L5" s="9">
        <v>109.1</v>
      </c>
      <c r="M5" s="384" t="s">
        <v>45</v>
      </c>
      <c r="N5" s="9">
        <v>108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136.19999999999999</v>
      </c>
      <c r="G6" s="385"/>
      <c r="H6" s="10">
        <v>149.1</v>
      </c>
      <c r="I6" s="385"/>
      <c r="J6" s="10">
        <v>131.9</v>
      </c>
      <c r="K6" s="385"/>
      <c r="L6" s="10">
        <v>136.9</v>
      </c>
      <c r="M6" s="385"/>
      <c r="N6" s="10">
        <v>136.9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414.6</v>
      </c>
      <c r="G7" s="385"/>
      <c r="H7" s="28">
        <v>414.4</v>
      </c>
      <c r="I7" s="385"/>
      <c r="J7" s="28">
        <v>414.6</v>
      </c>
      <c r="K7" s="385"/>
      <c r="L7" s="28">
        <v>414.8</v>
      </c>
      <c r="M7" s="385"/>
      <c r="N7" s="28">
        <v>414.8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17.69999999999991</v>
      </c>
      <c r="G8" s="385"/>
      <c r="H8" s="29">
        <v>19.100000000000051</v>
      </c>
      <c r="I8" s="385"/>
      <c r="J8" s="29">
        <v>18.599999999999863</v>
      </c>
      <c r="K8" s="385"/>
      <c r="L8" s="29">
        <v>16.600000000000001</v>
      </c>
      <c r="M8" s="385"/>
      <c r="N8" s="29">
        <v>18.3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15.5</v>
      </c>
      <c r="G9" s="385"/>
      <c r="H9" s="30">
        <v>15.2</v>
      </c>
      <c r="I9" s="385"/>
      <c r="J9" s="30">
        <v>15.5</v>
      </c>
      <c r="K9" s="385"/>
      <c r="L9" s="30">
        <v>16.600000000000001</v>
      </c>
      <c r="M9" s="385"/>
      <c r="N9" s="30">
        <v>16.600000000000001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44.4</v>
      </c>
      <c r="G10" s="385"/>
      <c r="H10" s="11">
        <v>44</v>
      </c>
      <c r="I10" s="385"/>
      <c r="J10" s="11">
        <v>41.9</v>
      </c>
      <c r="K10" s="385"/>
      <c r="L10" s="11">
        <v>41.6</v>
      </c>
      <c r="M10" s="385"/>
      <c r="N10" s="11">
        <v>41.6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25.2</v>
      </c>
      <c r="G11" s="385"/>
      <c r="H11" s="12">
        <v>25.4</v>
      </c>
      <c r="I11" s="385"/>
      <c r="J11" s="12">
        <v>25.1</v>
      </c>
      <c r="K11" s="385"/>
      <c r="L11" s="12">
        <v>25.9</v>
      </c>
      <c r="M11" s="385"/>
      <c r="N11" s="12">
        <v>25.4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806.1</v>
      </c>
      <c r="G12" s="385"/>
      <c r="H12" s="13">
        <v>844.6</v>
      </c>
      <c r="I12" s="385"/>
      <c r="J12" s="13">
        <v>862.8</v>
      </c>
      <c r="K12" s="385"/>
      <c r="L12" s="13">
        <v>739.2</v>
      </c>
      <c r="M12" s="385"/>
      <c r="N12" s="13">
        <v>650.6</v>
      </c>
      <c r="O12" s="385"/>
    </row>
    <row r="13" spans="2:15" ht="16">
      <c r="B13" s="376"/>
      <c r="C13" s="379"/>
      <c r="D13" s="388"/>
      <c r="E13" s="45" t="s">
        <v>27</v>
      </c>
      <c r="F13" s="13">
        <v>23.8</v>
      </c>
      <c r="G13" s="385"/>
      <c r="H13" s="13">
        <v>25.6</v>
      </c>
      <c r="I13" s="385"/>
      <c r="J13" s="13">
        <v>17.399999999999999</v>
      </c>
      <c r="K13" s="385"/>
      <c r="L13" s="13">
        <v>28</v>
      </c>
      <c r="M13" s="385"/>
      <c r="N13" s="13">
        <v>27.3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240.8</v>
      </c>
      <c r="G14" s="385"/>
      <c r="H14" s="14">
        <v>202.3</v>
      </c>
      <c r="I14" s="385"/>
      <c r="J14" s="14">
        <v>184.1</v>
      </c>
      <c r="K14" s="385"/>
      <c r="L14" s="14">
        <v>288</v>
      </c>
      <c r="M14" s="385"/>
      <c r="N14" s="14">
        <v>233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1835.6</v>
      </c>
      <c r="G15" s="385"/>
      <c r="H15" s="15">
        <v>1850.2</v>
      </c>
      <c r="I15" s="385"/>
      <c r="J15" s="15">
        <v>1821.8</v>
      </c>
      <c r="K15" s="385"/>
      <c r="L15" s="15">
        <v>1816.7</v>
      </c>
      <c r="M15" s="385"/>
      <c r="N15" s="15">
        <v>1672.5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1195</v>
      </c>
      <c r="G16" s="385"/>
      <c r="H16" s="8">
        <v>1155</v>
      </c>
      <c r="I16" s="385"/>
      <c r="J16" s="8">
        <v>1125</v>
      </c>
      <c r="K16" s="385"/>
      <c r="L16" s="8">
        <v>1085</v>
      </c>
      <c r="M16" s="385"/>
      <c r="N16" s="8">
        <v>1029.2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-162.1</v>
      </c>
      <c r="G17" s="385"/>
      <c r="H17" s="16">
        <v>-227.1</v>
      </c>
      <c r="I17" s="385"/>
      <c r="J17" s="16">
        <v>-194.6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0</v>
      </c>
      <c r="I18" s="385"/>
      <c r="J18" s="17">
        <v>0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-256</v>
      </c>
      <c r="G19" s="385"/>
      <c r="H19" s="18">
        <v>-247.2</v>
      </c>
      <c r="I19" s="385"/>
      <c r="J19" s="18">
        <v>-247.2</v>
      </c>
      <c r="K19" s="385"/>
      <c r="L19" s="18">
        <v>-203</v>
      </c>
      <c r="M19" s="385"/>
      <c r="N19" s="18">
        <v>-203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1613.1</v>
      </c>
      <c r="G21" s="386"/>
      <c r="H21" s="27">
        <v>1629.3</v>
      </c>
      <c r="I21" s="386"/>
      <c r="J21" s="27">
        <v>1566.8</v>
      </c>
      <c r="K21" s="386"/>
      <c r="L21" s="27">
        <v>1515.1</v>
      </c>
      <c r="M21" s="386"/>
      <c r="N21" s="27">
        <v>1459.3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1835.6</v>
      </c>
      <c r="G23" s="400"/>
      <c r="H23" s="20">
        <v>1850.2</v>
      </c>
      <c r="I23" s="400"/>
      <c r="J23" s="20">
        <v>1821.8</v>
      </c>
      <c r="K23" s="400"/>
      <c r="L23" s="20">
        <v>1816.7</v>
      </c>
      <c r="M23" s="400"/>
      <c r="N23" s="20">
        <v>1672.5</v>
      </c>
      <c r="O23" s="400"/>
    </row>
    <row r="24" spans="2:15" ht="16">
      <c r="B24" s="409"/>
      <c r="C24" s="403" t="s">
        <v>37</v>
      </c>
      <c r="D24" s="404"/>
      <c r="E24" s="405"/>
      <c r="F24" s="21">
        <v>1613.1</v>
      </c>
      <c r="G24" s="401"/>
      <c r="H24" s="21">
        <v>1629.3</v>
      </c>
      <c r="I24" s="401"/>
      <c r="J24" s="21">
        <v>1566.8</v>
      </c>
      <c r="K24" s="401"/>
      <c r="L24" s="21">
        <v>1515.1</v>
      </c>
      <c r="M24" s="401"/>
      <c r="N24" s="21">
        <v>1459.3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222.5</v>
      </c>
      <c r="G25" s="402"/>
      <c r="H25" s="67">
        <v>220.90000000000009</v>
      </c>
      <c r="I25" s="402"/>
      <c r="J25" s="67">
        <v>255</v>
      </c>
      <c r="K25" s="402"/>
      <c r="L25" s="67">
        <v>301.60000000000014</v>
      </c>
      <c r="M25" s="402"/>
      <c r="N25" s="67">
        <v>213.20000000000005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F91C-0D51-4F87-95A6-5798BFE3BD14}">
  <dimension ref="B1:O69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3" ht="15.5" thickBot="1">
      <c r="I1" s="32"/>
      <c r="M1" s="32" t="s">
        <v>24</v>
      </c>
    </row>
    <row r="2" spans="2:13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</row>
    <row r="3" spans="2:13" ht="16.5" thickBot="1">
      <c r="B3" s="3"/>
      <c r="C3" s="372" t="s">
        <v>3</v>
      </c>
      <c r="D3" s="373"/>
      <c r="E3" s="374"/>
      <c r="F3" s="25">
        <v>45712</v>
      </c>
      <c r="G3" s="26" t="s">
        <v>48</v>
      </c>
      <c r="H3" s="25">
        <v>45713</v>
      </c>
      <c r="I3" s="26" t="s">
        <v>48</v>
      </c>
      <c r="J3" s="25">
        <v>45714</v>
      </c>
      <c r="K3" s="26" t="s">
        <v>48</v>
      </c>
      <c r="L3" s="25">
        <v>45715</v>
      </c>
      <c r="M3" s="26" t="s">
        <v>48</v>
      </c>
    </row>
    <row r="4" spans="2:13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</row>
    <row r="5" spans="2:13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108.9</v>
      </c>
      <c r="G5" s="384" t="s">
        <v>45</v>
      </c>
      <c r="H5" s="9">
        <v>108.9</v>
      </c>
      <c r="I5" s="384" t="s">
        <v>45</v>
      </c>
      <c r="J5" s="9">
        <v>107.5</v>
      </c>
      <c r="K5" s="384" t="s">
        <v>45</v>
      </c>
      <c r="L5" s="9">
        <v>107.9</v>
      </c>
      <c r="M5" s="384" t="s">
        <v>45</v>
      </c>
    </row>
    <row r="6" spans="2:13" ht="16">
      <c r="B6" s="376"/>
      <c r="C6" s="379"/>
      <c r="D6" s="34" t="s">
        <v>12</v>
      </c>
      <c r="E6" s="89" t="s">
        <v>47</v>
      </c>
      <c r="F6" s="10">
        <v>137</v>
      </c>
      <c r="G6" s="385"/>
      <c r="H6" s="10">
        <v>136</v>
      </c>
      <c r="I6" s="385"/>
      <c r="J6" s="10">
        <v>144.4</v>
      </c>
      <c r="K6" s="385"/>
      <c r="L6" s="10">
        <v>141.69999999999999</v>
      </c>
      <c r="M6" s="385"/>
    </row>
    <row r="7" spans="2:13" ht="16">
      <c r="B7" s="376"/>
      <c r="C7" s="379"/>
      <c r="D7" s="35" t="s">
        <v>13</v>
      </c>
      <c r="E7" s="36" t="s">
        <v>5</v>
      </c>
      <c r="F7" s="28">
        <v>414.6</v>
      </c>
      <c r="G7" s="385"/>
      <c r="H7" s="28">
        <v>412.3</v>
      </c>
      <c r="I7" s="385"/>
      <c r="J7" s="28">
        <v>414.7</v>
      </c>
      <c r="K7" s="385"/>
      <c r="L7" s="28">
        <v>414.7</v>
      </c>
      <c r="M7" s="385"/>
    </row>
    <row r="8" spans="2:13" ht="16">
      <c r="B8" s="376"/>
      <c r="C8" s="379"/>
      <c r="D8" s="37" t="s">
        <v>14</v>
      </c>
      <c r="E8" s="38" t="s">
        <v>6</v>
      </c>
      <c r="F8" s="29">
        <v>18.399999999999999</v>
      </c>
      <c r="G8" s="385"/>
      <c r="H8" s="29">
        <v>16.800000000000022</v>
      </c>
      <c r="I8" s="385"/>
      <c r="J8" s="29">
        <v>18.7</v>
      </c>
      <c r="K8" s="385"/>
      <c r="L8" s="29">
        <v>17.499999999999979</v>
      </c>
      <c r="M8" s="385"/>
    </row>
    <row r="9" spans="2:13" ht="16">
      <c r="B9" s="376"/>
      <c r="C9" s="379"/>
      <c r="D9" s="39" t="s">
        <v>15</v>
      </c>
      <c r="E9" s="40" t="s">
        <v>7</v>
      </c>
      <c r="F9" s="30">
        <v>16.600000000000001</v>
      </c>
      <c r="G9" s="385"/>
      <c r="H9" s="30">
        <v>16.600000000000001</v>
      </c>
      <c r="I9" s="385"/>
      <c r="J9" s="30">
        <v>16.399999999999999</v>
      </c>
      <c r="K9" s="385"/>
      <c r="L9" s="30">
        <v>16.7</v>
      </c>
      <c r="M9" s="385"/>
    </row>
    <row r="10" spans="2:13" ht="16">
      <c r="B10" s="376"/>
      <c r="C10" s="379"/>
      <c r="D10" s="41" t="s">
        <v>17</v>
      </c>
      <c r="E10" s="42" t="s">
        <v>1</v>
      </c>
      <c r="F10" s="11">
        <v>38.6</v>
      </c>
      <c r="G10" s="385"/>
      <c r="H10" s="11">
        <v>40.9</v>
      </c>
      <c r="I10" s="385"/>
      <c r="J10" s="11">
        <v>40.9</v>
      </c>
      <c r="K10" s="385"/>
      <c r="L10" s="11">
        <v>42.1</v>
      </c>
      <c r="M10" s="385"/>
    </row>
    <row r="11" spans="2:13" ht="16">
      <c r="B11" s="376"/>
      <c r="C11" s="379"/>
      <c r="D11" s="43" t="s">
        <v>16</v>
      </c>
      <c r="E11" s="44" t="s">
        <v>2</v>
      </c>
      <c r="F11" s="12">
        <v>24.8</v>
      </c>
      <c r="G11" s="385"/>
      <c r="H11" s="12">
        <v>24.8</v>
      </c>
      <c r="I11" s="385"/>
      <c r="J11" s="12">
        <v>25.4</v>
      </c>
      <c r="K11" s="385"/>
      <c r="L11" s="12">
        <v>25.9</v>
      </c>
      <c r="M11" s="385"/>
    </row>
    <row r="12" spans="2:13" ht="16">
      <c r="B12" s="376"/>
      <c r="C12" s="379"/>
      <c r="D12" s="387" t="s">
        <v>18</v>
      </c>
      <c r="E12" s="45" t="s">
        <v>26</v>
      </c>
      <c r="F12" s="13">
        <v>835.5</v>
      </c>
      <c r="G12" s="385"/>
      <c r="H12" s="13">
        <v>884.3</v>
      </c>
      <c r="I12" s="385"/>
      <c r="J12" s="13">
        <v>777.2</v>
      </c>
      <c r="K12" s="385"/>
      <c r="L12" s="13">
        <v>800.8</v>
      </c>
      <c r="M12" s="385"/>
    </row>
    <row r="13" spans="2:13" ht="16">
      <c r="B13" s="376"/>
      <c r="C13" s="379"/>
      <c r="D13" s="388"/>
      <c r="E13" s="45" t="s">
        <v>27</v>
      </c>
      <c r="F13" s="13">
        <v>22.7</v>
      </c>
      <c r="G13" s="385"/>
      <c r="H13" s="13">
        <v>6.2</v>
      </c>
      <c r="I13" s="385"/>
      <c r="J13" s="13">
        <v>16.3</v>
      </c>
      <c r="K13" s="385"/>
      <c r="L13" s="13">
        <v>0.2</v>
      </c>
      <c r="M13" s="385"/>
    </row>
    <row r="14" spans="2:13" ht="16">
      <c r="B14" s="376"/>
      <c r="C14" s="379"/>
      <c r="D14" s="46" t="s">
        <v>19</v>
      </c>
      <c r="E14" s="47" t="s">
        <v>4</v>
      </c>
      <c r="F14" s="14">
        <v>211.4</v>
      </c>
      <c r="G14" s="385"/>
      <c r="H14" s="14">
        <v>162.6</v>
      </c>
      <c r="I14" s="385"/>
      <c r="J14" s="14">
        <v>269.7</v>
      </c>
      <c r="K14" s="385"/>
      <c r="L14" s="14">
        <v>246.1</v>
      </c>
      <c r="M14" s="385"/>
    </row>
    <row r="15" spans="2:13" ht="16.5" thickBot="1">
      <c r="B15" s="376"/>
      <c r="C15" s="380"/>
      <c r="D15" s="389" t="s">
        <v>28</v>
      </c>
      <c r="E15" s="390"/>
      <c r="F15" s="15">
        <v>1828.5000000000002</v>
      </c>
      <c r="G15" s="385"/>
      <c r="H15" s="15">
        <v>1809.3999999999999</v>
      </c>
      <c r="I15" s="385"/>
      <c r="J15" s="15">
        <v>1831.2</v>
      </c>
      <c r="K15" s="385"/>
      <c r="L15" s="15">
        <v>1813.6</v>
      </c>
      <c r="M15" s="385"/>
    </row>
    <row r="16" spans="2:13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1075</v>
      </c>
      <c r="G16" s="385"/>
      <c r="H16" s="8">
        <v>1075</v>
      </c>
      <c r="I16" s="385"/>
      <c r="J16" s="8">
        <v>1005</v>
      </c>
      <c r="K16" s="385"/>
      <c r="L16" s="8">
        <v>1025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-201</v>
      </c>
      <c r="I17" s="385"/>
      <c r="J17" s="16">
        <v>-201</v>
      </c>
      <c r="K17" s="385"/>
      <c r="L17" s="16">
        <v>-201</v>
      </c>
      <c r="M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0</v>
      </c>
      <c r="I18" s="385"/>
      <c r="J18" s="17">
        <v>0</v>
      </c>
      <c r="K18" s="385"/>
      <c r="L18" s="17">
        <v>0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-206</v>
      </c>
      <c r="G19" s="385"/>
      <c r="H19" s="18">
        <v>-256</v>
      </c>
      <c r="I19" s="385"/>
      <c r="J19" s="18">
        <v>-256</v>
      </c>
      <c r="K19" s="385"/>
      <c r="L19" s="18">
        <v>-247.2</v>
      </c>
      <c r="M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</row>
    <row r="21" spans="2:15" ht="16.5" thickBot="1">
      <c r="B21" s="377"/>
      <c r="C21" s="393"/>
      <c r="D21" s="398" t="s">
        <v>34</v>
      </c>
      <c r="E21" s="399"/>
      <c r="F21" s="27">
        <v>1508.1</v>
      </c>
      <c r="G21" s="386"/>
      <c r="H21" s="27">
        <v>1532</v>
      </c>
      <c r="I21" s="386"/>
      <c r="J21" s="27">
        <v>1462</v>
      </c>
      <c r="K21" s="386"/>
      <c r="L21" s="27">
        <v>1473.2</v>
      </c>
      <c r="M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1828.5000000000002</v>
      </c>
      <c r="G23" s="400"/>
      <c r="H23" s="20">
        <v>1809.3999999999999</v>
      </c>
      <c r="I23" s="400"/>
      <c r="J23" s="20">
        <v>1831.2</v>
      </c>
      <c r="K23" s="400"/>
      <c r="L23" s="20">
        <v>1813.6</v>
      </c>
      <c r="M23" s="400"/>
    </row>
    <row r="24" spans="2:15" ht="16">
      <c r="B24" s="409"/>
      <c r="C24" s="403" t="s">
        <v>37</v>
      </c>
      <c r="D24" s="404"/>
      <c r="E24" s="405"/>
      <c r="F24" s="21">
        <v>1508.1</v>
      </c>
      <c r="G24" s="401"/>
      <c r="H24" s="21">
        <v>1532</v>
      </c>
      <c r="I24" s="401"/>
      <c r="J24" s="21">
        <v>1462</v>
      </c>
      <c r="K24" s="401"/>
      <c r="L24" s="21">
        <v>1473.2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320.40000000000032</v>
      </c>
      <c r="G25" s="402"/>
      <c r="H25" s="67">
        <v>277.39999999999986</v>
      </c>
      <c r="I25" s="402"/>
      <c r="J25" s="67">
        <v>369.20000000000005</v>
      </c>
      <c r="K25" s="402"/>
      <c r="L25" s="67">
        <v>340.39999999999986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6">
    <mergeCell ref="C3:E3"/>
    <mergeCell ref="C2:E2"/>
    <mergeCell ref="F2:G2"/>
    <mergeCell ref="H2:I2"/>
    <mergeCell ref="J2:K2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D25:E25"/>
    <mergeCell ref="D19:D20"/>
    <mergeCell ref="D21:E21"/>
    <mergeCell ref="K5:K21"/>
    <mergeCell ref="M5:M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E901-92BE-4926-AF3E-A13D463E10A9}">
  <sheetPr>
    <pageSetUpPr fitToPage="1"/>
  </sheetPr>
  <dimension ref="A1:Y57"/>
  <sheetViews>
    <sheetView showGridLines="0" view="pageBreakPreview" zoomScale="55" zoomScaleNormal="85" zoomScaleSheetLayoutView="55" zoomScalePageLayoutView="7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 t="s">
        <v>143</v>
      </c>
      <c r="N2" s="23"/>
      <c r="O2" s="23"/>
      <c r="P2" s="23"/>
      <c r="Q2" s="220"/>
      <c r="U2" s="1"/>
      <c r="Y2" s="1"/>
    </row>
    <row r="3" spans="3:25" ht="16.5" thickBot="1">
      <c r="C3" s="514" t="s">
        <v>142</v>
      </c>
      <c r="D3" s="430"/>
      <c r="E3" s="431"/>
      <c r="F3" s="515">
        <v>45776</v>
      </c>
      <c r="G3" s="516"/>
      <c r="H3" s="516"/>
      <c r="I3" s="517"/>
      <c r="J3" s="515">
        <v>45777</v>
      </c>
      <c r="K3" s="516"/>
      <c r="L3" s="516"/>
      <c r="M3" s="517"/>
      <c r="Q3" s="1"/>
      <c r="U3" s="1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Q4" s="1"/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f t="shared" ref="H5:H8" si="0">SUM(G5,-F5)</f>
        <v>0</v>
      </c>
      <c r="I5" s="219"/>
      <c r="J5" s="166">
        <v>12.4</v>
      </c>
      <c r="K5" s="165">
        <v>12.4</v>
      </c>
      <c r="L5" s="164">
        <f t="shared" ref="L5:L8" si="1">SUM(K5,-J5)</f>
        <v>0</v>
      </c>
      <c r="M5" s="219"/>
      <c r="Q5" s="1"/>
      <c r="U5" s="1"/>
      <c r="Y5" s="1"/>
    </row>
    <row r="6" spans="3:25" ht="16">
      <c r="C6" s="519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Q6" s="1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Q7" s="1"/>
      <c r="U7" s="1"/>
      <c r="Y7" s="1"/>
    </row>
    <row r="8" spans="3:25" ht="16">
      <c r="C8" s="520"/>
      <c r="D8" s="426"/>
      <c r="E8" s="218" t="s">
        <v>133</v>
      </c>
      <c r="F8" s="217">
        <v>52.900000000000006</v>
      </c>
      <c r="G8" s="216">
        <v>52.900000000000006</v>
      </c>
      <c r="H8" s="215">
        <f t="shared" si="0"/>
        <v>0</v>
      </c>
      <c r="I8" s="214"/>
      <c r="J8" s="217">
        <v>53.7</v>
      </c>
      <c r="K8" s="216">
        <v>53.7</v>
      </c>
      <c r="L8" s="215">
        <f t="shared" si="1"/>
        <v>0</v>
      </c>
      <c r="M8" s="214"/>
      <c r="Q8" s="1"/>
      <c r="U8" s="1"/>
      <c r="Y8" s="1"/>
    </row>
    <row r="9" spans="3:25" ht="16.5" thickBot="1">
      <c r="C9" s="521"/>
      <c r="D9" s="427" t="s">
        <v>101</v>
      </c>
      <c r="E9" s="428"/>
      <c r="F9" s="188">
        <f t="shared" ref="F9:H9" si="2">SUM(F5:F8)</f>
        <v>74.100000000000009</v>
      </c>
      <c r="G9" s="187">
        <f t="shared" si="2"/>
        <v>74.100000000000009</v>
      </c>
      <c r="H9" s="187">
        <f t="shared" si="2"/>
        <v>0</v>
      </c>
      <c r="I9" s="213" t="s">
        <v>159</v>
      </c>
      <c r="J9" s="188">
        <f>SUM(J5:J8)</f>
        <v>74.900000000000006</v>
      </c>
      <c r="K9" s="187">
        <f>SUM(K5:K8)</f>
        <v>74.900000000000006</v>
      </c>
      <c r="L9" s="187">
        <f t="shared" ref="L9" si="3">SUM(L5:L8)</f>
        <v>0</v>
      </c>
      <c r="M9" s="213" t="s">
        <v>159</v>
      </c>
      <c r="Q9" s="1"/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3"/>
      <c r="Q10" s="1"/>
      <c r="U10" s="1"/>
      <c r="Y10" s="1"/>
    </row>
    <row r="11" spans="3:25" ht="16.5" thickBot="1">
      <c r="C11" s="514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Q11" s="1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Q12" s="1"/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4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5">SUM(K13,-J13)</f>
        <v>26.1</v>
      </c>
      <c r="M13" s="189" t="s">
        <v>145</v>
      </c>
      <c r="Q13" s="1"/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f t="shared" si="4"/>
        <v>0</v>
      </c>
      <c r="I14" s="232"/>
      <c r="J14" s="166">
        <v>-26.1</v>
      </c>
      <c r="K14" s="165">
        <v>-26.1</v>
      </c>
      <c r="L14" s="164">
        <f t="shared" si="5"/>
        <v>0</v>
      </c>
      <c r="M14" s="189"/>
      <c r="Q14" s="1"/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4"/>
        <v>0</v>
      </c>
      <c r="I15" s="231"/>
      <c r="J15" s="166">
        <v>-32.5</v>
      </c>
      <c r="K15" s="165">
        <v>-32.5</v>
      </c>
      <c r="L15" s="164">
        <f t="shared" si="5"/>
        <v>0</v>
      </c>
      <c r="M15" s="189"/>
      <c r="Q15" s="1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f t="shared" si="4"/>
        <v>0</v>
      </c>
      <c r="I16" s="189"/>
      <c r="J16" s="166">
        <v>-32.5</v>
      </c>
      <c r="K16" s="165">
        <v>-32.5</v>
      </c>
      <c r="L16" s="164">
        <f t="shared" si="5"/>
        <v>0</v>
      </c>
      <c r="M16" s="189"/>
      <c r="Q16" s="1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4"/>
        <v>0</v>
      </c>
      <c r="I17" s="232"/>
      <c r="J17" s="166">
        <v>-34</v>
      </c>
      <c r="K17" s="165">
        <v>-34</v>
      </c>
      <c r="L17" s="164">
        <f t="shared" si="5"/>
        <v>0</v>
      </c>
      <c r="M17" s="259"/>
      <c r="Q17" s="1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f t="shared" si="4"/>
        <v>0</v>
      </c>
      <c r="I18" s="232"/>
      <c r="J18" s="166">
        <v>-34</v>
      </c>
      <c r="K18" s="165">
        <v>-34</v>
      </c>
      <c r="L18" s="164">
        <f t="shared" si="5"/>
        <v>0</v>
      </c>
      <c r="M18" s="189"/>
      <c r="Q18" s="1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4"/>
        <v>0</v>
      </c>
      <c r="I19" s="231"/>
      <c r="J19" s="166">
        <v>-34</v>
      </c>
      <c r="K19" s="165">
        <v>-34</v>
      </c>
      <c r="L19" s="164">
        <f t="shared" si="5"/>
        <v>0</v>
      </c>
      <c r="M19" s="189"/>
      <c r="Q19" s="1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f t="shared" si="4"/>
        <v>0</v>
      </c>
      <c r="I20" s="231"/>
      <c r="J20" s="166">
        <v>-34</v>
      </c>
      <c r="K20" s="165">
        <v>-34</v>
      </c>
      <c r="L20" s="164">
        <f t="shared" si="5"/>
        <v>0</v>
      </c>
      <c r="M20" s="189"/>
      <c r="Q20" s="1"/>
      <c r="U20" s="1"/>
      <c r="Y20" s="1"/>
    </row>
    <row r="21" spans="3:25" ht="16.5" thickBot="1">
      <c r="C21" s="524"/>
      <c r="D21" s="427" t="s">
        <v>101</v>
      </c>
      <c r="E21" s="428"/>
      <c r="F21" s="188">
        <f t="shared" ref="F21:K21" si="6">SUM(F13:F20)</f>
        <v>-253.2</v>
      </c>
      <c r="G21" s="187">
        <f t="shared" si="6"/>
        <v>-227.1</v>
      </c>
      <c r="H21" s="187">
        <f t="shared" si="6"/>
        <v>26.1</v>
      </c>
      <c r="I21" s="186" t="s">
        <v>159</v>
      </c>
      <c r="J21" s="188">
        <f t="shared" si="6"/>
        <v>-253.2</v>
      </c>
      <c r="K21" s="187">
        <f t="shared" si="6"/>
        <v>-227.1</v>
      </c>
      <c r="L21" s="187">
        <f t="shared" ref="L21" si="7">SUM(L13:L20)</f>
        <v>26.1</v>
      </c>
      <c r="M21" s="186" t="s">
        <v>159</v>
      </c>
      <c r="Q21" s="1"/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3"/>
      <c r="Q22" s="1"/>
      <c r="U22" s="1"/>
      <c r="Y22" s="1"/>
    </row>
    <row r="23" spans="3:25" ht="16.5" thickBot="1">
      <c r="C23" s="514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Q23" s="1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Q24" s="1"/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-4.5</v>
      </c>
      <c r="H25" s="164">
        <f t="shared" ref="H25" si="8">SUM(G25,-F25)</f>
        <v>0.5</v>
      </c>
      <c r="I25" s="232" t="s">
        <v>150</v>
      </c>
      <c r="J25" s="209">
        <v>-5</v>
      </c>
      <c r="K25" s="208">
        <v>-4.5</v>
      </c>
      <c r="L25" s="164">
        <f t="shared" ref="L25" si="9">SUM(K25,-J25)</f>
        <v>0.5</v>
      </c>
      <c r="M25" s="232" t="s">
        <v>150</v>
      </c>
      <c r="Q25" s="1"/>
      <c r="U25" s="1"/>
      <c r="Y25" s="1"/>
    </row>
    <row r="26" spans="3:25" ht="15.65" customHeight="1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3"/>
      <c r="Q26" s="1"/>
      <c r="U26" s="1"/>
      <c r="Y26" s="1"/>
    </row>
    <row r="27" spans="3:25" ht="16.5" thickBot="1">
      <c r="C27" s="514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Q27" s="1"/>
      <c r="U27" s="1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Q28" s="1"/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0">SUM(G29,-F29)</f>
        <v>0</v>
      </c>
      <c r="I29" s="459"/>
      <c r="J29" s="200">
        <v>0</v>
      </c>
      <c r="K29" s="455">
        <v>0</v>
      </c>
      <c r="L29" s="457">
        <f t="shared" ref="L29" si="11">SUM(K29,-J29)</f>
        <v>0</v>
      </c>
      <c r="M29" s="459"/>
      <c r="Q29" s="1"/>
      <c r="U29" s="1"/>
      <c r="Y29" s="1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Q30" s="1"/>
      <c r="U30" s="1"/>
      <c r="Y30" s="1"/>
    </row>
    <row r="31" spans="3:25" ht="16">
      <c r="C31" s="528"/>
      <c r="D31" s="443"/>
      <c r="E31" s="453" t="s">
        <v>109</v>
      </c>
      <c r="F31" s="200">
        <v>0</v>
      </c>
      <c r="G31" s="455">
        <v>0</v>
      </c>
      <c r="H31" s="457">
        <f t="shared" ref="H31" si="12">SUM(G31,-F31)</f>
        <v>0</v>
      </c>
      <c r="I31" s="459"/>
      <c r="J31" s="200">
        <v>0</v>
      </c>
      <c r="K31" s="455">
        <v>0</v>
      </c>
      <c r="L31" s="457">
        <f t="shared" ref="L31" si="13">SUM(K31,-J31)</f>
        <v>0</v>
      </c>
      <c r="M31" s="459"/>
      <c r="Q31" s="1"/>
      <c r="U31" s="1"/>
      <c r="Y31" s="1"/>
    </row>
    <row r="32" spans="3:25" ht="16">
      <c r="C32" s="528"/>
      <c r="D32" s="442"/>
      <c r="E32" s="454"/>
      <c r="F32" s="202">
        <v>0</v>
      </c>
      <c r="G32" s="456">
        <v>0</v>
      </c>
      <c r="H32" s="458"/>
      <c r="I32" s="460"/>
      <c r="J32" s="202">
        <v>0</v>
      </c>
      <c r="K32" s="456">
        <v>0</v>
      </c>
      <c r="L32" s="458"/>
      <c r="M32" s="460"/>
      <c r="Q32" s="1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23.9</v>
      </c>
      <c r="G33" s="199">
        <v>18.5</v>
      </c>
      <c r="H33" s="457">
        <f t="shared" ref="H33" si="14">SUM(G33,-F33)</f>
        <v>-5.3999999999999986</v>
      </c>
      <c r="I33" s="459" t="s">
        <v>148</v>
      </c>
      <c r="J33" s="200">
        <v>23.9</v>
      </c>
      <c r="K33" s="199">
        <v>19.5</v>
      </c>
      <c r="L33" s="457">
        <f t="shared" ref="L33" si="15">SUM(K33,-J33)</f>
        <v>-4.3999999999999986</v>
      </c>
      <c r="M33" s="459" t="s">
        <v>184</v>
      </c>
      <c r="Q33" s="1"/>
      <c r="U33" s="1"/>
      <c r="Y33" s="1"/>
    </row>
    <row r="34" spans="3:25" ht="16">
      <c r="C34" s="528"/>
      <c r="D34" s="467"/>
      <c r="E34" s="463" t="s">
        <v>104</v>
      </c>
      <c r="F34" s="198">
        <v>0.2</v>
      </c>
      <c r="G34" s="230">
        <v>15</v>
      </c>
      <c r="H34" s="458"/>
      <c r="I34" s="460"/>
      <c r="J34" s="198">
        <v>0.2</v>
      </c>
      <c r="K34" s="230">
        <v>16</v>
      </c>
      <c r="L34" s="458"/>
      <c r="M34" s="460"/>
      <c r="Q34" s="1"/>
      <c r="U34" s="1"/>
      <c r="Y34" s="1"/>
    </row>
    <row r="35" spans="3:25" ht="13.5" customHeight="1">
      <c r="C35" s="528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Q35" s="1"/>
      <c r="U35" s="1"/>
      <c r="Y35" s="1"/>
    </row>
    <row r="36" spans="3:25" ht="16">
      <c r="C36" s="528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Q36" s="1"/>
      <c r="U36" s="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0.3</v>
      </c>
      <c r="H37" s="164">
        <f t="shared" ref="H37" si="16">SUM(G37,-F37)</f>
        <v>-9.6999999999999993</v>
      </c>
      <c r="I37" s="189" t="s">
        <v>147</v>
      </c>
      <c r="J37" s="166">
        <v>10</v>
      </c>
      <c r="K37" s="165">
        <v>0.2</v>
      </c>
      <c r="L37" s="164">
        <f t="shared" ref="L37" si="17">SUM(K37,-J37)</f>
        <v>-9.8000000000000007</v>
      </c>
      <c r="M37" s="189" t="s">
        <v>147</v>
      </c>
      <c r="Q37" s="1"/>
      <c r="U37" s="1"/>
      <c r="Y37" s="1"/>
    </row>
    <row r="38" spans="3:25" ht="16.5" thickBot="1">
      <c r="C38" s="529"/>
      <c r="D38" s="427" t="s">
        <v>101</v>
      </c>
      <c r="E38" s="428"/>
      <c r="F38" s="188">
        <f t="shared" ref="F38" si="18">SUM(F29,F31,F33,F37)</f>
        <v>33.9</v>
      </c>
      <c r="G38" s="187">
        <f t="shared" ref="G38" si="19">SUM(G29:G33,G37)</f>
        <v>18.8</v>
      </c>
      <c r="H38" s="187">
        <f t="shared" ref="H38" si="20">SUM(H29:H34,H37)</f>
        <v>-15.099999999999998</v>
      </c>
      <c r="I38" s="186"/>
      <c r="J38" s="188">
        <f t="shared" ref="J38" si="21">SUM(J29,J31,J33,J37)</f>
        <v>33.9</v>
      </c>
      <c r="K38" s="187">
        <f t="shared" ref="K38" si="22">SUM(K29:K33,K37)</f>
        <v>19.7</v>
      </c>
      <c r="L38" s="187">
        <f t="shared" ref="L38" si="23">SUM(L29:L34,L37)</f>
        <v>-14.2</v>
      </c>
      <c r="M38" s="186"/>
      <c r="Q38" s="1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3"/>
      <c r="Q39" s="1"/>
      <c r="U39" s="1"/>
      <c r="Y39" s="1"/>
    </row>
    <row r="40" spans="3:25" ht="16.5" thickBot="1">
      <c r="C40" s="514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Q40" s="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Q41" s="1"/>
      <c r="U41" s="1"/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f t="shared" ref="H42" si="24">SUM(G42,-F42)</f>
        <v>0</v>
      </c>
      <c r="I42" s="459"/>
      <c r="J42" s="178">
        <v>0</v>
      </c>
      <c r="K42" s="478">
        <v>0</v>
      </c>
      <c r="L42" s="457">
        <f t="shared" ref="L42" si="25">SUM(K42,-J42)</f>
        <v>0</v>
      </c>
      <c r="M42" s="459"/>
      <c r="Q42" s="1"/>
      <c r="U42" s="1"/>
      <c r="Y42" s="1"/>
    </row>
    <row r="43" spans="3:25" ht="16.5" thickBot="1">
      <c r="C43" s="531"/>
      <c r="D43" s="475"/>
      <c r="E43" s="477"/>
      <c r="F43" s="183">
        <v>135.9</v>
      </c>
      <c r="G43" s="510"/>
      <c r="H43" s="511"/>
      <c r="I43" s="532"/>
      <c r="J43" s="183">
        <v>135.9</v>
      </c>
      <c r="K43" s="479"/>
      <c r="L43" s="480"/>
      <c r="M43" s="481"/>
      <c r="Q43" s="1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3"/>
      <c r="Q44" s="1"/>
      <c r="U44" s="1"/>
      <c r="Y44" s="1"/>
    </row>
    <row r="45" spans="3:25" ht="16.5" thickBot="1">
      <c r="C45" s="514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Q45" s="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Q46" s="1"/>
      <c r="U46" s="1"/>
      <c r="Y46" s="1"/>
    </row>
    <row r="47" spans="3:25" ht="16">
      <c r="C47" s="525"/>
      <c r="D47" s="483"/>
      <c r="E47" s="488" t="s">
        <v>91</v>
      </c>
      <c r="F47" s="178">
        <v>36.332999999999998</v>
      </c>
      <c r="G47" s="478">
        <v>38.5</v>
      </c>
      <c r="H47" s="457">
        <f t="shared" ref="H47" si="26">SUM(G47,-F47)</f>
        <v>2.1670000000000016</v>
      </c>
      <c r="I47" s="459" t="s">
        <v>149</v>
      </c>
      <c r="J47" s="178">
        <v>38.533000000000001</v>
      </c>
      <c r="K47" s="478">
        <v>41.2</v>
      </c>
      <c r="L47" s="457">
        <f t="shared" ref="L47" si="27">SUM(K47,-J47)</f>
        <v>2.6670000000000016</v>
      </c>
      <c r="M47" s="459" t="s">
        <v>149</v>
      </c>
      <c r="Q47" s="1"/>
      <c r="U47" s="1"/>
      <c r="Y47" s="1"/>
    </row>
    <row r="48" spans="3:25" ht="16.5" thickBot="1">
      <c r="C48" s="533"/>
      <c r="D48" s="487"/>
      <c r="E48" s="489"/>
      <c r="F48" s="177">
        <v>0.58762736535662297</v>
      </c>
      <c r="G48" s="510"/>
      <c r="H48" s="511"/>
      <c r="I48" s="532"/>
      <c r="J48" s="177">
        <v>0.57658237318569505</v>
      </c>
      <c r="K48" s="479"/>
      <c r="L48" s="480"/>
      <c r="M48" s="481"/>
      <c r="Q48" s="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3"/>
      <c r="Q49" s="1"/>
      <c r="U49" s="1"/>
      <c r="Y49" s="1"/>
    </row>
    <row r="50" spans="1:25" ht="16.5" thickBot="1">
      <c r="C50" s="514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Q50" s="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Q51" s="1"/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 t="shared" ref="H52" si="28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29">SUM(K52,-J52)</f>
        <v>0</v>
      </c>
      <c r="M52" s="163" t="s">
        <v>159</v>
      </c>
      <c r="Q52" s="1"/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236">
        <v>28.8</v>
      </c>
      <c r="H53" s="159" t="s">
        <v>159</v>
      </c>
      <c r="I53" s="158" t="s">
        <v>213</v>
      </c>
      <c r="J53" s="161">
        <v>0</v>
      </c>
      <c r="K53" s="236">
        <v>29.3</v>
      </c>
      <c r="L53" s="159" t="s">
        <v>159</v>
      </c>
      <c r="M53" s="158" t="s">
        <v>213</v>
      </c>
      <c r="Q53" s="1"/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72">
    <mergeCell ref="C51:D53"/>
    <mergeCell ref="K47:K48"/>
    <mergeCell ref="L47:L48"/>
    <mergeCell ref="M47:M48"/>
    <mergeCell ref="C50:E50"/>
    <mergeCell ref="F50:I50"/>
    <mergeCell ref="J50:M50"/>
    <mergeCell ref="C46:D48"/>
    <mergeCell ref="E47:E48"/>
    <mergeCell ref="G47:G48"/>
    <mergeCell ref="H47:H48"/>
    <mergeCell ref="I47:I48"/>
    <mergeCell ref="L42:L43"/>
    <mergeCell ref="M42:M43"/>
    <mergeCell ref="C45:E45"/>
    <mergeCell ref="F45:I45"/>
    <mergeCell ref="J45:M45"/>
    <mergeCell ref="C41:D43"/>
    <mergeCell ref="E42:E43"/>
    <mergeCell ref="G42:G43"/>
    <mergeCell ref="H42:H43"/>
    <mergeCell ref="I42:I43"/>
    <mergeCell ref="K42:K43"/>
    <mergeCell ref="L33:L34"/>
    <mergeCell ref="M33:M34"/>
    <mergeCell ref="E34:E36"/>
    <mergeCell ref="D38:E38"/>
    <mergeCell ref="C40:E40"/>
    <mergeCell ref="F40:I40"/>
    <mergeCell ref="J40:M40"/>
    <mergeCell ref="C28:C38"/>
    <mergeCell ref="D29:D32"/>
    <mergeCell ref="D33:D37"/>
    <mergeCell ref="H33:H34"/>
    <mergeCell ref="I33:I34"/>
    <mergeCell ref="K29:K30"/>
    <mergeCell ref="L29:L30"/>
    <mergeCell ref="M29:M30"/>
    <mergeCell ref="E31:E32"/>
    <mergeCell ref="G31:G32"/>
    <mergeCell ref="H31:H32"/>
    <mergeCell ref="I31:I32"/>
    <mergeCell ref="K31:K32"/>
    <mergeCell ref="L31:L32"/>
    <mergeCell ref="M31:M32"/>
    <mergeCell ref="E29:E30"/>
    <mergeCell ref="G29:G30"/>
    <mergeCell ref="H29:H30"/>
    <mergeCell ref="I29:I30"/>
    <mergeCell ref="C27:E27"/>
    <mergeCell ref="F27:I27"/>
    <mergeCell ref="J27:M27"/>
    <mergeCell ref="C11:E11"/>
    <mergeCell ref="F11:I11"/>
    <mergeCell ref="J11:M11"/>
    <mergeCell ref="C12:C21"/>
    <mergeCell ref="D13:D14"/>
    <mergeCell ref="D15:D16"/>
    <mergeCell ref="D17:D20"/>
    <mergeCell ref="D21:E21"/>
    <mergeCell ref="C23:E23"/>
    <mergeCell ref="F23:I23"/>
    <mergeCell ref="J23:M23"/>
    <mergeCell ref="C24:D25"/>
    <mergeCell ref="E24:E25"/>
    <mergeCell ref="C3:E3"/>
    <mergeCell ref="F3:I3"/>
    <mergeCell ref="J3:M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A36C-8316-4130-83EF-D35F620E5198}">
  <sheetPr>
    <pageSetUpPr fitToPage="1"/>
  </sheetPr>
  <dimension ref="A1:Y57"/>
  <sheetViews>
    <sheetView showGridLines="0" view="pageBreakPreview" zoomScale="70" zoomScaleNormal="55" zoomScaleSheetLayoutView="70" zoomScalePageLayoutView="55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45699</v>
      </c>
      <c r="G3" s="418"/>
      <c r="H3" s="418"/>
      <c r="I3" s="419"/>
      <c r="J3" s="417">
        <v>45701</v>
      </c>
      <c r="K3" s="418"/>
      <c r="L3" s="418"/>
      <c r="M3" s="419"/>
      <c r="N3" s="417">
        <v>45702</v>
      </c>
      <c r="O3" s="418"/>
      <c r="P3" s="418"/>
      <c r="Q3" s="419"/>
      <c r="R3" s="417">
        <v>45704</v>
      </c>
      <c r="S3" s="418"/>
      <c r="T3" s="418"/>
      <c r="U3" s="419"/>
      <c r="V3" s="417">
        <v>45705</v>
      </c>
      <c r="W3" s="418"/>
      <c r="X3" s="418"/>
      <c r="Y3" s="419"/>
    </row>
    <row r="4" spans="3:25" ht="16.149999999999999" customHeight="1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SUM(G5,-F5)</f>
        <v>0</v>
      </c>
      <c r="I5" s="219"/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V5" s="166">
        <v>32.700000000000003</v>
      </c>
      <c r="W5" s="165">
        <v>32.700000000000003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57.1</v>
      </c>
      <c r="G8" s="216">
        <v>57.1</v>
      </c>
      <c r="H8" s="215">
        <f>SUM(G8,-F8)</f>
        <v>0</v>
      </c>
      <c r="I8" s="214"/>
      <c r="J8" s="217">
        <v>58.900000000000006</v>
      </c>
      <c r="K8" s="216">
        <v>58.900000000000006</v>
      </c>
      <c r="L8" s="215">
        <f>SUM(K8,-J8)</f>
        <v>0</v>
      </c>
      <c r="M8" s="214"/>
      <c r="N8" s="217">
        <v>58.7</v>
      </c>
      <c r="O8" s="216">
        <v>58.7</v>
      </c>
      <c r="P8" s="215">
        <f>SUM(O8,-N8)</f>
        <v>0</v>
      </c>
      <c r="Q8" s="189"/>
      <c r="R8" s="217">
        <v>54.400000000000006</v>
      </c>
      <c r="S8" s="216">
        <v>54.400000000000006</v>
      </c>
      <c r="T8" s="215">
        <f>SUM(S8,-R8)</f>
        <v>0</v>
      </c>
      <c r="U8" s="189"/>
      <c r="V8" s="217">
        <v>58.7</v>
      </c>
      <c r="W8" s="216">
        <v>58.7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107.30000000000001</v>
      </c>
      <c r="G9" s="187">
        <f>SUM(G5:G8)</f>
        <v>107.30000000000001</v>
      </c>
      <c r="H9" s="187">
        <f>SUM(H5:H8)</f>
        <v>0</v>
      </c>
      <c r="I9" s="213" t="s">
        <v>159</v>
      </c>
      <c r="J9" s="188">
        <f>SUM(J5:J8)</f>
        <v>109.10000000000001</v>
      </c>
      <c r="K9" s="187">
        <f>SUM(K5:K8)</f>
        <v>109.10000000000001</v>
      </c>
      <c r="L9" s="187">
        <f>SUM(L5:L8)</f>
        <v>0</v>
      </c>
      <c r="M9" s="213" t="s">
        <v>159</v>
      </c>
      <c r="N9" s="188">
        <f>SUM(N5:N8)</f>
        <v>108.9</v>
      </c>
      <c r="O9" s="187">
        <f>SUM(O5:O8)</f>
        <v>108.9</v>
      </c>
      <c r="P9" s="187">
        <f>SUM(P5:P8)</f>
        <v>0</v>
      </c>
      <c r="Q9" s="213" t="s">
        <v>159</v>
      </c>
      <c r="R9" s="188">
        <f>SUM(R5:R8)</f>
        <v>104.60000000000001</v>
      </c>
      <c r="S9" s="187">
        <f>SUM(S5:S8)</f>
        <v>104.60000000000001</v>
      </c>
      <c r="T9" s="187">
        <f>SUM(T5:T8)</f>
        <v>0</v>
      </c>
      <c r="U9" s="213" t="s">
        <v>159</v>
      </c>
      <c r="V9" s="188">
        <f>SUM(V5:V8)</f>
        <v>108.9</v>
      </c>
      <c r="W9" s="187">
        <f>SUM(W5:W8)</f>
        <v>108.9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.149999999999999" customHeight="1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f>SUM(G25,-F25)</f>
        <v>5</v>
      </c>
      <c r="I25" s="232" t="s">
        <v>149</v>
      </c>
      <c r="J25" s="209">
        <v>-5</v>
      </c>
      <c r="K25" s="208">
        <v>0</v>
      </c>
      <c r="L25" s="207">
        <v>5</v>
      </c>
      <c r="M25" s="206" t="s">
        <v>145</v>
      </c>
      <c r="N25" s="209">
        <v>-5</v>
      </c>
      <c r="O25" s="208">
        <v>0</v>
      </c>
      <c r="P25" s="207">
        <v>5</v>
      </c>
      <c r="Q25" s="206" t="s">
        <v>145</v>
      </c>
      <c r="R25" s="209">
        <v>-5</v>
      </c>
      <c r="S25" s="208">
        <v>0</v>
      </c>
      <c r="T25" s="207">
        <f>SUM(S25,-R25)</f>
        <v>5</v>
      </c>
      <c r="U25" s="189" t="s">
        <v>145</v>
      </c>
      <c r="V25" s="209">
        <v>-5</v>
      </c>
      <c r="W25" s="208">
        <v>0</v>
      </c>
      <c r="X25" s="207">
        <f>SUM(W25,-V25)</f>
        <v>5</v>
      </c>
      <c r="Y25" s="189" t="s">
        <v>145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0.46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121.7</v>
      </c>
      <c r="L31" s="457">
        <f>SUM(K31,-J31)</f>
        <v>67.300000000000011</v>
      </c>
      <c r="M31" s="459" t="s">
        <v>185</v>
      </c>
      <c r="N31" s="200">
        <v>54.4</v>
      </c>
      <c r="O31" s="455">
        <v>121.7</v>
      </c>
      <c r="P31" s="457">
        <f>SUM(O31,-N31)</f>
        <v>67.300000000000011</v>
      </c>
      <c r="Q31" s="459" t="s">
        <v>185</v>
      </c>
      <c r="R31" s="200">
        <v>54.4</v>
      </c>
      <c r="S31" s="455">
        <v>54.4</v>
      </c>
      <c r="T31" s="457">
        <f>SUM(S31,-R31)</f>
        <v>0</v>
      </c>
      <c r="U31" s="459"/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.149999999999999" customHeight="1">
      <c r="C33" s="451"/>
      <c r="D33" s="466" t="s">
        <v>107</v>
      </c>
      <c r="E33" s="201" t="s">
        <v>106</v>
      </c>
      <c r="F33" s="200">
        <v>21.6</v>
      </c>
      <c r="G33" s="199">
        <v>35.200000000000003</v>
      </c>
      <c r="H33" s="457">
        <f>SUM(G33,-F33)</f>
        <v>13.600000000000001</v>
      </c>
      <c r="I33" s="459" t="s">
        <v>148</v>
      </c>
      <c r="J33" s="200">
        <v>21.6</v>
      </c>
      <c r="K33" s="199">
        <v>48.6</v>
      </c>
      <c r="L33" s="457">
        <f>SUM(K33,-J33)</f>
        <v>27</v>
      </c>
      <c r="M33" s="459" t="s">
        <v>184</v>
      </c>
      <c r="N33" s="200">
        <v>21.6</v>
      </c>
      <c r="O33" s="199">
        <v>36.6</v>
      </c>
      <c r="P33" s="457">
        <f>SUM(O33,-N33)</f>
        <v>15</v>
      </c>
      <c r="Q33" s="459" t="s">
        <v>184</v>
      </c>
      <c r="R33" s="200">
        <v>21.6</v>
      </c>
      <c r="S33" s="199">
        <v>36.6</v>
      </c>
      <c r="T33" s="457">
        <f>SUM(S33,-R33)</f>
        <v>15</v>
      </c>
      <c r="U33" s="459" t="s">
        <v>184</v>
      </c>
      <c r="V33" s="200">
        <v>21.6</v>
      </c>
      <c r="W33" s="199">
        <v>36.6</v>
      </c>
      <c r="X33" s="457">
        <f>SUM(W33,-V33)</f>
        <v>15</v>
      </c>
      <c r="Y33" s="459" t="s">
        <v>184</v>
      </c>
    </row>
    <row r="34" spans="3:25" ht="16.149999999999999" customHeight="1">
      <c r="C34" s="451"/>
      <c r="D34" s="467"/>
      <c r="E34" s="463" t="s">
        <v>104</v>
      </c>
      <c r="F34" s="198">
        <v>0.18</v>
      </c>
      <c r="G34" s="230">
        <v>30</v>
      </c>
      <c r="H34" s="458"/>
      <c r="I34" s="460"/>
      <c r="J34" s="198">
        <v>0.18</v>
      </c>
      <c r="K34" s="230">
        <v>41</v>
      </c>
      <c r="L34" s="458"/>
      <c r="M34" s="460"/>
      <c r="N34" s="198">
        <v>0.18</v>
      </c>
      <c r="O34" s="230">
        <v>0.31</v>
      </c>
      <c r="P34" s="458"/>
      <c r="Q34" s="460"/>
      <c r="R34" s="198">
        <v>0.18</v>
      </c>
      <c r="S34" s="230">
        <v>31</v>
      </c>
      <c r="T34" s="458"/>
      <c r="U34" s="460"/>
      <c r="V34" s="198">
        <v>0.18</v>
      </c>
      <c r="W34" s="230">
        <v>31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0.69999999999999862</v>
      </c>
      <c r="H37" s="164">
        <f>SUM(G37,-F37)</f>
        <v>-9.3000000000000007</v>
      </c>
      <c r="I37" s="189" t="s">
        <v>147</v>
      </c>
      <c r="J37" s="166">
        <v>10</v>
      </c>
      <c r="K37" s="165">
        <v>0.2</v>
      </c>
      <c r="L37" s="164">
        <f>SUM(K37,-J37)</f>
        <v>-9.8000000000000007</v>
      </c>
      <c r="M37" s="189" t="s">
        <v>147</v>
      </c>
      <c r="N37" s="166">
        <v>10</v>
      </c>
      <c r="O37" s="165">
        <v>1.5</v>
      </c>
      <c r="P37" s="164">
        <f>SUM(O37,-N37)</f>
        <v>-8.5</v>
      </c>
      <c r="Q37" s="189" t="s">
        <v>147</v>
      </c>
      <c r="R37" s="166">
        <v>10</v>
      </c>
      <c r="S37" s="165">
        <v>1.5</v>
      </c>
      <c r="T37" s="164">
        <f>SUM(S37,-R37)</f>
        <v>-8.5</v>
      </c>
      <c r="U37" s="189" t="s">
        <v>170</v>
      </c>
      <c r="V37" s="166">
        <v>10</v>
      </c>
      <c r="W37" s="165">
        <v>1.4</v>
      </c>
      <c r="X37" s="164">
        <f>SUM(W37,-V37)</f>
        <v>-8.6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129.79999999999998</v>
      </c>
      <c r="G38" s="187">
        <f>SUM(G29:G33,G37)</f>
        <v>134.09999999999997</v>
      </c>
      <c r="H38" s="187">
        <f>SUM(H29:H34,H37)</f>
        <v>4.3000000000000007</v>
      </c>
      <c r="I38" s="186"/>
      <c r="J38" s="188">
        <f>SUM(J29,J31,J33,J37)</f>
        <v>129.79999999999998</v>
      </c>
      <c r="K38" s="187">
        <f>SUM(K29:K33,K37)</f>
        <v>214.29999999999998</v>
      </c>
      <c r="L38" s="187">
        <f>SUM(L29:L34,L37)</f>
        <v>84.500000000000014</v>
      </c>
      <c r="M38" s="186"/>
      <c r="N38" s="188">
        <f>SUM(N29,N31,N33,N37)</f>
        <v>129.79999999999998</v>
      </c>
      <c r="O38" s="187">
        <f>SUM(O29:O33,O37)</f>
        <v>203.6</v>
      </c>
      <c r="P38" s="187">
        <f>SUM(P29:P34,P37)</f>
        <v>73.800000000000011</v>
      </c>
      <c r="Q38" s="186"/>
      <c r="R38" s="188">
        <f>SUM(R29,R31,R33,R37)</f>
        <v>129.79999999999998</v>
      </c>
      <c r="S38" s="187">
        <f>SUM(S29:S33,S37)</f>
        <v>136.29999999999998</v>
      </c>
      <c r="T38" s="187">
        <f>SUM(T29:T34,T37)</f>
        <v>6.5</v>
      </c>
      <c r="U38" s="186"/>
      <c r="V38" s="188">
        <f>SUM(V29,V31,V33,V37)</f>
        <v>129.79999999999998</v>
      </c>
      <c r="W38" s="187">
        <f>SUM(W29:W33,W37)</f>
        <v>136.19999999999999</v>
      </c>
      <c r="X38" s="187">
        <f>SUM(X29:X34,X37)</f>
        <v>6.4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15.2</v>
      </c>
      <c r="S42" s="478">
        <v>1.7</v>
      </c>
      <c r="T42" s="457">
        <f>SUM(S42,-R42)</f>
        <v>-13.5</v>
      </c>
      <c r="U42" s="459" t="s">
        <v>151</v>
      </c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206</v>
      </c>
      <c r="G43" s="479"/>
      <c r="H43" s="480"/>
      <c r="I43" s="481"/>
      <c r="J43" s="183">
        <v>256</v>
      </c>
      <c r="K43" s="479"/>
      <c r="L43" s="480"/>
      <c r="M43" s="481"/>
      <c r="N43" s="183">
        <v>256</v>
      </c>
      <c r="O43" s="479"/>
      <c r="P43" s="480"/>
      <c r="Q43" s="481"/>
      <c r="R43" s="183">
        <v>203</v>
      </c>
      <c r="S43" s="479"/>
      <c r="T43" s="480"/>
      <c r="U43" s="481"/>
      <c r="V43" s="183">
        <v>256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.149999999999999" customHeight="1">
      <c r="C47" s="444"/>
      <c r="D47" s="483"/>
      <c r="E47" s="488" t="s">
        <v>91</v>
      </c>
      <c r="F47" s="178">
        <v>38.299999999999997</v>
      </c>
      <c r="G47" s="478">
        <v>43.2</v>
      </c>
      <c r="H47" s="457">
        <f>SUM(G47,-F47)</f>
        <v>4.9000000000000057</v>
      </c>
      <c r="I47" s="459" t="s">
        <v>149</v>
      </c>
      <c r="J47" s="178">
        <v>40.6</v>
      </c>
      <c r="K47" s="478">
        <v>45.3</v>
      </c>
      <c r="L47" s="457">
        <f>SUM(K47,-J47)</f>
        <v>4.6999999999999957</v>
      </c>
      <c r="M47" s="459" t="s">
        <v>149</v>
      </c>
      <c r="N47" s="178">
        <v>40.6</v>
      </c>
      <c r="O47" s="478">
        <v>46.2</v>
      </c>
      <c r="P47" s="457">
        <f>SUM(O47,-N47)</f>
        <v>5.6000000000000014</v>
      </c>
      <c r="Q47" s="459" t="s">
        <v>181</v>
      </c>
      <c r="R47" s="178">
        <v>40.6</v>
      </c>
      <c r="S47" s="478">
        <v>44</v>
      </c>
      <c r="T47" s="457">
        <f>SUM(S47,-R47)</f>
        <v>3.3999999999999986</v>
      </c>
      <c r="U47" s="459" t="s">
        <v>181</v>
      </c>
      <c r="V47" s="178">
        <v>40.6</v>
      </c>
      <c r="W47" s="478">
        <v>46.1</v>
      </c>
      <c r="X47" s="457">
        <f>SUM(W47,-V47)</f>
        <v>5.5</v>
      </c>
      <c r="Y47" s="459" t="s">
        <v>149</v>
      </c>
    </row>
    <row r="48" spans="3:25" ht="16.5" thickBot="1">
      <c r="C48" s="486"/>
      <c r="D48" s="487"/>
      <c r="E48" s="489"/>
      <c r="F48" s="177">
        <v>0.5952392065344223</v>
      </c>
      <c r="G48" s="479"/>
      <c r="H48" s="480"/>
      <c r="I48" s="481"/>
      <c r="J48" s="177">
        <v>0.58887840290381122</v>
      </c>
      <c r="K48" s="479"/>
      <c r="L48" s="480"/>
      <c r="M48" s="481"/>
      <c r="N48" s="177">
        <v>0.58887840290381122</v>
      </c>
      <c r="O48" s="479"/>
      <c r="P48" s="480"/>
      <c r="Q48" s="481"/>
      <c r="R48" s="177">
        <v>0.58887840290381122</v>
      </c>
      <c r="S48" s="479"/>
      <c r="T48" s="480"/>
      <c r="U48" s="481"/>
      <c r="V48" s="177">
        <v>0.58887840290381122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23.4</v>
      </c>
      <c r="H53" s="223" t="s">
        <v>159</v>
      </c>
      <c r="I53" s="222" t="s">
        <v>180</v>
      </c>
      <c r="J53" s="225">
        <v>0</v>
      </c>
      <c r="K53" s="229">
        <v>23.3</v>
      </c>
      <c r="L53" s="223" t="s">
        <v>159</v>
      </c>
      <c r="M53" s="222" t="s">
        <v>180</v>
      </c>
      <c r="N53" s="225">
        <v>0</v>
      </c>
      <c r="O53" s="229">
        <v>23.5</v>
      </c>
      <c r="P53" s="223" t="s">
        <v>159</v>
      </c>
      <c r="Q53" s="222" t="s">
        <v>180</v>
      </c>
      <c r="R53" s="225">
        <v>0</v>
      </c>
      <c r="S53" s="229">
        <v>24.3</v>
      </c>
      <c r="T53" s="223" t="s">
        <v>159</v>
      </c>
      <c r="U53" s="222" t="s">
        <v>180</v>
      </c>
      <c r="V53" s="225">
        <v>0</v>
      </c>
      <c r="W53" s="229">
        <v>24.6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W42:W43"/>
    <mergeCell ref="M42:M43"/>
    <mergeCell ref="O42:O43"/>
    <mergeCell ref="X42:X43"/>
    <mergeCell ref="V50:Y50"/>
    <mergeCell ref="Y42:Y43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C46:D48"/>
    <mergeCell ref="E47:E48"/>
    <mergeCell ref="G47:G48"/>
    <mergeCell ref="H47:H48"/>
    <mergeCell ref="I47:I48"/>
    <mergeCell ref="K47:K48"/>
    <mergeCell ref="N50:Q50"/>
    <mergeCell ref="R50:U50"/>
    <mergeCell ref="L47:L48"/>
    <mergeCell ref="M47:M48"/>
    <mergeCell ref="O47:O48"/>
    <mergeCell ref="P47:P48"/>
    <mergeCell ref="Q47:Q48"/>
    <mergeCell ref="S47:S48"/>
    <mergeCell ref="C45:E45"/>
    <mergeCell ref="F45:I45"/>
    <mergeCell ref="J45:M45"/>
    <mergeCell ref="N45:Q45"/>
    <mergeCell ref="R45:U45"/>
    <mergeCell ref="V45:Y45"/>
    <mergeCell ref="T33:T34"/>
    <mergeCell ref="U33:U34"/>
    <mergeCell ref="V40:Y40"/>
    <mergeCell ref="C41:D43"/>
    <mergeCell ref="E42:E43"/>
    <mergeCell ref="G42:G43"/>
    <mergeCell ref="H42:H43"/>
    <mergeCell ref="I42:I43"/>
    <mergeCell ref="K42:K43"/>
    <mergeCell ref="L42:L43"/>
    <mergeCell ref="X33:X34"/>
    <mergeCell ref="Y33:Y34"/>
    <mergeCell ref="P42:P43"/>
    <mergeCell ref="Q42:Q43"/>
    <mergeCell ref="S42:S43"/>
    <mergeCell ref="T42:T43"/>
    <mergeCell ref="U42:U43"/>
    <mergeCell ref="C40:E40"/>
    <mergeCell ref="F40:I40"/>
    <mergeCell ref="J40:M40"/>
    <mergeCell ref="N40:Q40"/>
    <mergeCell ref="R40:U40"/>
    <mergeCell ref="Q33:Q34"/>
    <mergeCell ref="D33:D37"/>
    <mergeCell ref="H33:H34"/>
    <mergeCell ref="I33:I34"/>
    <mergeCell ref="L33:L34"/>
    <mergeCell ref="M33:M34"/>
    <mergeCell ref="P33:P34"/>
    <mergeCell ref="E34:E36"/>
    <mergeCell ref="X31:X32"/>
    <mergeCell ref="Y31:Y32"/>
    <mergeCell ref="M31:M32"/>
    <mergeCell ref="O31:O32"/>
    <mergeCell ref="P31:P32"/>
    <mergeCell ref="M29:M30"/>
    <mergeCell ref="O29:O30"/>
    <mergeCell ref="P29:P30"/>
    <mergeCell ref="Q29:Q30"/>
    <mergeCell ref="S29:S30"/>
    <mergeCell ref="T29:T30"/>
    <mergeCell ref="U29:U30"/>
    <mergeCell ref="W29:W30"/>
    <mergeCell ref="X29:X30"/>
    <mergeCell ref="Y29:Y30"/>
    <mergeCell ref="Q31:Q32"/>
    <mergeCell ref="S31:S32"/>
    <mergeCell ref="T31:T32"/>
    <mergeCell ref="U31:U32"/>
    <mergeCell ref="C28:C38"/>
    <mergeCell ref="D29:D32"/>
    <mergeCell ref="E29:E30"/>
    <mergeCell ref="G29:G30"/>
    <mergeCell ref="H29:H30"/>
    <mergeCell ref="I29:I30"/>
    <mergeCell ref="K29:K30"/>
    <mergeCell ref="L29:L30"/>
    <mergeCell ref="W31:W32"/>
    <mergeCell ref="D38:E38"/>
    <mergeCell ref="E31:E32"/>
    <mergeCell ref="G31:G32"/>
    <mergeCell ref="H31:H32"/>
    <mergeCell ref="I31:I32"/>
    <mergeCell ref="K31:K32"/>
    <mergeCell ref="L31:L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30FD-A1AB-41D7-879E-C9EDAC6CD9D6}">
  <sheetPr>
    <pageSetUpPr fitToPage="1"/>
  </sheetPr>
  <dimension ref="A1:Y57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45706</v>
      </c>
      <c r="G3" s="418"/>
      <c r="H3" s="418"/>
      <c r="I3" s="419"/>
      <c r="J3" s="417">
        <v>45707</v>
      </c>
      <c r="K3" s="418"/>
      <c r="L3" s="418"/>
      <c r="M3" s="419"/>
      <c r="N3" s="417">
        <v>45708</v>
      </c>
      <c r="O3" s="418"/>
      <c r="P3" s="418"/>
      <c r="Q3" s="419"/>
      <c r="R3" s="417">
        <v>45710</v>
      </c>
      <c r="S3" s="418"/>
      <c r="T3" s="418"/>
      <c r="U3" s="419"/>
      <c r="V3" s="417">
        <v>45711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SUM(G5,-F5)</f>
        <v>0</v>
      </c>
      <c r="I5" s="219"/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V5" s="166">
        <v>32.700000000000003</v>
      </c>
      <c r="W5" s="165">
        <v>32.700000000000003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61.1</v>
      </c>
      <c r="G8" s="216">
        <v>61.1</v>
      </c>
      <c r="H8" s="215">
        <f>SUM(G8,-F8)</f>
        <v>0</v>
      </c>
      <c r="I8" s="214"/>
      <c r="J8" s="217">
        <v>60.300000000000004</v>
      </c>
      <c r="K8" s="216">
        <v>60.300000000000004</v>
      </c>
      <c r="L8" s="215">
        <f>SUM(K8,-J8)</f>
        <v>0</v>
      </c>
      <c r="M8" s="214"/>
      <c r="N8" s="217">
        <v>59.7</v>
      </c>
      <c r="O8" s="216">
        <v>59.7</v>
      </c>
      <c r="P8" s="215">
        <f>SUM(O8,-N8)</f>
        <v>0</v>
      </c>
      <c r="Q8" s="214"/>
      <c r="R8" s="217">
        <v>58.900000000000006</v>
      </c>
      <c r="S8" s="216">
        <v>58.900000000000006</v>
      </c>
      <c r="T8" s="215">
        <f>SUM(S8,-R8)</f>
        <v>0</v>
      </c>
      <c r="U8" s="214"/>
      <c r="V8" s="217">
        <v>57.800000000000004</v>
      </c>
      <c r="W8" s="216">
        <v>57.800000000000004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111.30000000000001</v>
      </c>
      <c r="G9" s="187">
        <f>SUM(G5:G8)</f>
        <v>111.30000000000001</v>
      </c>
      <c r="H9" s="187">
        <f>SUM(H5:H8)</f>
        <v>0</v>
      </c>
      <c r="I9" s="213" t="s">
        <v>159</v>
      </c>
      <c r="J9" s="188">
        <f>SUM(J5:J8)</f>
        <v>110.5</v>
      </c>
      <c r="K9" s="187">
        <f>SUM(K5:K8)</f>
        <v>110.5</v>
      </c>
      <c r="L9" s="187">
        <f>SUM(L5:L8)</f>
        <v>0</v>
      </c>
      <c r="M9" s="213" t="s">
        <v>159</v>
      </c>
      <c r="N9" s="188">
        <f>SUM(N5:N8)</f>
        <v>109.9</v>
      </c>
      <c r="O9" s="187">
        <f>SUM(O5:O8)</f>
        <v>109.9</v>
      </c>
      <c r="P9" s="187">
        <f>SUM(P5:P8)</f>
        <v>0</v>
      </c>
      <c r="Q9" s="213" t="s">
        <v>159</v>
      </c>
      <c r="R9" s="188">
        <f>SUM(R5:R8)</f>
        <v>109.10000000000001</v>
      </c>
      <c r="S9" s="187">
        <f>SUM(S5:S8)</f>
        <v>109.10000000000001</v>
      </c>
      <c r="T9" s="187">
        <f>SUM(T5:T8)</f>
        <v>0</v>
      </c>
      <c r="U9" s="213" t="s">
        <v>159</v>
      </c>
      <c r="V9" s="188">
        <f>SUM(V5:V8)</f>
        <v>108</v>
      </c>
      <c r="W9" s="187">
        <f>SUM(W5:W8)</f>
        <v>108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2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0</v>
      </c>
      <c r="H15" s="164">
        <f t="shared" si="0"/>
        <v>32.5</v>
      </c>
      <c r="I15" s="232" t="s">
        <v>149</v>
      </c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f t="shared" si="0"/>
        <v>32.5</v>
      </c>
      <c r="I16" s="232" t="s">
        <v>149</v>
      </c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0</v>
      </c>
      <c r="P16" s="164">
        <f t="shared" si="2"/>
        <v>32.5</v>
      </c>
      <c r="Q16" s="189" t="s">
        <v>145</v>
      </c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-162.1</v>
      </c>
      <c r="H21" s="187">
        <f>SUM(H13:H20)</f>
        <v>91.1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-194.6</v>
      </c>
      <c r="P21" s="187">
        <f>SUM(P13:P20)</f>
        <v>58.6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f>SUM(G25,-F25)</f>
        <v>5</v>
      </c>
      <c r="I25" s="206" t="s">
        <v>149</v>
      </c>
      <c r="J25" s="209">
        <v>-5</v>
      </c>
      <c r="K25" s="208">
        <v>0</v>
      </c>
      <c r="L25" s="207">
        <f>SUM(K25,-J25)</f>
        <v>5</v>
      </c>
      <c r="M25" s="206" t="s">
        <v>149</v>
      </c>
      <c r="N25" s="209">
        <v>-5</v>
      </c>
      <c r="O25" s="208">
        <v>0</v>
      </c>
      <c r="P25" s="207">
        <f>SUM(O25,-N25)</f>
        <v>5</v>
      </c>
      <c r="Q25" s="206" t="s">
        <v>149</v>
      </c>
      <c r="R25" s="209">
        <v>-5</v>
      </c>
      <c r="S25" s="208">
        <v>0</v>
      </c>
      <c r="T25" s="207">
        <f>SUM(S25,-R25)</f>
        <v>5</v>
      </c>
      <c r="U25" s="206" t="s">
        <v>149</v>
      </c>
      <c r="V25" s="209">
        <v>-5</v>
      </c>
      <c r="W25" s="208">
        <v>0</v>
      </c>
      <c r="X25" s="207">
        <f>SUM(W25,-V25)</f>
        <v>5</v>
      </c>
      <c r="Y25" s="206" t="s">
        <v>149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58.7</v>
      </c>
      <c r="L29" s="457">
        <f>SUM(K29,-J29)</f>
        <v>14.900000000000006</v>
      </c>
      <c r="M29" s="459" t="s">
        <v>149</v>
      </c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0.46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54.4</v>
      </c>
      <c r="T31" s="457">
        <f>SUM(S31,-R31)</f>
        <v>0</v>
      </c>
      <c r="U31" s="459"/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36.6</v>
      </c>
      <c r="H33" s="457">
        <f>SUM(G33,-F33)</f>
        <v>15</v>
      </c>
      <c r="I33" s="459" t="s">
        <v>184</v>
      </c>
      <c r="J33" s="200">
        <v>21.6</v>
      </c>
      <c r="K33" s="199">
        <v>34.6</v>
      </c>
      <c r="L33" s="457">
        <f>SUM(K33,-J33)</f>
        <v>13</v>
      </c>
      <c r="M33" s="459" t="s">
        <v>184</v>
      </c>
      <c r="N33" s="200">
        <v>21.6</v>
      </c>
      <c r="O33" s="199">
        <v>32.299999999999997</v>
      </c>
      <c r="P33" s="457">
        <f>SUM(O33,-N33)</f>
        <v>10.699999999999996</v>
      </c>
      <c r="Q33" s="459" t="s">
        <v>184</v>
      </c>
      <c r="R33" s="200">
        <v>21.6</v>
      </c>
      <c r="S33" s="199">
        <v>37.4</v>
      </c>
      <c r="T33" s="457">
        <f>SUM(S33,-R33)</f>
        <v>15.799999999999997</v>
      </c>
      <c r="U33" s="459" t="s">
        <v>184</v>
      </c>
      <c r="V33" s="200">
        <v>21.6</v>
      </c>
      <c r="W33" s="199">
        <v>37.4</v>
      </c>
      <c r="X33" s="457">
        <f>SUM(W33,-V33)</f>
        <v>15.799999999999997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0.18</v>
      </c>
      <c r="G34" s="230">
        <v>31</v>
      </c>
      <c r="H34" s="458"/>
      <c r="I34" s="460"/>
      <c r="J34" s="198">
        <v>0.18</v>
      </c>
      <c r="K34" s="230">
        <v>29</v>
      </c>
      <c r="L34" s="458"/>
      <c r="M34" s="460"/>
      <c r="N34" s="198">
        <v>0.18</v>
      </c>
      <c r="O34" s="230">
        <v>27</v>
      </c>
      <c r="P34" s="458"/>
      <c r="Q34" s="460"/>
      <c r="R34" s="198">
        <v>0.18</v>
      </c>
      <c r="S34" s="230">
        <v>32</v>
      </c>
      <c r="T34" s="458"/>
      <c r="U34" s="460"/>
      <c r="V34" s="198">
        <v>0.18</v>
      </c>
      <c r="W34" s="230">
        <v>32</v>
      </c>
      <c r="X34" s="458"/>
      <c r="Y34" s="460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194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1.4</v>
      </c>
      <c r="H37" s="164">
        <f>SUM(G37,-F37)</f>
        <v>-8.6</v>
      </c>
      <c r="I37" s="189" t="s">
        <v>147</v>
      </c>
      <c r="J37" s="166">
        <v>10</v>
      </c>
      <c r="K37" s="165">
        <v>1.4</v>
      </c>
      <c r="L37" s="164">
        <f>SUM(K37,-J37)</f>
        <v>-8.6</v>
      </c>
      <c r="M37" s="189" t="s">
        <v>147</v>
      </c>
      <c r="N37" s="166">
        <v>10</v>
      </c>
      <c r="O37" s="165">
        <v>1.4</v>
      </c>
      <c r="P37" s="164">
        <f>SUM(O37,-N37)</f>
        <v>-8.6</v>
      </c>
      <c r="Q37" s="189" t="s">
        <v>147</v>
      </c>
      <c r="R37" s="166">
        <v>10</v>
      </c>
      <c r="S37" s="165">
        <v>1.3000000000000056</v>
      </c>
      <c r="T37" s="164">
        <f>SUM(S37,-R37)</f>
        <v>-8.699999999999994</v>
      </c>
      <c r="U37" s="189" t="s">
        <v>170</v>
      </c>
      <c r="V37" s="166">
        <v>10</v>
      </c>
      <c r="W37" s="165">
        <v>1.3000000000000056</v>
      </c>
      <c r="X37" s="164">
        <f>SUM(W37,-V37)</f>
        <v>-8.699999999999994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129.79999999999998</v>
      </c>
      <c r="G38" s="187">
        <f>SUM(G29:G33,G37)</f>
        <v>136.19999999999999</v>
      </c>
      <c r="H38" s="187">
        <f>SUM(H29:H34,H37)</f>
        <v>6.4</v>
      </c>
      <c r="I38" s="186"/>
      <c r="J38" s="188">
        <f>SUM(J29,J31,J33,J37)</f>
        <v>129.79999999999998</v>
      </c>
      <c r="K38" s="187">
        <f>SUM(K29:K33,K37)</f>
        <v>149.1</v>
      </c>
      <c r="L38" s="187">
        <f>SUM(L29:L34,L37)</f>
        <v>19.300000000000004</v>
      </c>
      <c r="M38" s="186"/>
      <c r="N38" s="188">
        <f>SUM(N29,N31,N33,N37)</f>
        <v>129.79999999999998</v>
      </c>
      <c r="O38" s="187">
        <f>SUM(O29:O33,O37)</f>
        <v>131.9</v>
      </c>
      <c r="P38" s="187">
        <f>SUM(P29:P34,P37)</f>
        <v>2.0999999999999961</v>
      </c>
      <c r="Q38" s="186"/>
      <c r="R38" s="188">
        <f>SUM(R29,R31,R33,R37)</f>
        <v>129.79999999999998</v>
      </c>
      <c r="S38" s="187">
        <f>SUM(S29:S33,S37)</f>
        <v>136.9</v>
      </c>
      <c r="T38" s="187">
        <f>SUM(T29:T34,T37)</f>
        <v>7.1000000000000032</v>
      </c>
      <c r="U38" s="186"/>
      <c r="V38" s="188">
        <f>SUM(V29,V31,V33,V37)</f>
        <v>129.79999999999998</v>
      </c>
      <c r="W38" s="187">
        <f>SUM(W29:W33,W37)</f>
        <v>136.9</v>
      </c>
      <c r="X38" s="187">
        <f>SUM(X29:X34,X37)</f>
        <v>7.1000000000000032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256</v>
      </c>
      <c r="G43" s="479"/>
      <c r="H43" s="480"/>
      <c r="I43" s="481"/>
      <c r="J43" s="183">
        <v>256</v>
      </c>
      <c r="K43" s="479"/>
      <c r="L43" s="480"/>
      <c r="M43" s="481"/>
      <c r="N43" s="183">
        <v>256</v>
      </c>
      <c r="O43" s="479"/>
      <c r="P43" s="480"/>
      <c r="Q43" s="481"/>
      <c r="R43" s="183">
        <v>203</v>
      </c>
      <c r="S43" s="479"/>
      <c r="T43" s="480"/>
      <c r="U43" s="481"/>
      <c r="V43" s="183">
        <v>203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40.6</v>
      </c>
      <c r="G47" s="478">
        <v>44.4</v>
      </c>
      <c r="H47" s="457">
        <f>SUM(G47,-F47)</f>
        <v>3.7999999999999972</v>
      </c>
      <c r="I47" s="459" t="s">
        <v>149</v>
      </c>
      <c r="J47" s="178">
        <v>40.558999999999997</v>
      </c>
      <c r="K47" s="478">
        <v>44</v>
      </c>
      <c r="L47" s="457">
        <f>SUM(K47,-J47)</f>
        <v>3.4410000000000025</v>
      </c>
      <c r="M47" s="459" t="s">
        <v>149</v>
      </c>
      <c r="N47" s="178">
        <v>40.558999999999997</v>
      </c>
      <c r="O47" s="478">
        <v>41.9</v>
      </c>
      <c r="P47" s="457">
        <f>SUM(O47,-N47)</f>
        <v>1.3410000000000011</v>
      </c>
      <c r="Q47" s="459" t="s">
        <v>181</v>
      </c>
      <c r="R47" s="178">
        <v>40.558999999999997</v>
      </c>
      <c r="S47" s="478">
        <v>41.6</v>
      </c>
      <c r="T47" s="457">
        <f>SUM(S47,-R47)</f>
        <v>1.0410000000000039</v>
      </c>
      <c r="U47" s="459" t="s">
        <v>181</v>
      </c>
      <c r="V47" s="178">
        <v>40.558999999999997</v>
      </c>
      <c r="W47" s="478">
        <v>41.6</v>
      </c>
      <c r="X47" s="457">
        <f>SUM(W47,-V47)</f>
        <v>1.0410000000000039</v>
      </c>
      <c r="Y47" s="459" t="s">
        <v>181</v>
      </c>
    </row>
    <row r="48" spans="3:25" ht="16.5" thickBot="1">
      <c r="C48" s="486"/>
      <c r="D48" s="487"/>
      <c r="E48" s="489"/>
      <c r="F48" s="177">
        <v>0.58887840290381122</v>
      </c>
      <c r="G48" s="479"/>
      <c r="H48" s="480"/>
      <c r="I48" s="481"/>
      <c r="J48" s="177">
        <v>0.58887840290381122</v>
      </c>
      <c r="K48" s="479"/>
      <c r="L48" s="480"/>
      <c r="M48" s="481"/>
      <c r="N48" s="177">
        <v>0.58887840290381122</v>
      </c>
      <c r="O48" s="479"/>
      <c r="P48" s="480"/>
      <c r="Q48" s="481"/>
      <c r="R48" s="177">
        <v>0.58887840290381122</v>
      </c>
      <c r="S48" s="479"/>
      <c r="T48" s="480"/>
      <c r="U48" s="481"/>
      <c r="V48" s="177">
        <v>0.58887840290381122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25.2</v>
      </c>
      <c r="H53" s="223" t="s">
        <v>159</v>
      </c>
      <c r="I53" s="222" t="s">
        <v>180</v>
      </c>
      <c r="J53" s="225">
        <v>0</v>
      </c>
      <c r="K53" s="229">
        <v>25.4</v>
      </c>
      <c r="L53" s="223" t="s">
        <v>159</v>
      </c>
      <c r="M53" s="222" t="s">
        <v>180</v>
      </c>
      <c r="N53" s="225">
        <v>0</v>
      </c>
      <c r="O53" s="229">
        <v>25.1</v>
      </c>
      <c r="P53" s="223" t="s">
        <v>159</v>
      </c>
      <c r="Q53" s="222" t="s">
        <v>180</v>
      </c>
      <c r="R53" s="225">
        <v>0</v>
      </c>
      <c r="S53" s="229">
        <v>25.9</v>
      </c>
      <c r="T53" s="223" t="s">
        <v>159</v>
      </c>
      <c r="U53" s="222" t="s">
        <v>180</v>
      </c>
      <c r="V53" s="225">
        <v>0</v>
      </c>
      <c r="W53" s="229">
        <v>25.4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W42:W43"/>
    <mergeCell ref="M42:M43"/>
    <mergeCell ref="O42:O43"/>
    <mergeCell ref="X42:X43"/>
    <mergeCell ref="V50:Y50"/>
    <mergeCell ref="Y42:Y43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C46:D48"/>
    <mergeCell ref="E47:E48"/>
    <mergeCell ref="G47:G48"/>
    <mergeCell ref="H47:H48"/>
    <mergeCell ref="I47:I48"/>
    <mergeCell ref="K47:K48"/>
    <mergeCell ref="N50:Q50"/>
    <mergeCell ref="R50:U50"/>
    <mergeCell ref="L47:L48"/>
    <mergeCell ref="M47:M48"/>
    <mergeCell ref="O47:O48"/>
    <mergeCell ref="P47:P48"/>
    <mergeCell ref="Q47:Q48"/>
    <mergeCell ref="S47:S48"/>
    <mergeCell ref="C45:E45"/>
    <mergeCell ref="F45:I45"/>
    <mergeCell ref="J45:M45"/>
    <mergeCell ref="N45:Q45"/>
    <mergeCell ref="R45:U45"/>
    <mergeCell ref="V45:Y45"/>
    <mergeCell ref="T33:T34"/>
    <mergeCell ref="U33:U34"/>
    <mergeCell ref="V40:Y40"/>
    <mergeCell ref="C41:D43"/>
    <mergeCell ref="E42:E43"/>
    <mergeCell ref="G42:G43"/>
    <mergeCell ref="H42:H43"/>
    <mergeCell ref="I42:I43"/>
    <mergeCell ref="K42:K43"/>
    <mergeCell ref="L42:L43"/>
    <mergeCell ref="X33:X34"/>
    <mergeCell ref="Y33:Y34"/>
    <mergeCell ref="P42:P43"/>
    <mergeCell ref="Q42:Q43"/>
    <mergeCell ref="S42:S43"/>
    <mergeCell ref="T42:T43"/>
    <mergeCell ref="U42:U43"/>
    <mergeCell ref="C40:E40"/>
    <mergeCell ref="F40:I40"/>
    <mergeCell ref="J40:M40"/>
    <mergeCell ref="N40:Q40"/>
    <mergeCell ref="R40:U40"/>
    <mergeCell ref="Q33:Q34"/>
    <mergeCell ref="D33:D37"/>
    <mergeCell ref="H33:H34"/>
    <mergeCell ref="I33:I34"/>
    <mergeCell ref="L33:L34"/>
    <mergeCell ref="M33:M34"/>
    <mergeCell ref="P33:P34"/>
    <mergeCell ref="E34:E36"/>
    <mergeCell ref="X31:X32"/>
    <mergeCell ref="Y31:Y32"/>
    <mergeCell ref="M31:M32"/>
    <mergeCell ref="O31:O32"/>
    <mergeCell ref="P31:P32"/>
    <mergeCell ref="M29:M30"/>
    <mergeCell ref="O29:O30"/>
    <mergeCell ref="P29:P30"/>
    <mergeCell ref="Q29:Q30"/>
    <mergeCell ref="S29:S30"/>
    <mergeCell ref="T29:T30"/>
    <mergeCell ref="U29:U30"/>
    <mergeCell ref="W29:W30"/>
    <mergeCell ref="X29:X30"/>
    <mergeCell ref="Y29:Y30"/>
    <mergeCell ref="Q31:Q32"/>
    <mergeCell ref="S31:S32"/>
    <mergeCell ref="T31:T32"/>
    <mergeCell ref="U31:U32"/>
    <mergeCell ref="C28:C38"/>
    <mergeCell ref="D29:D32"/>
    <mergeCell ref="E29:E30"/>
    <mergeCell ref="G29:G30"/>
    <mergeCell ref="H29:H30"/>
    <mergeCell ref="I29:I30"/>
    <mergeCell ref="K29:K30"/>
    <mergeCell ref="L29:L30"/>
    <mergeCell ref="W31:W32"/>
    <mergeCell ref="D38:E38"/>
    <mergeCell ref="E31:E32"/>
    <mergeCell ref="G31:G32"/>
    <mergeCell ref="H31:H32"/>
    <mergeCell ref="I31:I32"/>
    <mergeCell ref="K31:K32"/>
    <mergeCell ref="L31:L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122B-4AF7-41A6-A446-984CE5B5E139}">
  <sheetPr>
    <pageSetUpPr fitToPage="1"/>
  </sheetPr>
  <dimension ref="A1:Y57"/>
  <sheetViews>
    <sheetView showGridLines="0" showWhiteSpace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  <c r="Y2" s="220"/>
    </row>
    <row r="3" spans="3:25" ht="17" thickTop="1" thickBot="1">
      <c r="C3" s="435" t="s">
        <v>142</v>
      </c>
      <c r="D3" s="436"/>
      <c r="E3" s="437"/>
      <c r="F3" s="417">
        <v>45712</v>
      </c>
      <c r="G3" s="418"/>
      <c r="H3" s="418"/>
      <c r="I3" s="419"/>
      <c r="J3" s="417">
        <v>45713</v>
      </c>
      <c r="K3" s="418"/>
      <c r="L3" s="418"/>
      <c r="M3" s="419"/>
      <c r="N3" s="417">
        <v>45714</v>
      </c>
      <c r="O3" s="418"/>
      <c r="P3" s="418"/>
      <c r="Q3" s="419"/>
      <c r="R3" s="417">
        <v>45715</v>
      </c>
      <c r="S3" s="418"/>
      <c r="T3" s="418"/>
      <c r="U3" s="419"/>
      <c r="Y3" s="1"/>
    </row>
    <row r="4" spans="3:25" ht="16">
      <c r="C4" s="421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Y4" s="1"/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f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Y5" s="1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Y7" s="1"/>
    </row>
    <row r="8" spans="3:25" ht="16">
      <c r="C8" s="423"/>
      <c r="D8" s="426"/>
      <c r="E8" s="218" t="s">
        <v>133</v>
      </c>
      <c r="F8" s="217">
        <v>58.7</v>
      </c>
      <c r="G8" s="216">
        <v>58.7</v>
      </c>
      <c r="H8" s="215">
        <v>0</v>
      </c>
      <c r="I8" s="214"/>
      <c r="J8" s="217">
        <v>58.7</v>
      </c>
      <c r="K8" s="216">
        <v>58.7</v>
      </c>
      <c r="L8" s="215">
        <f>SUM(K8,-J8)</f>
        <v>0</v>
      </c>
      <c r="M8" s="214"/>
      <c r="N8" s="217">
        <v>57.300000000000004</v>
      </c>
      <c r="O8" s="216">
        <v>57.300000000000004</v>
      </c>
      <c r="P8" s="215">
        <f>SUM(O8,-N8)</f>
        <v>0</v>
      </c>
      <c r="Q8" s="232"/>
      <c r="R8" s="217">
        <v>57.7</v>
      </c>
      <c r="S8" s="216">
        <v>57.7</v>
      </c>
      <c r="T8" s="215">
        <f>SUM(S8,-R8)</f>
        <v>0</v>
      </c>
      <c r="U8" s="214"/>
      <c r="Y8" s="1"/>
    </row>
    <row r="9" spans="3:25" ht="16.5" thickBot="1">
      <c r="C9" s="424"/>
      <c r="D9" s="427" t="s">
        <v>101</v>
      </c>
      <c r="E9" s="428"/>
      <c r="F9" s="188">
        <v>108.9</v>
      </c>
      <c r="G9" s="187">
        <v>108.9</v>
      </c>
      <c r="H9" s="187">
        <v>0</v>
      </c>
      <c r="I9" s="213" t="s">
        <v>81</v>
      </c>
      <c r="J9" s="188">
        <f>SUM(J5:J8)</f>
        <v>108.9</v>
      </c>
      <c r="K9" s="187">
        <f>SUM(K5:K8)</f>
        <v>108.9</v>
      </c>
      <c r="L9" s="187">
        <f>SUM(L5:L8)</f>
        <v>0</v>
      </c>
      <c r="M9" s="213" t="s">
        <v>159</v>
      </c>
      <c r="N9" s="188">
        <f>SUM(N5:N8)</f>
        <v>107.5</v>
      </c>
      <c r="O9" s="187">
        <f>SUM(O5:O8)</f>
        <v>107.5</v>
      </c>
      <c r="P9" s="187">
        <f>SUM(P5:P8)</f>
        <v>0</v>
      </c>
      <c r="Q9" s="213" t="s">
        <v>159</v>
      </c>
      <c r="R9" s="188">
        <f>SUM(R5:R8)</f>
        <v>107.9</v>
      </c>
      <c r="S9" s="187">
        <f>SUM(S5:S8)</f>
        <v>107.9</v>
      </c>
      <c r="T9" s="187">
        <f>SUM(T5:T8)</f>
        <v>0</v>
      </c>
      <c r="U9" s="213" t="s">
        <v>159</v>
      </c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Y10" s="1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232" t="s">
        <v>149</v>
      </c>
      <c r="J13" s="166">
        <v>-26.1</v>
      </c>
      <c r="K13" s="165">
        <v>0</v>
      </c>
      <c r="L13" s="164">
        <f t="shared" ref="L13:L20" si="0">SUM(K13,-J13)</f>
        <v>26.1</v>
      </c>
      <c r="M13" s="232" t="s">
        <v>149</v>
      </c>
      <c r="N13" s="166">
        <v>-26.1</v>
      </c>
      <c r="O13" s="165">
        <v>0</v>
      </c>
      <c r="P13" s="164">
        <f t="shared" ref="P13:P20" si="1">SUM(O13,-N13)</f>
        <v>26.1</v>
      </c>
      <c r="Q13" s="232" t="s">
        <v>149</v>
      </c>
      <c r="R13" s="166">
        <v>-26.1</v>
      </c>
      <c r="S13" s="165">
        <v>0</v>
      </c>
      <c r="T13" s="164">
        <f t="shared" ref="T13:T20" si="2">SUM(S13,-R13)</f>
        <v>26.1</v>
      </c>
      <c r="U13" s="232" t="s">
        <v>149</v>
      </c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0</v>
      </c>
      <c r="L14" s="164">
        <f t="shared" si="0"/>
        <v>26.1</v>
      </c>
      <c r="M14" s="232" t="s">
        <v>149</v>
      </c>
      <c r="N14" s="166">
        <v>-26.1</v>
      </c>
      <c r="O14" s="165">
        <v>0</v>
      </c>
      <c r="P14" s="164">
        <f t="shared" si="1"/>
        <v>26.1</v>
      </c>
      <c r="Q14" s="232" t="s">
        <v>149</v>
      </c>
      <c r="R14" s="166">
        <v>-26.1</v>
      </c>
      <c r="S14" s="165">
        <v>0</v>
      </c>
      <c r="T14" s="164">
        <f t="shared" si="2"/>
        <v>26.1</v>
      </c>
      <c r="U14" s="232" t="s">
        <v>149</v>
      </c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f t="shared" si="0"/>
        <v>0</v>
      </c>
      <c r="M15" s="189"/>
      <c r="N15" s="166">
        <v>-32.5</v>
      </c>
      <c r="O15" s="165">
        <v>-32.5</v>
      </c>
      <c r="P15" s="164">
        <f t="shared" si="1"/>
        <v>0</v>
      </c>
      <c r="Q15" s="189"/>
      <c r="R15" s="166">
        <v>-32.5</v>
      </c>
      <c r="S15" s="165">
        <v>-32.5</v>
      </c>
      <c r="T15" s="164">
        <f t="shared" si="2"/>
        <v>0</v>
      </c>
      <c r="U15" s="189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f t="shared" si="0"/>
        <v>0</v>
      </c>
      <c r="M16" s="189"/>
      <c r="N16" s="166">
        <v>-32.5</v>
      </c>
      <c r="O16" s="165">
        <v>-32.5</v>
      </c>
      <c r="P16" s="164">
        <f t="shared" si="1"/>
        <v>0</v>
      </c>
      <c r="Q16" s="189"/>
      <c r="R16" s="166">
        <v>-32.5</v>
      </c>
      <c r="S16" s="165">
        <v>-32.5</v>
      </c>
      <c r="T16" s="164">
        <f t="shared" si="2"/>
        <v>0</v>
      </c>
      <c r="U16" s="189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f t="shared" si="0"/>
        <v>0</v>
      </c>
      <c r="M17" s="212"/>
      <c r="N17" s="166">
        <v>-34</v>
      </c>
      <c r="O17" s="165">
        <v>-34</v>
      </c>
      <c r="P17" s="164">
        <f t="shared" si="1"/>
        <v>0</v>
      </c>
      <c r="Q17" s="212"/>
      <c r="R17" s="166">
        <v>-34</v>
      </c>
      <c r="S17" s="165">
        <v>-34</v>
      </c>
      <c r="T17" s="164">
        <f t="shared" si="2"/>
        <v>0</v>
      </c>
      <c r="U17" s="212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f t="shared" si="0"/>
        <v>0</v>
      </c>
      <c r="M18" s="189"/>
      <c r="N18" s="166">
        <v>-34</v>
      </c>
      <c r="O18" s="165">
        <v>-34</v>
      </c>
      <c r="P18" s="164">
        <f t="shared" si="1"/>
        <v>0</v>
      </c>
      <c r="Q18" s="189"/>
      <c r="R18" s="166">
        <v>-34</v>
      </c>
      <c r="S18" s="165">
        <v>-34</v>
      </c>
      <c r="T18" s="164">
        <f t="shared" si="2"/>
        <v>0</v>
      </c>
      <c r="U18" s="189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f t="shared" si="0"/>
        <v>0</v>
      </c>
      <c r="M19" s="189"/>
      <c r="N19" s="166">
        <v>-34</v>
      </c>
      <c r="O19" s="165">
        <v>-34</v>
      </c>
      <c r="P19" s="164">
        <f t="shared" si="1"/>
        <v>0</v>
      </c>
      <c r="Q19" s="189"/>
      <c r="R19" s="166">
        <v>-34</v>
      </c>
      <c r="S19" s="165">
        <v>-34</v>
      </c>
      <c r="T19" s="164">
        <f t="shared" si="2"/>
        <v>0</v>
      </c>
      <c r="U19" s="189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f t="shared" si="0"/>
        <v>0</v>
      </c>
      <c r="M20" s="189"/>
      <c r="N20" s="166">
        <v>-34</v>
      </c>
      <c r="O20" s="165">
        <v>-34</v>
      </c>
      <c r="P20" s="164">
        <f t="shared" si="1"/>
        <v>0</v>
      </c>
      <c r="Q20" s="189"/>
      <c r="R20" s="166">
        <v>-34</v>
      </c>
      <c r="S20" s="165">
        <v>-34</v>
      </c>
      <c r="T20" s="164">
        <f t="shared" si="2"/>
        <v>0</v>
      </c>
      <c r="U20" s="189"/>
      <c r="Y20" s="1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f>SUM(J13:J20)</f>
        <v>-253.2</v>
      </c>
      <c r="K21" s="187">
        <f>SUM(K13:K20)</f>
        <v>-201</v>
      </c>
      <c r="L21" s="187">
        <f>SUM(L13:L20)</f>
        <v>52.2</v>
      </c>
      <c r="M21" s="186" t="s">
        <v>159</v>
      </c>
      <c r="N21" s="188">
        <f>SUM(N13:N20)</f>
        <v>-253.2</v>
      </c>
      <c r="O21" s="187">
        <f>SUM(O13:O20)</f>
        <v>-201</v>
      </c>
      <c r="P21" s="187">
        <f>SUM(P13:P20)</f>
        <v>52.2</v>
      </c>
      <c r="Q21" s="186" t="s">
        <v>159</v>
      </c>
      <c r="R21" s="188">
        <f>SUM(R13:R20)</f>
        <v>-253.2</v>
      </c>
      <c r="S21" s="187">
        <f>SUM(S13:S20)</f>
        <v>-201</v>
      </c>
      <c r="T21" s="187">
        <f>SUM(T13:T20)</f>
        <v>52.2</v>
      </c>
      <c r="U21" s="186" t="s">
        <v>159</v>
      </c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Y22" s="1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Y23" s="1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Y24" s="1"/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v>5</v>
      </c>
      <c r="I25" s="206" t="s">
        <v>149</v>
      </c>
      <c r="J25" s="209">
        <v>-5</v>
      </c>
      <c r="K25" s="208">
        <v>0</v>
      </c>
      <c r="L25" s="207">
        <f>SUM(K25,-J25)</f>
        <v>5</v>
      </c>
      <c r="M25" s="206" t="s">
        <v>149</v>
      </c>
      <c r="N25" s="209">
        <v>-5</v>
      </c>
      <c r="O25" s="208">
        <v>0</v>
      </c>
      <c r="P25" s="207">
        <f>SUM(O25,-N25)</f>
        <v>5</v>
      </c>
      <c r="Q25" s="206" t="s">
        <v>149</v>
      </c>
      <c r="R25" s="209">
        <v>-5</v>
      </c>
      <c r="S25" s="208">
        <v>0</v>
      </c>
      <c r="T25" s="207">
        <f>SUM(S25,-R25)</f>
        <v>5</v>
      </c>
      <c r="U25" s="206" t="s">
        <v>149</v>
      </c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Y26" s="1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Y27" s="1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Y28" s="1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Y29" s="1"/>
    </row>
    <row r="30" spans="3:25" ht="16">
      <c r="C30" s="451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Y30" s="1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54.4</v>
      </c>
      <c r="T31" s="457">
        <f>SUM(S31,-R31)</f>
        <v>0</v>
      </c>
      <c r="U31" s="459"/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Y32" s="1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37.6</v>
      </c>
      <c r="H33" s="457">
        <v>16</v>
      </c>
      <c r="I33" s="459" t="s">
        <v>148</v>
      </c>
      <c r="J33" s="200">
        <v>21.6</v>
      </c>
      <c r="K33" s="199">
        <v>36.6</v>
      </c>
      <c r="L33" s="457">
        <f>SUM(K33,-J33)</f>
        <v>15</v>
      </c>
      <c r="M33" s="459" t="s">
        <v>148</v>
      </c>
      <c r="N33" s="200">
        <v>21.6</v>
      </c>
      <c r="O33" s="199">
        <v>45</v>
      </c>
      <c r="P33" s="457">
        <f>SUM(O33,-N33)</f>
        <v>23.4</v>
      </c>
      <c r="Q33" s="459" t="s">
        <v>148</v>
      </c>
      <c r="R33" s="200">
        <v>21.6</v>
      </c>
      <c r="S33" s="199">
        <v>42</v>
      </c>
      <c r="T33" s="457">
        <f>SUM(S33,-R33)</f>
        <v>20.399999999999999</v>
      </c>
      <c r="U33" s="459" t="s">
        <v>148</v>
      </c>
      <c r="Y33" s="1"/>
    </row>
    <row r="34" spans="3:25" ht="16">
      <c r="C34" s="451"/>
      <c r="D34" s="467"/>
      <c r="E34" s="463" t="s">
        <v>104</v>
      </c>
      <c r="F34" s="198">
        <v>0.18</v>
      </c>
      <c r="G34" s="197">
        <v>0.32</v>
      </c>
      <c r="H34" s="458"/>
      <c r="I34" s="460"/>
      <c r="J34" s="198">
        <v>0.18</v>
      </c>
      <c r="K34" s="230">
        <v>31</v>
      </c>
      <c r="L34" s="458"/>
      <c r="M34" s="460"/>
      <c r="N34" s="198">
        <v>0.18</v>
      </c>
      <c r="O34" s="230">
        <v>38</v>
      </c>
      <c r="P34" s="458"/>
      <c r="Q34" s="460"/>
      <c r="R34" s="198">
        <v>0.18</v>
      </c>
      <c r="S34" s="230">
        <v>35</v>
      </c>
      <c r="T34" s="458"/>
      <c r="U34" s="460"/>
      <c r="Y34" s="1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Y35" s="1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Y36" s="1"/>
    </row>
    <row r="37" spans="3:25" ht="16">
      <c r="C37" s="451"/>
      <c r="D37" s="467"/>
      <c r="E37" s="190" t="s">
        <v>103</v>
      </c>
      <c r="F37" s="166">
        <v>10</v>
      </c>
      <c r="G37" s="165">
        <v>1.1999999999999986</v>
      </c>
      <c r="H37" s="164">
        <v>-8.8000000000000007</v>
      </c>
      <c r="I37" s="189" t="s">
        <v>147</v>
      </c>
      <c r="J37" s="166">
        <v>10</v>
      </c>
      <c r="K37" s="165">
        <v>1.1999999999999986</v>
      </c>
      <c r="L37" s="164">
        <f>SUM(K37,-J37)</f>
        <v>-8.8000000000000007</v>
      </c>
      <c r="M37" s="189" t="s">
        <v>147</v>
      </c>
      <c r="N37" s="166">
        <v>10</v>
      </c>
      <c r="O37" s="165">
        <v>1.2000000000000057</v>
      </c>
      <c r="P37" s="164">
        <f>SUM(O37,-N37)</f>
        <v>-8.7999999999999936</v>
      </c>
      <c r="Q37" s="189" t="s">
        <v>147</v>
      </c>
      <c r="R37" s="166">
        <v>10</v>
      </c>
      <c r="S37" s="165">
        <v>1.5</v>
      </c>
      <c r="T37" s="164">
        <f>SUM(S37,-R37)</f>
        <v>-8.5</v>
      </c>
      <c r="U37" s="189" t="s">
        <v>147</v>
      </c>
      <c r="Y37" s="1"/>
    </row>
    <row r="38" spans="3:25" ht="16.5" thickBot="1">
      <c r="C38" s="452"/>
      <c r="D38" s="427" t="s">
        <v>101</v>
      </c>
      <c r="E38" s="428"/>
      <c r="F38" s="188">
        <v>129.79999999999998</v>
      </c>
      <c r="G38" s="187">
        <v>136.99999999999997</v>
      </c>
      <c r="H38" s="187">
        <v>7.1999999999999993</v>
      </c>
      <c r="I38" s="186"/>
      <c r="J38" s="188">
        <f>SUM(J29,J31,J33,J37)</f>
        <v>129.79999999999998</v>
      </c>
      <c r="K38" s="187">
        <f>SUM(K29:K33,K37)</f>
        <v>135.99999999999997</v>
      </c>
      <c r="L38" s="187">
        <f>SUM(L29:L34,L37)</f>
        <v>6.1999999999999993</v>
      </c>
      <c r="M38" s="186"/>
      <c r="N38" s="188">
        <f>SUM(N29,N31,N33,N37)</f>
        <v>129.79999999999998</v>
      </c>
      <c r="O38" s="187">
        <f>SUM(O29:O33,O37)</f>
        <v>144.4</v>
      </c>
      <c r="P38" s="187">
        <f>SUM(P29:P34,P37)</f>
        <v>14.600000000000005</v>
      </c>
      <c r="Q38" s="186"/>
      <c r="R38" s="188">
        <f>SUM(R29,R31,R33,R37)</f>
        <v>129.79999999999998</v>
      </c>
      <c r="S38" s="187">
        <f>SUM(S29:S33,S37)</f>
        <v>141.69999999999999</v>
      </c>
      <c r="T38" s="187">
        <f>SUM(T29:T34,T37)</f>
        <v>11.899999999999999</v>
      </c>
      <c r="U38" s="186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Y39" s="1"/>
    </row>
    <row r="40" spans="3:25" ht="16.5" thickBot="1">
      <c r="C40" s="429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Y41" s="1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Y42" s="1"/>
    </row>
    <row r="43" spans="3:25" ht="16.5" thickBot="1">
      <c r="C43" s="474"/>
      <c r="D43" s="475"/>
      <c r="E43" s="477"/>
      <c r="F43" s="183">
        <v>206</v>
      </c>
      <c r="G43" s="479"/>
      <c r="H43" s="509"/>
      <c r="I43" s="481"/>
      <c r="J43" s="183">
        <v>256</v>
      </c>
      <c r="K43" s="479"/>
      <c r="L43" s="480"/>
      <c r="M43" s="481"/>
      <c r="N43" s="183">
        <v>256</v>
      </c>
      <c r="O43" s="479"/>
      <c r="P43" s="480"/>
      <c r="Q43" s="481"/>
      <c r="R43" s="183">
        <v>256</v>
      </c>
      <c r="S43" s="479"/>
      <c r="T43" s="480"/>
      <c r="U43" s="48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Y44" s="1"/>
    </row>
    <row r="45" spans="3:25" ht="16.5" thickBot="1">
      <c r="C45" s="429" t="s">
        <v>94</v>
      </c>
      <c r="D45" s="430"/>
      <c r="E45" s="431"/>
      <c r="F45" s="432">
        <v>45712</v>
      </c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Y46" s="1"/>
    </row>
    <row r="47" spans="3:25" ht="16">
      <c r="C47" s="444"/>
      <c r="D47" s="483"/>
      <c r="E47" s="488" t="s">
        <v>91</v>
      </c>
      <c r="F47" s="178">
        <v>40.6</v>
      </c>
      <c r="G47" s="478">
        <v>38.6</v>
      </c>
      <c r="H47" s="457">
        <v>-2.3000000000000043</v>
      </c>
      <c r="I47" s="459" t="s">
        <v>146</v>
      </c>
      <c r="J47" s="178">
        <v>40.558999999999997</v>
      </c>
      <c r="K47" s="478">
        <v>40.9</v>
      </c>
      <c r="L47" s="457">
        <f>SUM(K47,-J47)</f>
        <v>0.34100000000000108</v>
      </c>
      <c r="M47" s="459" t="s">
        <v>149</v>
      </c>
      <c r="N47" s="178">
        <v>40.558999999999997</v>
      </c>
      <c r="O47" s="478">
        <v>40.9</v>
      </c>
      <c r="P47" s="457">
        <f>SUM(O47,-N47)</f>
        <v>0.34100000000000108</v>
      </c>
      <c r="Q47" s="459" t="s">
        <v>149</v>
      </c>
      <c r="R47" s="178">
        <v>40.558999999999997</v>
      </c>
      <c r="S47" s="478">
        <v>42.1</v>
      </c>
      <c r="T47" s="457">
        <f>SUM(S47,-R47)</f>
        <v>1.5410000000000039</v>
      </c>
      <c r="U47" s="459" t="s">
        <v>149</v>
      </c>
      <c r="Y47" s="1"/>
    </row>
    <row r="48" spans="3:25" ht="16.5" thickBot="1">
      <c r="C48" s="486"/>
      <c r="D48" s="487"/>
      <c r="E48" s="489"/>
      <c r="F48" s="177">
        <v>0.59</v>
      </c>
      <c r="G48" s="479"/>
      <c r="H48" s="509"/>
      <c r="I48" s="481"/>
      <c r="J48" s="177">
        <v>0.58887840290381122</v>
      </c>
      <c r="K48" s="479"/>
      <c r="L48" s="480"/>
      <c r="M48" s="481"/>
      <c r="N48" s="177">
        <v>0.58887840290381122</v>
      </c>
      <c r="O48" s="479"/>
      <c r="P48" s="480"/>
      <c r="Q48" s="481"/>
      <c r="R48" s="177">
        <v>0.58887840290381122</v>
      </c>
      <c r="S48" s="479"/>
      <c r="T48" s="480"/>
      <c r="U48" s="48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Y49" s="1"/>
    </row>
    <row r="50" spans="1:25" ht="16.5" thickBot="1">
      <c r="C50" s="429" t="s">
        <v>89</v>
      </c>
      <c r="D50" s="430"/>
      <c r="E50" s="431"/>
      <c r="F50" s="432">
        <v>45712</v>
      </c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24.8</v>
      </c>
      <c r="H53" s="223" t="s">
        <v>81</v>
      </c>
      <c r="I53" s="222" t="s">
        <v>180</v>
      </c>
      <c r="J53" s="225">
        <v>0</v>
      </c>
      <c r="K53" s="229">
        <v>24.8</v>
      </c>
      <c r="L53" s="223" t="s">
        <v>159</v>
      </c>
      <c r="M53" s="222" t="s">
        <v>180</v>
      </c>
      <c r="N53" s="225">
        <v>0</v>
      </c>
      <c r="O53" s="229">
        <v>25.4</v>
      </c>
      <c r="P53" s="223" t="s">
        <v>159</v>
      </c>
      <c r="Q53" s="222" t="s">
        <v>180</v>
      </c>
      <c r="R53" s="225">
        <v>0</v>
      </c>
      <c r="S53" s="229">
        <v>25.9</v>
      </c>
      <c r="T53" s="223" t="s">
        <v>159</v>
      </c>
      <c r="U53" s="222" t="s">
        <v>180</v>
      </c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14">
    <mergeCell ref="N45:Q45"/>
    <mergeCell ref="R45:U45"/>
    <mergeCell ref="C51:D53"/>
    <mergeCell ref="T47:T48"/>
    <mergeCell ref="U47:U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C40:E40"/>
    <mergeCell ref="F40:I40"/>
    <mergeCell ref="J40:M40"/>
    <mergeCell ref="N40:Q40"/>
    <mergeCell ref="K47:K48"/>
    <mergeCell ref="C45:E45"/>
    <mergeCell ref="F45:I45"/>
    <mergeCell ref="J45:M45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U33:U34"/>
    <mergeCell ref="E34:E36"/>
    <mergeCell ref="I29:I30"/>
    <mergeCell ref="K29:K30"/>
    <mergeCell ref="L29:L30"/>
    <mergeCell ref="M29:M30"/>
    <mergeCell ref="O29:O30"/>
    <mergeCell ref="P29:P30"/>
    <mergeCell ref="Q29:Q30"/>
    <mergeCell ref="M31:M32"/>
    <mergeCell ref="O31:O32"/>
    <mergeCell ref="P31:P32"/>
    <mergeCell ref="Q31:Q32"/>
    <mergeCell ref="D17:D20"/>
    <mergeCell ref="D21:E21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S29:S30"/>
    <mergeCell ref="T29:T30"/>
    <mergeCell ref="U29:U30"/>
    <mergeCell ref="E31:E32"/>
    <mergeCell ref="G31:G32"/>
    <mergeCell ref="H31:H32"/>
    <mergeCell ref="I31:I32"/>
    <mergeCell ref="K31:K32"/>
    <mergeCell ref="L31:L32"/>
    <mergeCell ref="D38:E38"/>
    <mergeCell ref="S31:S32"/>
    <mergeCell ref="T31:T32"/>
    <mergeCell ref="C23:E23"/>
    <mergeCell ref="F23:I23"/>
    <mergeCell ref="J23:M23"/>
    <mergeCell ref="N23:Q23"/>
    <mergeCell ref="R23:U23"/>
    <mergeCell ref="C24:D25"/>
    <mergeCell ref="E24:E25"/>
    <mergeCell ref="C3:E3"/>
    <mergeCell ref="F3:I3"/>
    <mergeCell ref="J3:M3"/>
    <mergeCell ref="N3:Q3"/>
    <mergeCell ref="R3:U3"/>
    <mergeCell ref="C4:C9"/>
    <mergeCell ref="D5:D6"/>
    <mergeCell ref="D7:D8"/>
    <mergeCell ref="D9:E9"/>
    <mergeCell ref="C11:E11"/>
    <mergeCell ref="F11:I11"/>
    <mergeCell ref="J11:M11"/>
    <mergeCell ref="N11:Q11"/>
    <mergeCell ref="R11:U11"/>
    <mergeCell ref="C12:C21"/>
    <mergeCell ref="D13:D14"/>
    <mergeCell ref="D15:D16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6D81-9F82-4922-B2CE-6EFFFE7772E1}">
  <dimension ref="B1:O69"/>
  <sheetViews>
    <sheetView showGridLines="0" view="pageBreakPreview" topLeftCell="E1" zoomScale="85" zoomScaleNormal="70" zoomScaleSheetLayoutView="85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45717</v>
      </c>
      <c r="G3" s="96" t="s">
        <v>67</v>
      </c>
      <c r="H3" s="95">
        <v>45723</v>
      </c>
      <c r="I3" s="96" t="s">
        <v>67</v>
      </c>
      <c r="J3" s="25">
        <v>45724</v>
      </c>
      <c r="K3" s="96" t="s">
        <v>67</v>
      </c>
      <c r="L3" s="25">
        <v>45725</v>
      </c>
      <c r="M3" s="96" t="s">
        <v>67</v>
      </c>
      <c r="N3" s="25">
        <v>45726</v>
      </c>
      <c r="O3" s="96" t="s">
        <v>67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95.6</v>
      </c>
      <c r="G5" s="381" t="s">
        <v>45</v>
      </c>
      <c r="H5" s="9">
        <v>99.4</v>
      </c>
      <c r="I5" s="384" t="s">
        <v>65</v>
      </c>
      <c r="J5" s="9">
        <v>96</v>
      </c>
      <c r="K5" s="384" t="s">
        <v>45</v>
      </c>
      <c r="L5" s="9">
        <v>94.2</v>
      </c>
      <c r="M5" s="384" t="s">
        <v>65</v>
      </c>
      <c r="N5" s="9">
        <v>98.6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134.5</v>
      </c>
      <c r="G6" s="382"/>
      <c r="H6" s="10">
        <v>130.4</v>
      </c>
      <c r="I6" s="385"/>
      <c r="J6" s="10">
        <v>125.9</v>
      </c>
      <c r="K6" s="385"/>
      <c r="L6" s="10">
        <v>124.4</v>
      </c>
      <c r="M6" s="385"/>
      <c r="N6" s="10">
        <v>132.9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414.7</v>
      </c>
      <c r="G7" s="382"/>
      <c r="H7" s="28">
        <v>414.1</v>
      </c>
      <c r="I7" s="385"/>
      <c r="J7" s="28">
        <v>414.2</v>
      </c>
      <c r="K7" s="385"/>
      <c r="L7" s="28">
        <v>414.6</v>
      </c>
      <c r="M7" s="385"/>
      <c r="N7" s="28">
        <v>414.6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16.300000000000125</v>
      </c>
      <c r="G8" s="382"/>
      <c r="H8" s="29">
        <v>23.799999999999823</v>
      </c>
      <c r="I8" s="385"/>
      <c r="J8" s="29">
        <v>21.4</v>
      </c>
      <c r="K8" s="385"/>
      <c r="L8" s="29">
        <v>19.5</v>
      </c>
      <c r="M8" s="385"/>
      <c r="N8" s="29">
        <v>20.3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16.600000000000001</v>
      </c>
      <c r="G9" s="382"/>
      <c r="H9" s="30">
        <v>12.2</v>
      </c>
      <c r="I9" s="385"/>
      <c r="J9" s="30">
        <v>12</v>
      </c>
      <c r="K9" s="385"/>
      <c r="L9" s="30">
        <v>16.100000000000001</v>
      </c>
      <c r="M9" s="385"/>
      <c r="N9" s="30">
        <v>16.100000000000001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39.6</v>
      </c>
      <c r="G10" s="382"/>
      <c r="H10" s="11">
        <v>40.299999999999997</v>
      </c>
      <c r="I10" s="385"/>
      <c r="J10" s="11">
        <v>42.8</v>
      </c>
      <c r="K10" s="385"/>
      <c r="L10" s="11">
        <v>42.8</v>
      </c>
      <c r="M10" s="385"/>
      <c r="N10" s="11">
        <v>42.8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27.1</v>
      </c>
      <c r="G11" s="382"/>
      <c r="H11" s="12">
        <v>26.4</v>
      </c>
      <c r="I11" s="385"/>
      <c r="J11" s="12">
        <v>27.3</v>
      </c>
      <c r="K11" s="385"/>
      <c r="L11" s="12">
        <v>26.8</v>
      </c>
      <c r="M11" s="385"/>
      <c r="N11" s="12">
        <v>27.1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713</v>
      </c>
      <c r="G12" s="382"/>
      <c r="H12" s="13">
        <v>814.5</v>
      </c>
      <c r="I12" s="385"/>
      <c r="J12" s="13">
        <v>529</v>
      </c>
      <c r="K12" s="385"/>
      <c r="L12" s="13">
        <v>911</v>
      </c>
      <c r="M12" s="385"/>
      <c r="N12" s="13">
        <v>609.1</v>
      </c>
      <c r="O12" s="385"/>
    </row>
    <row r="13" spans="2:15" ht="16">
      <c r="B13" s="376"/>
      <c r="C13" s="379"/>
      <c r="D13" s="388"/>
      <c r="E13" s="45" t="s">
        <v>27</v>
      </c>
      <c r="F13" s="106">
        <v>8.1</v>
      </c>
      <c r="G13" s="382"/>
      <c r="H13" s="13">
        <v>10.4</v>
      </c>
      <c r="I13" s="385"/>
      <c r="J13" s="13">
        <v>4.3</v>
      </c>
      <c r="K13" s="385"/>
      <c r="L13" s="13">
        <v>8</v>
      </c>
      <c r="M13" s="385"/>
      <c r="N13" s="13">
        <v>6.3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108</v>
      </c>
      <c r="G14" s="382"/>
      <c r="H14" s="14">
        <v>108</v>
      </c>
      <c r="I14" s="385"/>
      <c r="J14" s="14">
        <v>295</v>
      </c>
      <c r="K14" s="385"/>
      <c r="L14" s="14">
        <v>27</v>
      </c>
      <c r="M14" s="385"/>
      <c r="N14" s="14">
        <v>108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1573.5</v>
      </c>
      <c r="G15" s="382"/>
      <c r="H15" s="15">
        <v>1679.5</v>
      </c>
      <c r="I15" s="385"/>
      <c r="J15" s="15">
        <v>1567.8999999999999</v>
      </c>
      <c r="K15" s="385"/>
      <c r="L15" s="15">
        <v>1684.4</v>
      </c>
      <c r="M15" s="385"/>
      <c r="N15" s="15">
        <v>1475.8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845</v>
      </c>
      <c r="G16" s="382"/>
      <c r="H16" s="8">
        <v>1035</v>
      </c>
      <c r="I16" s="385"/>
      <c r="J16" s="8">
        <v>865</v>
      </c>
      <c r="K16" s="385"/>
      <c r="L16" s="8">
        <v>775</v>
      </c>
      <c r="M16" s="385"/>
      <c r="N16" s="8">
        <v>995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-227.1</v>
      </c>
      <c r="G17" s="382"/>
      <c r="H17" s="16">
        <v>-159.1</v>
      </c>
      <c r="I17" s="385"/>
      <c r="J17" s="16">
        <v>-159.1</v>
      </c>
      <c r="K17" s="385"/>
      <c r="L17" s="16">
        <v>-159.1</v>
      </c>
      <c r="M17" s="385"/>
      <c r="N17" s="16">
        <v>-159.1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-4.7</v>
      </c>
      <c r="G18" s="382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-195</v>
      </c>
      <c r="G19" s="382"/>
      <c r="H19" s="18">
        <v>-238</v>
      </c>
      <c r="I19" s="385"/>
      <c r="J19" s="18">
        <v>-195</v>
      </c>
      <c r="K19" s="385"/>
      <c r="L19" s="18">
        <v>-195</v>
      </c>
      <c r="M19" s="385"/>
      <c r="N19" s="18">
        <v>-263.5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5.6</v>
      </c>
      <c r="K20" s="385"/>
      <c r="L20" s="19">
        <v>0</v>
      </c>
      <c r="M20" s="385"/>
      <c r="N20" s="19">
        <v>33.299999999999997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1271.8</v>
      </c>
      <c r="G21" s="383"/>
      <c r="H21" s="27">
        <v>1436.6</v>
      </c>
      <c r="I21" s="386"/>
      <c r="J21" s="27">
        <v>1218</v>
      </c>
      <c r="K21" s="386"/>
      <c r="L21" s="27">
        <v>1133.5999999999999</v>
      </c>
      <c r="M21" s="386"/>
      <c r="N21" s="27">
        <v>1388.8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1573.5</v>
      </c>
      <c r="G23" s="414"/>
      <c r="H23" s="20">
        <v>1679.5</v>
      </c>
      <c r="I23" s="400"/>
      <c r="J23" s="20">
        <v>1567.8999999999999</v>
      </c>
      <c r="K23" s="400"/>
      <c r="L23" s="20">
        <v>1684.4</v>
      </c>
      <c r="M23" s="400"/>
      <c r="N23" s="20">
        <v>1475.8</v>
      </c>
      <c r="O23" s="400"/>
    </row>
    <row r="24" spans="2:15" ht="16">
      <c r="B24" s="409"/>
      <c r="C24" s="403" t="s">
        <v>37</v>
      </c>
      <c r="D24" s="404"/>
      <c r="E24" s="405"/>
      <c r="F24" s="21">
        <v>1271.8</v>
      </c>
      <c r="G24" s="415"/>
      <c r="H24" s="21">
        <v>1436.6</v>
      </c>
      <c r="I24" s="401"/>
      <c r="J24" s="21">
        <v>1218</v>
      </c>
      <c r="K24" s="401"/>
      <c r="L24" s="21">
        <v>1133.5999999999999</v>
      </c>
      <c r="M24" s="401"/>
      <c r="N24" s="21">
        <v>1388.8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301.70000000000005</v>
      </c>
      <c r="G25" s="416"/>
      <c r="H25" s="67">
        <v>242.90000000000009</v>
      </c>
      <c r="I25" s="402"/>
      <c r="J25" s="67">
        <v>349.89999999999986</v>
      </c>
      <c r="K25" s="402"/>
      <c r="L25" s="67">
        <v>550.80000000000018</v>
      </c>
      <c r="M25" s="402"/>
      <c r="N25" s="67">
        <v>87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s="1" customFormat="1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O5:O21"/>
    <mergeCell ref="D12:D13"/>
    <mergeCell ref="D15:E15"/>
    <mergeCell ref="C16:C21"/>
    <mergeCell ref="D17:D18"/>
    <mergeCell ref="D19:D20"/>
    <mergeCell ref="D21:E21"/>
    <mergeCell ref="K5:K21"/>
    <mergeCell ref="M5:M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E56F-194E-46D3-A090-625F1DF651E6}">
  <dimension ref="B1:O69"/>
  <sheetViews>
    <sheetView showGridLines="0" view="pageBreakPreview" topLeftCell="E1" zoomScale="85" zoomScaleNormal="70" zoomScaleSheetLayoutView="85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45728</v>
      </c>
      <c r="G3" s="96" t="s">
        <v>67</v>
      </c>
      <c r="H3" s="25">
        <v>45730</v>
      </c>
      <c r="I3" s="96" t="s">
        <v>67</v>
      </c>
      <c r="J3" s="25">
        <v>45732</v>
      </c>
      <c r="K3" s="96" t="s">
        <v>67</v>
      </c>
      <c r="L3" s="25">
        <v>45736</v>
      </c>
      <c r="M3" s="26" t="s">
        <v>48</v>
      </c>
      <c r="N3" s="25">
        <v>45737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97.2</v>
      </c>
      <c r="G5" s="384" t="s">
        <v>45</v>
      </c>
      <c r="H5" s="9">
        <v>96.4</v>
      </c>
      <c r="I5" s="384" t="s">
        <v>45</v>
      </c>
      <c r="J5" s="9">
        <v>96.2</v>
      </c>
      <c r="K5" s="384" t="s">
        <v>45</v>
      </c>
      <c r="L5" s="9">
        <v>92.2</v>
      </c>
      <c r="M5" s="384" t="s">
        <v>45</v>
      </c>
      <c r="N5" s="9">
        <v>92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135.19999999999999</v>
      </c>
      <c r="G6" s="385"/>
      <c r="H6" s="10">
        <v>132.19999999999999</v>
      </c>
      <c r="I6" s="385"/>
      <c r="J6" s="10">
        <v>135.4</v>
      </c>
      <c r="K6" s="385"/>
      <c r="L6" s="10">
        <v>134.30000000000001</v>
      </c>
      <c r="M6" s="385"/>
      <c r="N6" s="10">
        <v>119.8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414.3</v>
      </c>
      <c r="G7" s="385"/>
      <c r="H7" s="28">
        <v>414.3</v>
      </c>
      <c r="I7" s="385"/>
      <c r="J7" s="28">
        <v>414.5</v>
      </c>
      <c r="K7" s="385"/>
      <c r="L7" s="28">
        <v>414.3</v>
      </c>
      <c r="M7" s="385"/>
      <c r="N7" s="28">
        <v>414.2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13.6</v>
      </c>
      <c r="G8" s="385"/>
      <c r="H8" s="29">
        <v>14.6</v>
      </c>
      <c r="I8" s="385"/>
      <c r="J8" s="29">
        <v>18.3</v>
      </c>
      <c r="K8" s="385"/>
      <c r="L8" s="29">
        <v>20.10000000000009</v>
      </c>
      <c r="M8" s="385"/>
      <c r="N8" s="29">
        <v>20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15.6</v>
      </c>
      <c r="G9" s="385"/>
      <c r="H9" s="30">
        <v>14</v>
      </c>
      <c r="I9" s="385"/>
      <c r="J9" s="30">
        <v>16.2</v>
      </c>
      <c r="K9" s="385"/>
      <c r="L9" s="30">
        <v>16.2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38.4</v>
      </c>
      <c r="G10" s="385"/>
      <c r="H10" s="11">
        <v>33.799999999999997</v>
      </c>
      <c r="I10" s="385"/>
      <c r="J10" s="11">
        <v>55.1</v>
      </c>
      <c r="K10" s="385"/>
      <c r="L10" s="11">
        <v>51.3</v>
      </c>
      <c r="M10" s="385"/>
      <c r="N10" s="11">
        <v>50.1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28.6</v>
      </c>
      <c r="G11" s="385"/>
      <c r="H11" s="12">
        <v>20.399999999999999</v>
      </c>
      <c r="I11" s="385"/>
      <c r="J11" s="12">
        <v>29.4</v>
      </c>
      <c r="K11" s="385"/>
      <c r="L11" s="12">
        <v>27.3</v>
      </c>
      <c r="M11" s="385"/>
      <c r="N11" s="12">
        <v>28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575.6</v>
      </c>
      <c r="G12" s="385"/>
      <c r="H12" s="13">
        <v>910.1</v>
      </c>
      <c r="I12" s="385"/>
      <c r="J12" s="13">
        <v>445.1</v>
      </c>
      <c r="K12" s="385"/>
      <c r="L12" s="13">
        <v>962.3</v>
      </c>
      <c r="M12" s="385"/>
      <c r="N12" s="13">
        <v>949.5</v>
      </c>
      <c r="O12" s="385"/>
    </row>
    <row r="13" spans="2:15" ht="16">
      <c r="B13" s="376"/>
      <c r="C13" s="379"/>
      <c r="D13" s="388"/>
      <c r="E13" s="45" t="s">
        <v>27</v>
      </c>
      <c r="F13" s="13">
        <v>5.2</v>
      </c>
      <c r="G13" s="385"/>
      <c r="H13" s="13">
        <v>18.5</v>
      </c>
      <c r="I13" s="385"/>
      <c r="J13" s="13">
        <v>29.8</v>
      </c>
      <c r="K13" s="385"/>
      <c r="L13" s="13">
        <v>14.8</v>
      </c>
      <c r="M13" s="385"/>
      <c r="N13" s="13">
        <v>23.3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295</v>
      </c>
      <c r="G14" s="385"/>
      <c r="H14" s="14">
        <v>27</v>
      </c>
      <c r="I14" s="385"/>
      <c r="J14" s="14">
        <v>224</v>
      </c>
      <c r="K14" s="385"/>
      <c r="L14" s="14">
        <v>48</v>
      </c>
      <c r="M14" s="385"/>
      <c r="N14" s="14">
        <v>48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1618.7</v>
      </c>
      <c r="G15" s="385"/>
      <c r="H15" s="15">
        <v>1681.3</v>
      </c>
      <c r="I15" s="385"/>
      <c r="J15" s="15">
        <v>1464</v>
      </c>
      <c r="K15" s="385"/>
      <c r="L15" s="15">
        <v>1780.8</v>
      </c>
      <c r="M15" s="385"/>
      <c r="N15" s="15">
        <v>1761.2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925</v>
      </c>
      <c r="G16" s="385"/>
      <c r="H16" s="8">
        <v>885</v>
      </c>
      <c r="I16" s="385"/>
      <c r="J16" s="8">
        <v>875</v>
      </c>
      <c r="K16" s="385"/>
      <c r="L16" s="8">
        <v>905</v>
      </c>
      <c r="M16" s="385"/>
      <c r="N16" s="8">
        <v>895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-159.1</v>
      </c>
      <c r="G17" s="385"/>
      <c r="H17" s="16">
        <v>-126.6</v>
      </c>
      <c r="I17" s="385"/>
      <c r="J17" s="16">
        <v>-194.6</v>
      </c>
      <c r="K17" s="385"/>
      <c r="L17" s="16">
        <v>-162.1</v>
      </c>
      <c r="M17" s="385"/>
      <c r="N17" s="16">
        <v>-162.1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-238</v>
      </c>
      <c r="G19" s="385"/>
      <c r="H19" s="18">
        <v>-247.3</v>
      </c>
      <c r="I19" s="385"/>
      <c r="J19" s="18">
        <v>-191</v>
      </c>
      <c r="K19" s="385"/>
      <c r="L19" s="18">
        <v>-191</v>
      </c>
      <c r="M19" s="385"/>
      <c r="N19" s="18">
        <v>-229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27.2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1326.6</v>
      </c>
      <c r="G21" s="386"/>
      <c r="H21" s="27">
        <v>1236.2</v>
      </c>
      <c r="I21" s="386"/>
      <c r="J21" s="27">
        <v>1265.0999999999999</v>
      </c>
      <c r="K21" s="386"/>
      <c r="L21" s="27">
        <v>1262.5999999999999</v>
      </c>
      <c r="M21" s="386"/>
      <c r="N21" s="27">
        <v>1290.5999999999999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1618.7</v>
      </c>
      <c r="G23" s="400"/>
      <c r="H23" s="20">
        <v>1681.3</v>
      </c>
      <c r="I23" s="400"/>
      <c r="J23" s="20">
        <v>1464</v>
      </c>
      <c r="K23" s="400"/>
      <c r="L23" s="20">
        <v>1780.8</v>
      </c>
      <c r="M23" s="400"/>
      <c r="N23" s="20">
        <v>1761.2</v>
      </c>
      <c r="O23" s="400"/>
    </row>
    <row r="24" spans="2:15" ht="16">
      <c r="B24" s="409"/>
      <c r="C24" s="403" t="s">
        <v>37</v>
      </c>
      <c r="D24" s="404"/>
      <c r="E24" s="405"/>
      <c r="F24" s="21">
        <v>1326.6</v>
      </c>
      <c r="G24" s="401"/>
      <c r="H24" s="21">
        <v>1236.2</v>
      </c>
      <c r="I24" s="401"/>
      <c r="J24" s="21">
        <v>1265.0999999999999</v>
      </c>
      <c r="K24" s="401"/>
      <c r="L24" s="21">
        <v>1262.5999999999999</v>
      </c>
      <c r="M24" s="401"/>
      <c r="N24" s="21">
        <v>1290.5999999999999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292.10000000000014</v>
      </c>
      <c r="G25" s="402"/>
      <c r="H25" s="67">
        <v>445.09999999999991</v>
      </c>
      <c r="I25" s="402"/>
      <c r="J25" s="67">
        <v>198.90000000000009</v>
      </c>
      <c r="K25" s="402"/>
      <c r="L25" s="67">
        <v>518.20000000000005</v>
      </c>
      <c r="M25" s="402"/>
      <c r="N25" s="67">
        <v>470.60000000000014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s="1" customFormat="1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O5:O21"/>
    <mergeCell ref="D12:D13"/>
    <mergeCell ref="D15:E15"/>
    <mergeCell ref="C16:C21"/>
    <mergeCell ref="D17:D18"/>
    <mergeCell ref="D19:D20"/>
    <mergeCell ref="D21:E21"/>
    <mergeCell ref="K5:K21"/>
    <mergeCell ref="M5:M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7D00-0274-4B3C-8AC6-1081906C5371}">
  <dimension ref="B1:O69"/>
  <sheetViews>
    <sheetView showGridLines="0" view="pageBreakPreview" topLeftCell="E1" zoomScale="85" zoomScaleNormal="70" zoomScaleSheetLayoutView="85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M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45738</v>
      </c>
      <c r="G3" s="26" t="s">
        <v>186</v>
      </c>
      <c r="H3" s="25">
        <v>45739</v>
      </c>
      <c r="I3" s="26" t="s">
        <v>48</v>
      </c>
      <c r="J3" s="25">
        <v>45740</v>
      </c>
      <c r="K3" s="26" t="s">
        <v>48</v>
      </c>
      <c r="L3" s="25">
        <v>45741</v>
      </c>
      <c r="M3" s="26" t="s">
        <v>48</v>
      </c>
      <c r="N3" s="25">
        <v>45742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89.4</v>
      </c>
      <c r="G5" s="384" t="s">
        <v>45</v>
      </c>
      <c r="H5" s="9">
        <v>88.8</v>
      </c>
      <c r="I5" s="384" t="s">
        <v>45</v>
      </c>
      <c r="J5" s="9">
        <v>91.8</v>
      </c>
      <c r="K5" s="384" t="s">
        <v>45</v>
      </c>
      <c r="L5" s="9">
        <v>101.1</v>
      </c>
      <c r="M5" s="384" t="s">
        <v>45</v>
      </c>
      <c r="N5" s="9">
        <v>95.8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98.4</v>
      </c>
      <c r="G6" s="385"/>
      <c r="H6" s="10">
        <v>97.3</v>
      </c>
      <c r="I6" s="385"/>
      <c r="J6" s="10">
        <v>96</v>
      </c>
      <c r="K6" s="385"/>
      <c r="L6" s="10">
        <v>99.6</v>
      </c>
      <c r="M6" s="385"/>
      <c r="N6" s="10">
        <v>86.7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414.5</v>
      </c>
      <c r="G7" s="385"/>
      <c r="H7" s="28">
        <v>414.4</v>
      </c>
      <c r="I7" s="385"/>
      <c r="J7" s="28">
        <v>411.9</v>
      </c>
      <c r="K7" s="385"/>
      <c r="L7" s="28">
        <v>414.4</v>
      </c>
      <c r="M7" s="385"/>
      <c r="N7" s="28">
        <v>414.4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20.9</v>
      </c>
      <c r="G8" s="385"/>
      <c r="H8" s="29">
        <v>22.4</v>
      </c>
      <c r="I8" s="385"/>
      <c r="J8" s="29">
        <v>22.2</v>
      </c>
      <c r="K8" s="385"/>
      <c r="L8" s="29">
        <v>22.400000000000091</v>
      </c>
      <c r="M8" s="385"/>
      <c r="N8" s="29">
        <v>22.199999999999921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16.3</v>
      </c>
      <c r="I9" s="385"/>
      <c r="J9" s="30">
        <v>16.3</v>
      </c>
      <c r="K9" s="385"/>
      <c r="L9" s="30">
        <v>16.3</v>
      </c>
      <c r="M9" s="385"/>
      <c r="N9" s="30">
        <v>15.7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44</v>
      </c>
      <c r="G10" s="385"/>
      <c r="H10" s="11">
        <v>42.1</v>
      </c>
      <c r="I10" s="385"/>
      <c r="J10" s="11">
        <v>44.2</v>
      </c>
      <c r="K10" s="385"/>
      <c r="L10" s="11">
        <v>44.2</v>
      </c>
      <c r="M10" s="385"/>
      <c r="N10" s="11">
        <v>44.1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28.3</v>
      </c>
      <c r="G11" s="385"/>
      <c r="H11" s="12">
        <v>28.4</v>
      </c>
      <c r="I11" s="385"/>
      <c r="J11" s="12">
        <v>29</v>
      </c>
      <c r="K11" s="385"/>
      <c r="L11" s="12">
        <v>28</v>
      </c>
      <c r="M11" s="385"/>
      <c r="N11" s="12">
        <v>28.4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968.7</v>
      </c>
      <c r="G12" s="385"/>
      <c r="H12" s="13">
        <v>972.2</v>
      </c>
      <c r="I12" s="385"/>
      <c r="J12" s="13">
        <v>486.8</v>
      </c>
      <c r="K12" s="385"/>
      <c r="L12" s="13">
        <v>975.3</v>
      </c>
      <c r="M12" s="385"/>
      <c r="N12" s="13">
        <v>915.6</v>
      </c>
      <c r="O12" s="385"/>
    </row>
    <row r="13" spans="2:15" ht="16">
      <c r="B13" s="376"/>
      <c r="C13" s="379"/>
      <c r="D13" s="388"/>
      <c r="E13" s="45" t="s">
        <v>27</v>
      </c>
      <c r="F13" s="13">
        <v>19.100000000000001</v>
      </c>
      <c r="G13" s="385"/>
      <c r="H13" s="13">
        <v>13.3</v>
      </c>
      <c r="I13" s="385"/>
      <c r="J13" s="13">
        <v>15.8</v>
      </c>
      <c r="K13" s="385"/>
      <c r="L13" s="13">
        <v>17.100000000000001</v>
      </c>
      <c r="M13" s="385"/>
      <c r="N13" s="13">
        <v>11.5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48</v>
      </c>
      <c r="G14" s="385"/>
      <c r="H14" s="14">
        <v>47</v>
      </c>
      <c r="I14" s="385"/>
      <c r="J14" s="14">
        <v>224</v>
      </c>
      <c r="K14" s="385"/>
      <c r="L14" s="14">
        <v>47</v>
      </c>
      <c r="M14" s="385"/>
      <c r="N14" s="14">
        <v>48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1747.6</v>
      </c>
      <c r="G15" s="385"/>
      <c r="H15" s="15">
        <v>1742.2</v>
      </c>
      <c r="I15" s="385"/>
      <c r="J15" s="15">
        <v>1438</v>
      </c>
      <c r="K15" s="385"/>
      <c r="L15" s="15">
        <v>1765.3999999999999</v>
      </c>
      <c r="M15" s="385"/>
      <c r="N15" s="15">
        <v>1682.4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765</v>
      </c>
      <c r="G16" s="385"/>
      <c r="H16" s="8">
        <v>735</v>
      </c>
      <c r="I16" s="385"/>
      <c r="J16" s="8">
        <v>885</v>
      </c>
      <c r="K16" s="385"/>
      <c r="L16" s="8">
        <v>855</v>
      </c>
      <c r="M16" s="385"/>
      <c r="N16" s="8">
        <v>855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-162.1</v>
      </c>
      <c r="G17" s="385"/>
      <c r="H17" s="16">
        <v>-162.1</v>
      </c>
      <c r="I17" s="385"/>
      <c r="J17" s="16">
        <v>-162.1</v>
      </c>
      <c r="K17" s="385"/>
      <c r="L17" s="16">
        <v>-162.1</v>
      </c>
      <c r="M17" s="385"/>
      <c r="N17" s="16">
        <v>-162.1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-191</v>
      </c>
      <c r="G19" s="385"/>
      <c r="H19" s="18">
        <v>-191</v>
      </c>
      <c r="I19" s="385"/>
      <c r="J19" s="18">
        <v>-229</v>
      </c>
      <c r="K19" s="385"/>
      <c r="L19" s="18">
        <v>-229</v>
      </c>
      <c r="M19" s="385"/>
      <c r="N19" s="18">
        <v>-214.5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1122.5999999999999</v>
      </c>
      <c r="G21" s="386"/>
      <c r="H21" s="27">
        <v>1092.5999999999999</v>
      </c>
      <c r="I21" s="386"/>
      <c r="J21" s="27">
        <v>1280.5999999999999</v>
      </c>
      <c r="K21" s="386"/>
      <c r="L21" s="27">
        <v>1250.5999999999999</v>
      </c>
      <c r="M21" s="386"/>
      <c r="N21" s="27">
        <v>1236.0999999999999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1747.6</v>
      </c>
      <c r="G23" s="400"/>
      <c r="H23" s="20">
        <v>1742.2</v>
      </c>
      <c r="I23" s="400"/>
      <c r="J23" s="20">
        <v>1438</v>
      </c>
      <c r="K23" s="400"/>
      <c r="L23" s="20">
        <v>1765.3999999999999</v>
      </c>
      <c r="M23" s="400"/>
      <c r="N23" s="20">
        <v>1682.4</v>
      </c>
      <c r="O23" s="400"/>
    </row>
    <row r="24" spans="2:15" ht="16">
      <c r="B24" s="409"/>
      <c r="C24" s="403" t="s">
        <v>37</v>
      </c>
      <c r="D24" s="404"/>
      <c r="E24" s="405"/>
      <c r="F24" s="21">
        <v>1122.5999999999999</v>
      </c>
      <c r="G24" s="401"/>
      <c r="H24" s="21">
        <v>1092.5999999999999</v>
      </c>
      <c r="I24" s="401"/>
      <c r="J24" s="21">
        <v>1280.5999999999999</v>
      </c>
      <c r="K24" s="401"/>
      <c r="L24" s="21">
        <v>1250.5999999999999</v>
      </c>
      <c r="M24" s="401"/>
      <c r="N24" s="21">
        <v>1236.0999999999999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625</v>
      </c>
      <c r="G25" s="402"/>
      <c r="H25" s="67">
        <v>649.60000000000014</v>
      </c>
      <c r="I25" s="402"/>
      <c r="J25" s="67">
        <v>157.40000000000009</v>
      </c>
      <c r="K25" s="402"/>
      <c r="L25" s="67">
        <v>514.79999999999995</v>
      </c>
      <c r="M25" s="402"/>
      <c r="N25" s="67">
        <v>446.30000000000018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s="1" customFormat="1" ht="14.25" customHeight="1"/>
  </sheetData>
  <mergeCells count="29">
    <mergeCell ref="I23:I25"/>
    <mergeCell ref="D21:E21"/>
    <mergeCell ref="D12:D13"/>
    <mergeCell ref="D15:E15"/>
    <mergeCell ref="B23:B25"/>
    <mergeCell ref="C23:E23"/>
    <mergeCell ref="C16:C21"/>
    <mergeCell ref="D17:D18"/>
    <mergeCell ref="D19:D20"/>
    <mergeCell ref="G23:G25"/>
    <mergeCell ref="B5:B21"/>
    <mergeCell ref="C5:C15"/>
    <mergeCell ref="G5:G21"/>
    <mergeCell ref="N2:O2"/>
    <mergeCell ref="O5:O21"/>
    <mergeCell ref="O23:O25"/>
    <mergeCell ref="C2:E2"/>
    <mergeCell ref="F2:G2"/>
    <mergeCell ref="H2:I2"/>
    <mergeCell ref="J2:K2"/>
    <mergeCell ref="L2:M2"/>
    <mergeCell ref="C3:E3"/>
    <mergeCell ref="K5:K21"/>
    <mergeCell ref="K23:K25"/>
    <mergeCell ref="M23:M25"/>
    <mergeCell ref="M5:M21"/>
    <mergeCell ref="C24:E24"/>
    <mergeCell ref="D25:E25"/>
    <mergeCell ref="I5:I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B4DA-7162-480E-B6CA-F08F044118FB}">
  <dimension ref="B1:O69"/>
  <sheetViews>
    <sheetView showGridLines="0" view="pageBreakPreview" zoomScale="85" zoomScaleNormal="70" zoomScaleSheetLayoutView="85" zoomScalePageLayoutView="5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1" ht="15.5" thickBot="1">
      <c r="I1" s="32"/>
      <c r="K1" s="32" t="s">
        <v>24</v>
      </c>
    </row>
    <row r="2" spans="2:11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</row>
    <row r="3" spans="2:11" ht="16.5" thickBot="1">
      <c r="B3" s="3"/>
      <c r="C3" s="372" t="s">
        <v>3</v>
      </c>
      <c r="D3" s="373"/>
      <c r="E3" s="374"/>
      <c r="F3" s="25">
        <v>45745</v>
      </c>
      <c r="G3" s="26" t="s">
        <v>187</v>
      </c>
      <c r="H3" s="25">
        <v>45746</v>
      </c>
      <c r="I3" s="26" t="s">
        <v>186</v>
      </c>
      <c r="J3" s="25">
        <v>45747</v>
      </c>
      <c r="K3" s="26" t="s">
        <v>186</v>
      </c>
    </row>
    <row r="4" spans="2:11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</row>
    <row r="5" spans="2:11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91</v>
      </c>
      <c r="G5" s="384" t="s">
        <v>45</v>
      </c>
      <c r="H5" s="9">
        <v>95</v>
      </c>
      <c r="I5" s="384" t="s">
        <v>45</v>
      </c>
      <c r="J5" s="9">
        <v>98</v>
      </c>
      <c r="K5" s="384" t="s">
        <v>45</v>
      </c>
    </row>
    <row r="6" spans="2:11" ht="16">
      <c r="B6" s="376"/>
      <c r="C6" s="379"/>
      <c r="D6" s="34" t="s">
        <v>12</v>
      </c>
      <c r="E6" s="89" t="s">
        <v>47</v>
      </c>
      <c r="F6" s="10">
        <v>87.6</v>
      </c>
      <c r="G6" s="385"/>
      <c r="H6" s="10">
        <v>86.1</v>
      </c>
      <c r="I6" s="385"/>
      <c r="J6" s="10">
        <v>87.9</v>
      </c>
      <c r="K6" s="385"/>
    </row>
    <row r="7" spans="2:11" ht="16">
      <c r="B7" s="376"/>
      <c r="C7" s="379"/>
      <c r="D7" s="35" t="s">
        <v>13</v>
      </c>
      <c r="E7" s="36" t="s">
        <v>5</v>
      </c>
      <c r="F7" s="28">
        <v>298.10000000000002</v>
      </c>
      <c r="G7" s="385"/>
      <c r="H7" s="28">
        <v>298.3</v>
      </c>
      <c r="I7" s="385"/>
      <c r="J7" s="28">
        <v>298.5</v>
      </c>
      <c r="K7" s="385"/>
    </row>
    <row r="8" spans="2:11" ht="16">
      <c r="B8" s="376"/>
      <c r="C8" s="379"/>
      <c r="D8" s="37" t="s">
        <v>14</v>
      </c>
      <c r="E8" s="38" t="s">
        <v>6</v>
      </c>
      <c r="F8" s="29">
        <v>28.299999999999919</v>
      </c>
      <c r="G8" s="385"/>
      <c r="H8" s="29">
        <v>31.499999999999908</v>
      </c>
      <c r="I8" s="385"/>
      <c r="J8" s="29">
        <v>32</v>
      </c>
      <c r="K8" s="385"/>
    </row>
    <row r="9" spans="2:11" ht="16">
      <c r="B9" s="376"/>
      <c r="C9" s="379"/>
      <c r="D9" s="39" t="s">
        <v>15</v>
      </c>
      <c r="E9" s="40" t="s">
        <v>7</v>
      </c>
      <c r="F9" s="30">
        <v>15.9</v>
      </c>
      <c r="G9" s="385"/>
      <c r="H9" s="30">
        <v>16.100000000000001</v>
      </c>
      <c r="I9" s="385"/>
      <c r="J9" s="30">
        <v>16.100000000000001</v>
      </c>
      <c r="K9" s="385"/>
    </row>
    <row r="10" spans="2:11" ht="16">
      <c r="B10" s="376"/>
      <c r="C10" s="379"/>
      <c r="D10" s="41" t="s">
        <v>17</v>
      </c>
      <c r="E10" s="42" t="s">
        <v>1</v>
      </c>
      <c r="F10" s="11">
        <v>42.6</v>
      </c>
      <c r="G10" s="385"/>
      <c r="H10" s="11">
        <v>42</v>
      </c>
      <c r="I10" s="385"/>
      <c r="J10" s="11">
        <v>43.1</v>
      </c>
      <c r="K10" s="385"/>
    </row>
    <row r="11" spans="2:11" ht="16">
      <c r="B11" s="376"/>
      <c r="C11" s="379"/>
      <c r="D11" s="43" t="s">
        <v>16</v>
      </c>
      <c r="E11" s="44" t="s">
        <v>2</v>
      </c>
      <c r="F11" s="12">
        <v>29.5</v>
      </c>
      <c r="G11" s="385"/>
      <c r="H11" s="12">
        <v>28.8</v>
      </c>
      <c r="I11" s="385"/>
      <c r="J11" s="12">
        <v>28.7</v>
      </c>
      <c r="K11" s="385"/>
    </row>
    <row r="12" spans="2:11" ht="16">
      <c r="B12" s="376"/>
      <c r="C12" s="379"/>
      <c r="D12" s="387" t="s">
        <v>18</v>
      </c>
      <c r="E12" s="45" t="s">
        <v>26</v>
      </c>
      <c r="F12" s="13">
        <v>687.4</v>
      </c>
      <c r="G12" s="385"/>
      <c r="H12" s="13">
        <v>986.7</v>
      </c>
      <c r="I12" s="385"/>
      <c r="J12" s="13">
        <v>967.8</v>
      </c>
      <c r="K12" s="385"/>
    </row>
    <row r="13" spans="2:11" ht="16">
      <c r="B13" s="376"/>
      <c r="C13" s="379"/>
      <c r="D13" s="388"/>
      <c r="E13" s="45" t="s">
        <v>27</v>
      </c>
      <c r="F13" s="13">
        <v>12.5</v>
      </c>
      <c r="G13" s="385"/>
      <c r="H13" s="13">
        <v>15.6</v>
      </c>
      <c r="I13" s="385"/>
      <c r="J13" s="13">
        <v>8.1</v>
      </c>
      <c r="K13" s="385"/>
    </row>
    <row r="14" spans="2:11" ht="16">
      <c r="B14" s="376"/>
      <c r="C14" s="379"/>
      <c r="D14" s="46" t="s">
        <v>19</v>
      </c>
      <c r="E14" s="47" t="s">
        <v>4</v>
      </c>
      <c r="F14" s="14">
        <v>194</v>
      </c>
      <c r="G14" s="385"/>
      <c r="H14" s="14">
        <v>47</v>
      </c>
      <c r="I14" s="385"/>
      <c r="J14" s="14">
        <v>48</v>
      </c>
      <c r="K14" s="385"/>
    </row>
    <row r="15" spans="2:11" ht="16.5" thickBot="1">
      <c r="B15" s="376"/>
      <c r="C15" s="380"/>
      <c r="D15" s="389" t="s">
        <v>28</v>
      </c>
      <c r="E15" s="390"/>
      <c r="F15" s="15">
        <v>1486.9</v>
      </c>
      <c r="G15" s="385"/>
      <c r="H15" s="15">
        <v>1647.1</v>
      </c>
      <c r="I15" s="385"/>
      <c r="J15" s="15">
        <v>1628.1999999999998</v>
      </c>
      <c r="K15" s="385"/>
    </row>
    <row r="16" spans="2:11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845</v>
      </c>
      <c r="G16" s="385"/>
      <c r="H16" s="8">
        <v>815</v>
      </c>
      <c r="I16" s="385"/>
      <c r="J16" s="8">
        <v>965</v>
      </c>
      <c r="K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-194.6</v>
      </c>
      <c r="G17" s="385"/>
      <c r="H17" s="16">
        <v>-194.6</v>
      </c>
      <c r="I17" s="385"/>
      <c r="J17" s="16">
        <v>-194.6</v>
      </c>
      <c r="K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-191</v>
      </c>
      <c r="G19" s="385"/>
      <c r="H19" s="18">
        <v>-191</v>
      </c>
      <c r="I19" s="385"/>
      <c r="J19" s="18">
        <v>-214.5</v>
      </c>
      <c r="K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</row>
    <row r="21" spans="2:15" ht="16.5" thickBot="1">
      <c r="B21" s="377"/>
      <c r="C21" s="393"/>
      <c r="D21" s="398" t="s">
        <v>34</v>
      </c>
      <c r="E21" s="399"/>
      <c r="F21" s="27">
        <v>1235.0999999999999</v>
      </c>
      <c r="G21" s="386"/>
      <c r="H21" s="27">
        <v>1205.0999999999999</v>
      </c>
      <c r="I21" s="386"/>
      <c r="J21" s="27">
        <v>1378.6</v>
      </c>
      <c r="K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1486.9</v>
      </c>
      <c r="G23" s="400"/>
      <c r="H23" s="20">
        <v>1647.1</v>
      </c>
      <c r="I23" s="400"/>
      <c r="J23" s="20">
        <v>1628.1999999999998</v>
      </c>
      <c r="K23" s="400"/>
    </row>
    <row r="24" spans="2:15" ht="16">
      <c r="B24" s="409"/>
      <c r="C24" s="403" t="s">
        <v>37</v>
      </c>
      <c r="D24" s="404"/>
      <c r="E24" s="405"/>
      <c r="F24" s="21">
        <v>1235.0999999999999</v>
      </c>
      <c r="G24" s="401"/>
      <c r="H24" s="21">
        <v>1205.0999999999999</v>
      </c>
      <c r="I24" s="401"/>
      <c r="J24" s="21">
        <v>1378.6</v>
      </c>
      <c r="K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251.80000000000018</v>
      </c>
      <c r="G25" s="402"/>
      <c r="H25" s="67">
        <v>442</v>
      </c>
      <c r="I25" s="402"/>
      <c r="J25" s="67">
        <v>249.59999999999991</v>
      </c>
      <c r="K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s="1" customFormat="1" ht="14.25" customHeight="1"/>
  </sheetData>
  <mergeCells count="23">
    <mergeCell ref="J2:K2"/>
    <mergeCell ref="C3:E3"/>
    <mergeCell ref="D19:D20"/>
    <mergeCell ref="D21:E21"/>
    <mergeCell ref="C2:E2"/>
    <mergeCell ref="F2:G2"/>
    <mergeCell ref="H2:I2"/>
    <mergeCell ref="K5:K21"/>
    <mergeCell ref="I23:I25"/>
    <mergeCell ref="K23:K25"/>
    <mergeCell ref="B5:B21"/>
    <mergeCell ref="C5:C15"/>
    <mergeCell ref="G5:G21"/>
    <mergeCell ref="I5:I21"/>
    <mergeCell ref="D12:D13"/>
    <mergeCell ref="D15:E15"/>
    <mergeCell ref="C16:C21"/>
    <mergeCell ref="D17:D18"/>
    <mergeCell ref="C24:E24"/>
    <mergeCell ref="D25:E25"/>
    <mergeCell ref="B23:B25"/>
    <mergeCell ref="C23:E23"/>
    <mergeCell ref="G23:G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E384-9172-4A33-885D-C713F3030BFF}">
  <sheetPr>
    <pageSetUpPr fitToPage="1"/>
  </sheetPr>
  <dimension ref="A1:Z57"/>
  <sheetViews>
    <sheetView showGridLines="0" showWhiteSpace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6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6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6" ht="17" thickTop="1" thickBot="1">
      <c r="C3" s="435" t="s">
        <v>142</v>
      </c>
      <c r="D3" s="436"/>
      <c r="E3" s="437"/>
      <c r="F3" s="417">
        <v>45717</v>
      </c>
      <c r="G3" s="418"/>
      <c r="H3" s="418"/>
      <c r="I3" s="419"/>
      <c r="J3" s="417">
        <v>45723</v>
      </c>
      <c r="K3" s="418"/>
      <c r="L3" s="418"/>
      <c r="M3" s="419"/>
      <c r="N3" s="417">
        <v>45724</v>
      </c>
      <c r="O3" s="418"/>
      <c r="P3" s="418"/>
      <c r="Q3" s="419"/>
      <c r="R3" s="417">
        <v>45725</v>
      </c>
      <c r="S3" s="418"/>
      <c r="T3" s="418"/>
      <c r="U3" s="419"/>
      <c r="V3" s="417">
        <v>45726</v>
      </c>
      <c r="W3" s="418"/>
      <c r="X3" s="418"/>
      <c r="Y3" s="420"/>
      <c r="Z3" s="261"/>
    </row>
    <row r="4" spans="3:26" ht="16.149999999999999" customHeight="1">
      <c r="C4" s="421" t="s">
        <v>141</v>
      </c>
      <c r="D4" s="205" t="s">
        <v>140</v>
      </c>
      <c r="E4" s="204" t="s">
        <v>113</v>
      </c>
      <c r="F4" s="210"/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  <c r="Z4" s="261"/>
    </row>
    <row r="5" spans="3:26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 t="shared" ref="H5:H8" si="0">SUM(G5,-F5)</f>
        <v>0</v>
      </c>
      <c r="I5" s="219"/>
      <c r="J5" s="166">
        <v>32.700000000000003</v>
      </c>
      <c r="K5" s="165">
        <v>32.700000000000003</v>
      </c>
      <c r="L5" s="164">
        <f t="shared" ref="L5:L8" si="1"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32.700000000000003</v>
      </c>
      <c r="S5" s="165">
        <v>32.700000000000003</v>
      </c>
      <c r="T5" s="164">
        <f>SUM(S5,-R5)</f>
        <v>0</v>
      </c>
      <c r="U5" s="219"/>
      <c r="V5" s="166">
        <v>32.700000000000003</v>
      </c>
      <c r="W5" s="165">
        <v>32.700000000000003</v>
      </c>
      <c r="X5" s="164">
        <f>SUM(W5,-V5)</f>
        <v>0</v>
      </c>
      <c r="Y5" s="263"/>
      <c r="Z5" s="261"/>
    </row>
    <row r="6" spans="3:26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  <c r="Z6" s="261"/>
    </row>
    <row r="7" spans="3:26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  <c r="Z7" s="261"/>
    </row>
    <row r="8" spans="3:26" ht="16">
      <c r="C8" s="423"/>
      <c r="D8" s="426"/>
      <c r="E8" s="218" t="s">
        <v>133</v>
      </c>
      <c r="F8" s="217">
        <v>54.1</v>
      </c>
      <c r="G8" s="216">
        <v>54.1</v>
      </c>
      <c r="H8" s="215">
        <f t="shared" si="0"/>
        <v>0</v>
      </c>
      <c r="I8" s="214"/>
      <c r="J8" s="217">
        <v>57.900000000000006</v>
      </c>
      <c r="K8" s="216">
        <v>57.900000000000006</v>
      </c>
      <c r="L8" s="215">
        <f t="shared" si="1"/>
        <v>0</v>
      </c>
      <c r="M8" s="214"/>
      <c r="N8" s="217">
        <v>54.5</v>
      </c>
      <c r="O8" s="216">
        <v>54.5</v>
      </c>
      <c r="P8" s="215">
        <f>SUM(O8,-N8)</f>
        <v>0</v>
      </c>
      <c r="Q8" s="189"/>
      <c r="R8" s="217">
        <v>52.7</v>
      </c>
      <c r="S8" s="216">
        <v>52.7</v>
      </c>
      <c r="T8" s="215">
        <f>SUM(S8,-R8)</f>
        <v>0</v>
      </c>
      <c r="U8" s="189"/>
      <c r="V8" s="217">
        <v>57.1</v>
      </c>
      <c r="W8" s="216">
        <v>57.1</v>
      </c>
      <c r="X8" s="215">
        <f>SUM(W8,-V8)</f>
        <v>0</v>
      </c>
      <c r="Y8" s="264"/>
      <c r="Z8" s="261"/>
    </row>
    <row r="9" spans="3:26" ht="16.5" thickBot="1">
      <c r="C9" s="424"/>
      <c r="D9" s="427" t="s">
        <v>101</v>
      </c>
      <c r="E9" s="428"/>
      <c r="F9" s="188">
        <f t="shared" ref="F9:H9" si="5">SUM(F5:F8)</f>
        <v>95.6</v>
      </c>
      <c r="G9" s="187">
        <f t="shared" si="5"/>
        <v>95.6</v>
      </c>
      <c r="H9" s="187">
        <f t="shared" si="5"/>
        <v>0</v>
      </c>
      <c r="I9" s="213" t="s">
        <v>159</v>
      </c>
      <c r="J9" s="188">
        <f>SUM(J5:J8)</f>
        <v>99.4</v>
      </c>
      <c r="K9" s="187">
        <f>SUM(K5:K8)</f>
        <v>99.4</v>
      </c>
      <c r="L9" s="187">
        <f t="shared" ref="L9" si="6">SUM(L5:L8)</f>
        <v>0</v>
      </c>
      <c r="M9" s="213" t="s">
        <v>159</v>
      </c>
      <c r="N9" s="188">
        <f>SUM(N5:N8)</f>
        <v>96</v>
      </c>
      <c r="O9" s="187">
        <f>SUM(O5:O8)</f>
        <v>96</v>
      </c>
      <c r="P9" s="187">
        <f>SUM(P5:P8)</f>
        <v>0</v>
      </c>
      <c r="Q9" s="213" t="s">
        <v>159</v>
      </c>
      <c r="R9" s="188">
        <f>SUM(R5:R8)</f>
        <v>94.2</v>
      </c>
      <c r="S9" s="187">
        <f>SUM(S5:S8)</f>
        <v>94.2</v>
      </c>
      <c r="T9" s="187">
        <f>SUM(T5:T8)</f>
        <v>0</v>
      </c>
      <c r="U9" s="213" t="s">
        <v>159</v>
      </c>
      <c r="V9" s="188">
        <f>SUM(V5:V8)</f>
        <v>98.6</v>
      </c>
      <c r="W9" s="187">
        <f>SUM(W5:W8)</f>
        <v>98.6</v>
      </c>
      <c r="X9" s="187">
        <f>SUM(X5:X8)</f>
        <v>0</v>
      </c>
      <c r="Y9" s="265" t="s">
        <v>159</v>
      </c>
      <c r="Z9" s="261"/>
    </row>
    <row r="10" spans="3:26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  <c r="Z10" s="261"/>
    </row>
    <row r="11" spans="3:26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  <c r="Z11" s="261"/>
    </row>
    <row r="12" spans="3:26" ht="16.149999999999999" customHeight="1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  <c r="Z12" s="261"/>
    </row>
    <row r="13" spans="3:26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  <c r="Z13" s="261"/>
    </row>
    <row r="14" spans="3:26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  <c r="Z14" s="261"/>
    </row>
    <row r="15" spans="3:26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1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-32.5</v>
      </c>
      <c r="X15" s="164">
        <f t="shared" si="11"/>
        <v>0</v>
      </c>
      <c r="Y15" s="267"/>
      <c r="Z15" s="261"/>
    </row>
    <row r="16" spans="3:26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1"/>
      <c r="J16" s="166">
        <v>-32.5</v>
      </c>
      <c r="K16" s="165">
        <v>-32.5</v>
      </c>
      <c r="L16" s="164">
        <f t="shared" si="8"/>
        <v>0</v>
      </c>
      <c r="M16" s="189"/>
      <c r="N16" s="166">
        <v>-32.5</v>
      </c>
      <c r="O16" s="165">
        <v>-32.5</v>
      </c>
      <c r="P16" s="164">
        <f t="shared" si="9"/>
        <v>0</v>
      </c>
      <c r="Q16" s="189"/>
      <c r="R16" s="166">
        <v>-32.5</v>
      </c>
      <c r="S16" s="165">
        <v>-32.5</v>
      </c>
      <c r="T16" s="164">
        <f t="shared" si="10"/>
        <v>0</v>
      </c>
      <c r="U16" s="189"/>
      <c r="V16" s="166">
        <v>-32.5</v>
      </c>
      <c r="W16" s="165">
        <v>-32.5</v>
      </c>
      <c r="X16" s="164">
        <f t="shared" si="11"/>
        <v>0</v>
      </c>
      <c r="Y16" s="267"/>
      <c r="Z16" s="261"/>
    </row>
    <row r="17" spans="3:26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7"/>
        <v>0</v>
      </c>
      <c r="I17" s="232"/>
      <c r="J17" s="166">
        <v>-34</v>
      </c>
      <c r="K17" s="165">
        <v>0</v>
      </c>
      <c r="L17" s="164">
        <f t="shared" si="8"/>
        <v>34</v>
      </c>
      <c r="M17" s="189" t="s">
        <v>145</v>
      </c>
      <c r="N17" s="166">
        <v>-34</v>
      </c>
      <c r="O17" s="165">
        <v>0</v>
      </c>
      <c r="P17" s="164">
        <f t="shared" si="9"/>
        <v>34</v>
      </c>
      <c r="Q17" s="189" t="s">
        <v>145</v>
      </c>
      <c r="R17" s="166">
        <v>-34</v>
      </c>
      <c r="S17" s="165">
        <v>0</v>
      </c>
      <c r="T17" s="164">
        <f t="shared" si="10"/>
        <v>34</v>
      </c>
      <c r="U17" s="189" t="s">
        <v>145</v>
      </c>
      <c r="V17" s="166">
        <v>-34</v>
      </c>
      <c r="W17" s="165">
        <v>0</v>
      </c>
      <c r="X17" s="164">
        <f t="shared" si="11"/>
        <v>34</v>
      </c>
      <c r="Y17" s="267" t="s">
        <v>145</v>
      </c>
      <c r="Z17" s="261"/>
    </row>
    <row r="18" spans="3:26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0</v>
      </c>
      <c r="L18" s="164">
        <f t="shared" si="8"/>
        <v>34</v>
      </c>
      <c r="M18" s="189" t="s">
        <v>145</v>
      </c>
      <c r="N18" s="166">
        <v>-34</v>
      </c>
      <c r="O18" s="165">
        <v>0</v>
      </c>
      <c r="P18" s="164">
        <f t="shared" si="9"/>
        <v>34</v>
      </c>
      <c r="Q18" s="189" t="s">
        <v>145</v>
      </c>
      <c r="R18" s="166">
        <v>-34</v>
      </c>
      <c r="S18" s="165">
        <v>0</v>
      </c>
      <c r="T18" s="164">
        <f t="shared" si="10"/>
        <v>34</v>
      </c>
      <c r="U18" s="189" t="s">
        <v>145</v>
      </c>
      <c r="V18" s="166">
        <v>-34</v>
      </c>
      <c r="W18" s="165">
        <v>0</v>
      </c>
      <c r="X18" s="164">
        <f t="shared" si="11"/>
        <v>34</v>
      </c>
      <c r="Y18" s="267" t="s">
        <v>145</v>
      </c>
      <c r="Z18" s="261"/>
    </row>
    <row r="19" spans="3:26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  <c r="Z19" s="261"/>
    </row>
    <row r="20" spans="3:26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-34</v>
      </c>
      <c r="X20" s="164">
        <f t="shared" si="11"/>
        <v>0</v>
      </c>
      <c r="Y20" s="267"/>
      <c r="Z20" s="261"/>
    </row>
    <row r="21" spans="3:26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-227.1</v>
      </c>
      <c r="H21" s="187">
        <f t="shared" si="12"/>
        <v>26.1</v>
      </c>
      <c r="I21" s="186" t="s">
        <v>159</v>
      </c>
      <c r="J21" s="188">
        <f t="shared" si="12"/>
        <v>-253.2</v>
      </c>
      <c r="K21" s="187">
        <f t="shared" si="12"/>
        <v>-159.1</v>
      </c>
      <c r="L21" s="187">
        <f t="shared" ref="L21" si="13">SUM(L13:L20)</f>
        <v>94.1</v>
      </c>
      <c r="M21" s="186" t="s">
        <v>159</v>
      </c>
      <c r="N21" s="188">
        <f>SUM(N13:N20)</f>
        <v>-253.2</v>
      </c>
      <c r="O21" s="187">
        <f>SUM(O13:O20)</f>
        <v>-159.1</v>
      </c>
      <c r="P21" s="187">
        <f>SUM(P13:P20)</f>
        <v>94.1</v>
      </c>
      <c r="Q21" s="186" t="s">
        <v>159</v>
      </c>
      <c r="R21" s="188">
        <f>SUM(R13:R20)</f>
        <v>-253.2</v>
      </c>
      <c r="S21" s="187">
        <f>SUM(S13:S20)</f>
        <v>-159.1</v>
      </c>
      <c r="T21" s="187">
        <f>SUM(T13:T20)</f>
        <v>94.1</v>
      </c>
      <c r="U21" s="186" t="s">
        <v>159</v>
      </c>
      <c r="V21" s="188">
        <v>-253.2</v>
      </c>
      <c r="W21" s="187">
        <f>SUM(W13:W20)</f>
        <v>-159.1</v>
      </c>
      <c r="X21" s="187">
        <f>SUM(X13:X20)</f>
        <v>94.1</v>
      </c>
      <c r="Y21" s="268" t="s">
        <v>159</v>
      </c>
      <c r="Z21" s="261"/>
    </row>
    <row r="22" spans="3:26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  <c r="Z22" s="261"/>
    </row>
    <row r="23" spans="3:26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  <c r="Z23" s="261"/>
    </row>
    <row r="24" spans="3:26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  <c r="Z24" s="261"/>
    </row>
    <row r="25" spans="3:26" ht="16.5" thickBot="1">
      <c r="C25" s="446"/>
      <c r="D25" s="447"/>
      <c r="E25" s="449"/>
      <c r="F25" s="209">
        <v>-5</v>
      </c>
      <c r="G25" s="208">
        <v>-4.7200000000000006</v>
      </c>
      <c r="H25" s="207">
        <f t="shared" ref="H25" si="14">SUM(G25,-F25)</f>
        <v>0.27999999999999936</v>
      </c>
      <c r="I25" s="232" t="s">
        <v>150</v>
      </c>
      <c r="J25" s="209">
        <v>-5</v>
      </c>
      <c r="K25" s="208">
        <v>-4.5</v>
      </c>
      <c r="L25" s="207">
        <v>0.5</v>
      </c>
      <c r="M25" s="206" t="s">
        <v>173</v>
      </c>
      <c r="N25" s="209">
        <v>-5</v>
      </c>
      <c r="O25" s="208">
        <v>-4.5</v>
      </c>
      <c r="P25" s="207">
        <v>5</v>
      </c>
      <c r="Q25" s="206" t="s">
        <v>173</v>
      </c>
      <c r="R25" s="209">
        <v>-5</v>
      </c>
      <c r="S25" s="208">
        <v>-4.5</v>
      </c>
      <c r="T25" s="207">
        <f>SUM(S25,-R25)</f>
        <v>0.5</v>
      </c>
      <c r="U25" s="206" t="s">
        <v>173</v>
      </c>
      <c r="V25" s="209">
        <v>-5</v>
      </c>
      <c r="W25" s="208">
        <v>-4.5</v>
      </c>
      <c r="X25" s="207">
        <f>SUM(W25,-V25)</f>
        <v>0.5</v>
      </c>
      <c r="Y25" s="269" t="s">
        <v>173</v>
      </c>
      <c r="Z25" s="261"/>
    </row>
    <row r="26" spans="3:26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  <c r="Z26" s="261"/>
    </row>
    <row r="27" spans="3:26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  <c r="Z27" s="261"/>
    </row>
    <row r="28" spans="3:26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  <c r="Z28" s="261"/>
    </row>
    <row r="29" spans="3:26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 t="shared" ref="H29" si="15">SUM(G29,-F29)</f>
        <v>0</v>
      </c>
      <c r="I29" s="459"/>
      <c r="J29" s="200">
        <v>43.8</v>
      </c>
      <c r="K29" s="455">
        <v>43.8</v>
      </c>
      <c r="L29" s="457">
        <f t="shared" ref="L29" si="16"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61"/>
      <c r="Z29" s="261"/>
    </row>
    <row r="30" spans="3:26" ht="16">
      <c r="C30" s="451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0.46</v>
      </c>
      <c r="W30" s="456">
        <v>0</v>
      </c>
      <c r="X30" s="458"/>
      <c r="Y30" s="462"/>
      <c r="Z30" s="261"/>
    </row>
    <row r="31" spans="3:26" ht="16">
      <c r="C31" s="451"/>
      <c r="D31" s="443"/>
      <c r="E31" s="453" t="s">
        <v>109</v>
      </c>
      <c r="F31" s="200">
        <v>54.4</v>
      </c>
      <c r="G31" s="455">
        <v>54.4</v>
      </c>
      <c r="H31" s="457">
        <f t="shared" ref="H31" si="17">SUM(G31,-F31)</f>
        <v>0</v>
      </c>
      <c r="I31" s="459"/>
      <c r="J31" s="200">
        <v>54.4</v>
      </c>
      <c r="K31" s="455">
        <v>54.9</v>
      </c>
      <c r="L31" s="457">
        <f t="shared" ref="L31" si="18">SUM(K31,-J31)</f>
        <v>0.5</v>
      </c>
      <c r="M31" s="459" t="s">
        <v>185</v>
      </c>
      <c r="N31" s="200">
        <v>54.4</v>
      </c>
      <c r="O31" s="455">
        <v>54.4</v>
      </c>
      <c r="P31" s="457">
        <f t="shared" ref="P31" si="19">SUM(O31,-N31)</f>
        <v>0</v>
      </c>
      <c r="Q31" s="459"/>
      <c r="R31" s="200">
        <v>54.4</v>
      </c>
      <c r="S31" s="455">
        <v>54.4</v>
      </c>
      <c r="T31" s="457">
        <f t="shared" ref="T31" si="20">SUM(S31,-R31)</f>
        <v>0</v>
      </c>
      <c r="U31" s="459"/>
      <c r="V31" s="200">
        <v>54.4</v>
      </c>
      <c r="W31" s="455">
        <v>54.4</v>
      </c>
      <c r="X31" s="457">
        <f t="shared" ref="X31" si="21">SUM(W31,-V31)</f>
        <v>0</v>
      </c>
      <c r="Y31" s="461"/>
      <c r="Z31" s="261"/>
    </row>
    <row r="32" spans="3:26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  <c r="Z32" s="261"/>
    </row>
    <row r="33" spans="3:26" ht="16.149999999999999" customHeight="1">
      <c r="C33" s="451"/>
      <c r="D33" s="466" t="s">
        <v>107</v>
      </c>
      <c r="E33" s="201" t="s">
        <v>106</v>
      </c>
      <c r="F33" s="200">
        <v>21.6</v>
      </c>
      <c r="G33" s="199">
        <v>34.6</v>
      </c>
      <c r="H33" s="457">
        <f t="shared" ref="H33" si="22">SUM(G33,-F33)</f>
        <v>13</v>
      </c>
      <c r="I33" s="459" t="s">
        <v>148</v>
      </c>
      <c r="J33" s="200">
        <v>21.6</v>
      </c>
      <c r="K33" s="199">
        <v>30.8</v>
      </c>
      <c r="L33" s="457">
        <f t="shared" ref="L33" si="23">SUM(K33,-J33)</f>
        <v>9.1999999999999993</v>
      </c>
      <c r="M33" s="459" t="s">
        <v>184</v>
      </c>
      <c r="N33" s="200">
        <v>21.6</v>
      </c>
      <c r="O33" s="199">
        <v>27</v>
      </c>
      <c r="P33" s="457">
        <f t="shared" ref="P33" si="24">SUM(O33,-N33)</f>
        <v>5.3999999999999986</v>
      </c>
      <c r="Q33" s="459" t="s">
        <v>184</v>
      </c>
      <c r="R33" s="200">
        <v>21.6</v>
      </c>
      <c r="S33" s="199">
        <v>25.8</v>
      </c>
      <c r="T33" s="457">
        <f t="shared" ref="T33" si="25">SUM(S33,-R33)</f>
        <v>4.1999999999999993</v>
      </c>
      <c r="U33" s="459" t="s">
        <v>184</v>
      </c>
      <c r="V33" s="200">
        <v>21.6</v>
      </c>
      <c r="W33" s="199">
        <v>34.200000000000003</v>
      </c>
      <c r="X33" s="457">
        <f t="shared" ref="X33" si="26">SUM(W33,-V33)</f>
        <v>12.600000000000001</v>
      </c>
      <c r="Y33" s="461" t="s">
        <v>184</v>
      </c>
      <c r="Z33" s="261"/>
    </row>
    <row r="34" spans="3:26" ht="16.149999999999999" customHeight="1">
      <c r="C34" s="451"/>
      <c r="D34" s="467"/>
      <c r="E34" s="463" t="s">
        <v>104</v>
      </c>
      <c r="F34" s="198">
        <v>0.18</v>
      </c>
      <c r="G34" s="230">
        <v>29</v>
      </c>
      <c r="H34" s="458"/>
      <c r="I34" s="460"/>
      <c r="J34" s="198">
        <v>0.18</v>
      </c>
      <c r="K34" s="230">
        <v>26</v>
      </c>
      <c r="L34" s="458"/>
      <c r="M34" s="460"/>
      <c r="N34" s="198">
        <v>0.18</v>
      </c>
      <c r="O34" s="230">
        <v>23</v>
      </c>
      <c r="P34" s="458"/>
      <c r="Q34" s="460"/>
      <c r="R34" s="198">
        <v>0.18</v>
      </c>
      <c r="S34" s="230">
        <v>22</v>
      </c>
      <c r="T34" s="458"/>
      <c r="U34" s="460"/>
      <c r="V34" s="198">
        <v>0.18</v>
      </c>
      <c r="W34" s="230">
        <v>29</v>
      </c>
      <c r="X34" s="458"/>
      <c r="Y34" s="462"/>
      <c r="Z34" s="261"/>
    </row>
    <row r="35" spans="3:26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  <c r="Z35" s="261"/>
    </row>
    <row r="36" spans="3:26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  <c r="Z36" s="261"/>
    </row>
    <row r="37" spans="3:26" ht="16">
      <c r="C37" s="451"/>
      <c r="D37" s="467"/>
      <c r="E37" s="190" t="s">
        <v>103</v>
      </c>
      <c r="F37" s="166">
        <v>10</v>
      </c>
      <c r="G37" s="165">
        <v>1.7</v>
      </c>
      <c r="H37" s="164">
        <f t="shared" ref="H37" si="27">SUM(G37,-F37)</f>
        <v>-8.3000000000000007</v>
      </c>
      <c r="I37" s="189" t="s">
        <v>147</v>
      </c>
      <c r="J37" s="166">
        <v>10</v>
      </c>
      <c r="K37" s="165">
        <v>0.9</v>
      </c>
      <c r="L37" s="164">
        <f t="shared" ref="L37" si="28">SUM(K37,-J37)</f>
        <v>-9.1</v>
      </c>
      <c r="M37" s="189" t="s">
        <v>147</v>
      </c>
      <c r="N37" s="166">
        <v>10</v>
      </c>
      <c r="O37" s="165">
        <v>0.7</v>
      </c>
      <c r="P37" s="164">
        <f t="shared" ref="P37" si="29">SUM(O37,-N37)</f>
        <v>-9.3000000000000007</v>
      </c>
      <c r="Q37" s="189" t="s">
        <v>147</v>
      </c>
      <c r="R37" s="166">
        <v>10</v>
      </c>
      <c r="S37" s="165">
        <v>0.4</v>
      </c>
      <c r="T37" s="164">
        <f t="shared" ref="T37" si="30">SUM(S37,-R37)</f>
        <v>-9.6</v>
      </c>
      <c r="U37" s="189" t="s">
        <v>170</v>
      </c>
      <c r="V37" s="166">
        <v>10</v>
      </c>
      <c r="W37" s="165">
        <v>0.5</v>
      </c>
      <c r="X37" s="164">
        <f t="shared" ref="X37" si="31">SUM(W37,-V37)</f>
        <v>-9.5</v>
      </c>
      <c r="Y37" s="267" t="s">
        <v>170</v>
      </c>
      <c r="Z37" s="261"/>
    </row>
    <row r="38" spans="3:26" ht="16.5" thickBot="1">
      <c r="C38" s="452"/>
      <c r="D38" s="427" t="s">
        <v>101</v>
      </c>
      <c r="E38" s="428"/>
      <c r="F38" s="188">
        <f t="shared" ref="F38" si="32">SUM(F29,F31,F33,F37)</f>
        <v>129.79999999999998</v>
      </c>
      <c r="G38" s="187">
        <f t="shared" ref="G38" si="33">SUM(G29:G33,G37)</f>
        <v>134.49999999999997</v>
      </c>
      <c r="H38" s="187">
        <f t="shared" ref="H38" si="34">SUM(H29:H34,H37)</f>
        <v>4.6999999999999993</v>
      </c>
      <c r="I38" s="186"/>
      <c r="J38" s="188">
        <f t="shared" ref="J38" si="35">SUM(J29,J31,J33,J37)</f>
        <v>129.79999999999998</v>
      </c>
      <c r="K38" s="187">
        <f t="shared" ref="K38" si="36">SUM(K29:K33,K37)</f>
        <v>130.4</v>
      </c>
      <c r="L38" s="187">
        <f t="shared" ref="L38" si="37">SUM(L29:L34,L37)</f>
        <v>0.59999999999999964</v>
      </c>
      <c r="M38" s="186"/>
      <c r="N38" s="188">
        <f>SUM(N29,N31,N33,N37)</f>
        <v>129.79999999999998</v>
      </c>
      <c r="O38" s="187">
        <f>SUM(O29:O33,O37)</f>
        <v>125.89999999999999</v>
      </c>
      <c r="P38" s="187">
        <f>SUM(P29:P34,P37)</f>
        <v>-3.9000000000000021</v>
      </c>
      <c r="Q38" s="186"/>
      <c r="R38" s="188">
        <f>SUM(R29,R31,R33,R37)</f>
        <v>129.79999999999998</v>
      </c>
      <c r="S38" s="187">
        <f>SUM(S29:S33,S37)</f>
        <v>124.39999999999999</v>
      </c>
      <c r="T38" s="187">
        <f>SUM(T29:T34,T37)</f>
        <v>-5.4</v>
      </c>
      <c r="U38" s="186"/>
      <c r="V38" s="188">
        <f>SUM(V29,V31,V33,V37)</f>
        <v>129.79999999999998</v>
      </c>
      <c r="W38" s="187">
        <f>SUM(W29:W33,W37)</f>
        <v>132.89999999999998</v>
      </c>
      <c r="X38" s="187">
        <f>SUM(X29:X34,X37)</f>
        <v>3.1000000000000014</v>
      </c>
      <c r="Y38" s="268"/>
      <c r="Z38" s="261"/>
    </row>
    <row r="39" spans="3:26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  <c r="Z39" s="261"/>
    </row>
    <row r="40" spans="3:26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  <c r="Z40" s="261"/>
    </row>
    <row r="41" spans="3:26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  <c r="Z41" s="261"/>
    </row>
    <row r="42" spans="3:26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38">SUM(G42,-F42)</f>
        <v>0</v>
      </c>
      <c r="I42" s="459"/>
      <c r="J42" s="178">
        <v>0</v>
      </c>
      <c r="K42" s="478">
        <v>0</v>
      </c>
      <c r="L42" s="457">
        <f t="shared" ref="L42" si="39">SUM(K42,-J42)</f>
        <v>0</v>
      </c>
      <c r="M42" s="459"/>
      <c r="N42" s="178">
        <v>5.5</v>
      </c>
      <c r="O42" s="478">
        <v>0</v>
      </c>
      <c r="P42" s="457">
        <f>SUM(O42,-N42)</f>
        <v>-5.5</v>
      </c>
      <c r="Q42" s="459" t="s">
        <v>151</v>
      </c>
      <c r="R42" s="178">
        <v>0</v>
      </c>
      <c r="S42" s="478">
        <v>0</v>
      </c>
      <c r="T42" s="457">
        <f>SUM(S42,-R42)</f>
        <v>0</v>
      </c>
      <c r="U42" s="459"/>
      <c r="V42" s="178">
        <v>7.8</v>
      </c>
      <c r="W42" s="478">
        <v>0</v>
      </c>
      <c r="X42" s="457">
        <f>SUM(W42,-V42)</f>
        <v>-7.8</v>
      </c>
      <c r="Y42" s="461" t="s">
        <v>151</v>
      </c>
      <c r="Z42" s="261"/>
    </row>
    <row r="43" spans="3:26" ht="16.5" thickBot="1">
      <c r="C43" s="474"/>
      <c r="D43" s="475"/>
      <c r="E43" s="477"/>
      <c r="F43" s="183">
        <v>195</v>
      </c>
      <c r="G43" s="479"/>
      <c r="H43" s="480"/>
      <c r="I43" s="481"/>
      <c r="J43" s="183">
        <v>238</v>
      </c>
      <c r="K43" s="479"/>
      <c r="L43" s="480"/>
      <c r="M43" s="481"/>
      <c r="N43" s="183">
        <v>195</v>
      </c>
      <c r="O43" s="479"/>
      <c r="P43" s="480"/>
      <c r="Q43" s="481"/>
      <c r="R43" s="183">
        <v>195</v>
      </c>
      <c r="S43" s="479"/>
      <c r="T43" s="480"/>
      <c r="U43" s="481"/>
      <c r="V43" s="183">
        <v>238</v>
      </c>
      <c r="W43" s="479"/>
      <c r="X43" s="480"/>
      <c r="Y43" s="482"/>
      <c r="Z43" s="261"/>
    </row>
    <row r="44" spans="3:26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  <c r="Z44" s="261"/>
    </row>
    <row r="45" spans="3:26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  <c r="Z45" s="261"/>
    </row>
    <row r="46" spans="3:26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  <c r="Z46" s="261"/>
    </row>
    <row r="47" spans="3:26" ht="16.149999999999999" customHeight="1">
      <c r="C47" s="444"/>
      <c r="D47" s="483"/>
      <c r="E47" s="488" t="s">
        <v>91</v>
      </c>
      <c r="F47" s="178">
        <v>40.558999999999997</v>
      </c>
      <c r="G47" s="478">
        <v>39.4</v>
      </c>
      <c r="H47" s="457">
        <f t="shared" ref="H47" si="40">SUM(G47,-F47)</f>
        <v>-1.1589999999999989</v>
      </c>
      <c r="I47" s="459" t="s">
        <v>146</v>
      </c>
      <c r="J47" s="178">
        <v>38.259</v>
      </c>
      <c r="K47" s="478">
        <v>40.299999999999997</v>
      </c>
      <c r="L47" s="457">
        <f t="shared" ref="L47" si="41">SUM(K47,-J47)</f>
        <v>2.0409999999999968</v>
      </c>
      <c r="M47" s="459" t="s">
        <v>149</v>
      </c>
      <c r="N47" s="178">
        <v>40.6</v>
      </c>
      <c r="O47" s="478">
        <v>46.2</v>
      </c>
      <c r="P47" s="457">
        <f>SUM(O47,-N47)</f>
        <v>5.6000000000000014</v>
      </c>
      <c r="Q47" s="459" t="s">
        <v>181</v>
      </c>
      <c r="R47" s="178">
        <v>38.259</v>
      </c>
      <c r="S47" s="478">
        <v>42.8</v>
      </c>
      <c r="T47" s="457">
        <f>SUM(S47,-R47)</f>
        <v>4.5409999999999968</v>
      </c>
      <c r="U47" s="459" t="s">
        <v>181</v>
      </c>
      <c r="V47" s="178">
        <v>38.259</v>
      </c>
      <c r="W47" s="478">
        <v>42.8</v>
      </c>
      <c r="X47" s="457">
        <f>SUM(W47,-V47)</f>
        <v>4.5409999999999968</v>
      </c>
      <c r="Y47" s="461" t="s">
        <v>149</v>
      </c>
      <c r="Z47" s="261"/>
    </row>
    <row r="48" spans="3:26" ht="16.5" thickBot="1">
      <c r="C48" s="486"/>
      <c r="D48" s="487"/>
      <c r="E48" s="489"/>
      <c r="F48" s="177">
        <v>0.58887840290381122</v>
      </c>
      <c r="G48" s="479"/>
      <c r="H48" s="480"/>
      <c r="I48" s="481"/>
      <c r="J48" s="177">
        <v>0.5952392065344223</v>
      </c>
      <c r="K48" s="479"/>
      <c r="L48" s="480"/>
      <c r="M48" s="481"/>
      <c r="N48" s="177">
        <v>0.58887840290381122</v>
      </c>
      <c r="O48" s="479"/>
      <c r="P48" s="480"/>
      <c r="Q48" s="481"/>
      <c r="R48" s="177">
        <v>0.5952392065344223</v>
      </c>
      <c r="S48" s="479"/>
      <c r="T48" s="480"/>
      <c r="U48" s="481"/>
      <c r="V48" s="177">
        <v>0.5952392065344223</v>
      </c>
      <c r="W48" s="479"/>
      <c r="X48" s="480"/>
      <c r="Y48" s="482"/>
      <c r="Z48" s="261"/>
    </row>
    <row r="49" spans="1:26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  <c r="Z49" s="261"/>
    </row>
    <row r="50" spans="1:26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  <c r="Z50" s="261"/>
    </row>
    <row r="51" spans="1:26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  <c r="Z51" s="261"/>
    </row>
    <row r="52" spans="1:26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2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3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  <c r="Z52" s="261"/>
    </row>
    <row r="53" spans="1:26" ht="16.5" thickBot="1">
      <c r="C53" s="484"/>
      <c r="D53" s="485"/>
      <c r="E53" s="226" t="s">
        <v>82</v>
      </c>
      <c r="F53" s="225">
        <v>0</v>
      </c>
      <c r="G53" s="229">
        <v>27.1</v>
      </c>
      <c r="H53" s="223" t="s">
        <v>159</v>
      </c>
      <c r="I53" s="222" t="s">
        <v>182</v>
      </c>
      <c r="J53" s="225">
        <v>0</v>
      </c>
      <c r="K53" s="229">
        <v>26.4</v>
      </c>
      <c r="L53" s="223" t="s">
        <v>159</v>
      </c>
      <c r="M53" s="222" t="s">
        <v>182</v>
      </c>
      <c r="N53" s="225">
        <v>0</v>
      </c>
      <c r="O53" s="229">
        <v>27.3</v>
      </c>
      <c r="P53" s="223" t="s">
        <v>159</v>
      </c>
      <c r="Q53" s="222" t="s">
        <v>182</v>
      </c>
      <c r="R53" s="225">
        <v>0</v>
      </c>
      <c r="S53" s="229">
        <v>26.9</v>
      </c>
      <c r="T53" s="223" t="s">
        <v>159</v>
      </c>
      <c r="U53" s="222" t="s">
        <v>182</v>
      </c>
      <c r="V53" s="225">
        <v>0</v>
      </c>
      <c r="W53" s="229">
        <v>27.1</v>
      </c>
      <c r="X53" s="223" t="s">
        <v>159</v>
      </c>
      <c r="Y53" s="274" t="s">
        <v>182</v>
      </c>
      <c r="Z53" s="261"/>
    </row>
    <row r="54" spans="1:26" ht="15.5" thickTop="1">
      <c r="C54" s="1" t="s">
        <v>79</v>
      </c>
    </row>
    <row r="56" spans="1:26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6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1E15-551E-458A-B96C-B97910B26DAE}">
  <dimension ref="A1:Y57"/>
  <sheetViews>
    <sheetView showGridLines="0" view="pageBreakPreview" zoomScale="70" zoomScaleNormal="100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45728</v>
      </c>
      <c r="G3" s="418"/>
      <c r="H3" s="418"/>
      <c r="I3" s="419"/>
      <c r="J3" s="417">
        <v>45730</v>
      </c>
      <c r="K3" s="418"/>
      <c r="L3" s="418"/>
      <c r="M3" s="419"/>
      <c r="N3" s="417">
        <v>45732</v>
      </c>
      <c r="O3" s="418"/>
      <c r="P3" s="418"/>
      <c r="Q3" s="419"/>
      <c r="R3" s="417">
        <v>45736</v>
      </c>
      <c r="S3" s="418"/>
      <c r="T3" s="418"/>
      <c r="U3" s="419"/>
      <c r="V3" s="417">
        <v>45737</v>
      </c>
      <c r="W3" s="418"/>
      <c r="X3" s="418"/>
      <c r="Y3" s="420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 t="shared" ref="H5:H8" si="0">SUM(G5,-F5)</f>
        <v>0</v>
      </c>
      <c r="I5" s="219"/>
      <c r="J5" s="166">
        <v>32.700000000000003</v>
      </c>
      <c r="K5" s="165">
        <v>32.700000000000003</v>
      </c>
      <c r="L5" s="164">
        <f t="shared" ref="L5:L8" si="1">SUM(K5,-J5)</f>
        <v>0</v>
      </c>
      <c r="M5" s="219"/>
      <c r="N5" s="166">
        <v>32.700000000000003</v>
      </c>
      <c r="O5" s="165">
        <v>32.700000000000003</v>
      </c>
      <c r="P5" s="164">
        <f>SUM(O5,-N5)</f>
        <v>0</v>
      </c>
      <c r="Q5" s="219"/>
      <c r="R5" s="166">
        <v>28.1</v>
      </c>
      <c r="S5" s="165">
        <v>28.1</v>
      </c>
      <c r="T5" s="164">
        <f>SUM(S5,-R5)</f>
        <v>0</v>
      </c>
      <c r="U5" s="219"/>
      <c r="V5" s="166">
        <v>28.1</v>
      </c>
      <c r="W5" s="165">
        <v>28.1</v>
      </c>
      <c r="X5" s="164">
        <f>SUM(W5,-V5)</f>
        <v>0</v>
      </c>
      <c r="Y5" s="263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</row>
    <row r="8" spans="3:25" ht="16">
      <c r="C8" s="423"/>
      <c r="D8" s="426"/>
      <c r="E8" s="218" t="s">
        <v>133</v>
      </c>
      <c r="F8" s="217">
        <v>55.7</v>
      </c>
      <c r="G8" s="216">
        <v>55.7</v>
      </c>
      <c r="H8" s="215">
        <f t="shared" si="0"/>
        <v>0</v>
      </c>
      <c r="I8" s="214"/>
      <c r="J8" s="217">
        <v>54.900000000000006</v>
      </c>
      <c r="K8" s="216">
        <v>54.900000000000006</v>
      </c>
      <c r="L8" s="215">
        <f t="shared" si="1"/>
        <v>0</v>
      </c>
      <c r="M8" s="214"/>
      <c r="N8" s="217">
        <v>54.7</v>
      </c>
      <c r="O8" s="216">
        <v>54.7</v>
      </c>
      <c r="P8" s="215">
        <f>SUM(O8,-N8)</f>
        <v>0</v>
      </c>
      <c r="Q8" s="214"/>
      <c r="R8" s="217">
        <v>55.300000000000004</v>
      </c>
      <c r="S8" s="216">
        <v>55.300000000000004</v>
      </c>
      <c r="T8" s="215">
        <f>SUM(S8,-R8)</f>
        <v>0</v>
      </c>
      <c r="U8" s="214"/>
      <c r="V8" s="217">
        <v>55.1</v>
      </c>
      <c r="W8" s="216">
        <v>55.1</v>
      </c>
      <c r="X8" s="215">
        <f>SUM(W8,-V8)</f>
        <v>0</v>
      </c>
      <c r="Y8" s="264"/>
    </row>
    <row r="9" spans="3:25" ht="16.5" thickBot="1">
      <c r="C9" s="424"/>
      <c r="D9" s="427" t="s">
        <v>101</v>
      </c>
      <c r="E9" s="428"/>
      <c r="F9" s="188">
        <f t="shared" ref="F9:H9" si="5">SUM(F5:F8)</f>
        <v>97.2</v>
      </c>
      <c r="G9" s="187">
        <f t="shared" si="5"/>
        <v>97.2</v>
      </c>
      <c r="H9" s="187">
        <f t="shared" si="5"/>
        <v>0</v>
      </c>
      <c r="I9" s="213" t="s">
        <v>159</v>
      </c>
      <c r="J9" s="188">
        <f>SUM(J5:J8)</f>
        <v>96.4</v>
      </c>
      <c r="K9" s="187">
        <f>SUM(K5:K8)</f>
        <v>96.4</v>
      </c>
      <c r="L9" s="187">
        <f t="shared" ref="L9" si="6">SUM(L5:L8)</f>
        <v>0</v>
      </c>
      <c r="M9" s="213" t="s">
        <v>159</v>
      </c>
      <c r="N9" s="188">
        <f>SUM(N5:N8)</f>
        <v>96.2</v>
      </c>
      <c r="O9" s="187">
        <f>SUM(O5:O8)</f>
        <v>96.2</v>
      </c>
      <c r="P9" s="187">
        <f>SUM(P5:P8)</f>
        <v>0</v>
      </c>
      <c r="Q9" s="213" t="s">
        <v>159</v>
      </c>
      <c r="R9" s="188">
        <f>SUM(R5:R8)</f>
        <v>92.200000000000017</v>
      </c>
      <c r="S9" s="187">
        <f>SUM(S5:S8)</f>
        <v>92.200000000000017</v>
      </c>
      <c r="T9" s="187">
        <f>SUM(T5:T8)</f>
        <v>0</v>
      </c>
      <c r="U9" s="213" t="s">
        <v>159</v>
      </c>
      <c r="V9" s="188">
        <f>SUM(V5:V8)</f>
        <v>92</v>
      </c>
      <c r="W9" s="187">
        <f>SUM(W5:W8)</f>
        <v>92</v>
      </c>
      <c r="X9" s="187">
        <f>SUM(X5:X8)</f>
        <v>0</v>
      </c>
      <c r="Y9" s="265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2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0</v>
      </c>
      <c r="T15" s="164">
        <f t="shared" si="10"/>
        <v>32.5</v>
      </c>
      <c r="U15" s="189" t="s">
        <v>145</v>
      </c>
      <c r="V15" s="166">
        <v>-32.5</v>
      </c>
      <c r="W15" s="165">
        <v>0</v>
      </c>
      <c r="X15" s="164">
        <f t="shared" si="11"/>
        <v>32.5</v>
      </c>
      <c r="Y15" s="267" t="s">
        <v>145</v>
      </c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2"/>
      <c r="J16" s="166">
        <v>-32.5</v>
      </c>
      <c r="K16" s="165">
        <v>0</v>
      </c>
      <c r="L16" s="164">
        <f t="shared" si="8"/>
        <v>32.5</v>
      </c>
      <c r="M16" s="189" t="s">
        <v>145</v>
      </c>
      <c r="N16" s="166">
        <v>-32.5</v>
      </c>
      <c r="O16" s="165">
        <v>0</v>
      </c>
      <c r="P16" s="164">
        <f t="shared" si="9"/>
        <v>32.5</v>
      </c>
      <c r="Q16" s="189" t="s">
        <v>145</v>
      </c>
      <c r="R16" s="166">
        <v>-32.5</v>
      </c>
      <c r="S16" s="165">
        <v>0</v>
      </c>
      <c r="T16" s="164">
        <f t="shared" si="10"/>
        <v>32.5</v>
      </c>
      <c r="U16" s="189" t="s">
        <v>145</v>
      </c>
      <c r="V16" s="166">
        <v>-32.5</v>
      </c>
      <c r="W16" s="165">
        <v>0</v>
      </c>
      <c r="X16" s="164">
        <f t="shared" si="11"/>
        <v>32.5</v>
      </c>
      <c r="Y16" s="267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f t="shared" si="7"/>
        <v>34</v>
      </c>
      <c r="I17" s="232" t="s">
        <v>149</v>
      </c>
      <c r="J17" s="166">
        <v>-34</v>
      </c>
      <c r="K17" s="165">
        <v>0</v>
      </c>
      <c r="L17" s="164">
        <f t="shared" si="8"/>
        <v>34</v>
      </c>
      <c r="M17" s="189" t="s">
        <v>145</v>
      </c>
      <c r="N17" s="166">
        <v>-34</v>
      </c>
      <c r="O17" s="165">
        <v>-34</v>
      </c>
      <c r="P17" s="164">
        <f t="shared" si="9"/>
        <v>0</v>
      </c>
      <c r="Q17" s="189"/>
      <c r="R17" s="166">
        <v>-34</v>
      </c>
      <c r="S17" s="165">
        <v>-34</v>
      </c>
      <c r="T17" s="164">
        <f t="shared" si="10"/>
        <v>0</v>
      </c>
      <c r="U17" s="189"/>
      <c r="V17" s="166">
        <v>-34</v>
      </c>
      <c r="W17" s="165">
        <v>-34</v>
      </c>
      <c r="X17" s="164">
        <f t="shared" si="11"/>
        <v>0</v>
      </c>
      <c r="Y17" s="267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f t="shared" si="7"/>
        <v>34</v>
      </c>
      <c r="I18" s="232" t="s">
        <v>149</v>
      </c>
      <c r="J18" s="166">
        <v>-34</v>
      </c>
      <c r="K18" s="165">
        <v>0</v>
      </c>
      <c r="L18" s="164">
        <f t="shared" si="8"/>
        <v>34</v>
      </c>
      <c r="M18" s="189" t="s">
        <v>145</v>
      </c>
      <c r="N18" s="166">
        <v>-34</v>
      </c>
      <c r="O18" s="165">
        <v>-34</v>
      </c>
      <c r="P18" s="164">
        <f t="shared" si="9"/>
        <v>0</v>
      </c>
      <c r="Q18" s="189"/>
      <c r="R18" s="166">
        <v>-34</v>
      </c>
      <c r="S18" s="165">
        <v>-34</v>
      </c>
      <c r="T18" s="164">
        <f t="shared" si="10"/>
        <v>0</v>
      </c>
      <c r="U18" s="189"/>
      <c r="V18" s="166">
        <v>-34</v>
      </c>
      <c r="W18" s="165">
        <v>-34</v>
      </c>
      <c r="X18" s="164">
        <f t="shared" si="11"/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-34</v>
      </c>
      <c r="X20" s="164">
        <f t="shared" si="11"/>
        <v>0</v>
      </c>
      <c r="Y20" s="267"/>
    </row>
    <row r="21" spans="3:25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-159.1</v>
      </c>
      <c r="H21" s="187">
        <f t="shared" si="12"/>
        <v>94.1</v>
      </c>
      <c r="I21" s="186" t="s">
        <v>159</v>
      </c>
      <c r="J21" s="188">
        <f t="shared" si="12"/>
        <v>-253.2</v>
      </c>
      <c r="K21" s="187">
        <f t="shared" si="12"/>
        <v>-126.6</v>
      </c>
      <c r="L21" s="187">
        <f t="shared" ref="L21" si="13">SUM(L13:L20)</f>
        <v>126.6</v>
      </c>
      <c r="M21" s="186" t="s">
        <v>159</v>
      </c>
      <c r="N21" s="188">
        <f>SUM(N13:N20)</f>
        <v>-253.2</v>
      </c>
      <c r="O21" s="187">
        <f>SUM(O13:O20)</f>
        <v>-194.6</v>
      </c>
      <c r="P21" s="187">
        <f>SUM(P13:P20)</f>
        <v>58.6</v>
      </c>
      <c r="Q21" s="186" t="s">
        <v>159</v>
      </c>
      <c r="R21" s="188">
        <f>SUM(R13:R20)</f>
        <v>-253.2</v>
      </c>
      <c r="S21" s="187">
        <f>SUM(S13:S20)</f>
        <v>-162.1</v>
      </c>
      <c r="T21" s="187">
        <f>SUM(T13:T20)</f>
        <v>91.1</v>
      </c>
      <c r="U21" s="186" t="s">
        <v>159</v>
      </c>
      <c r="V21" s="188">
        <f>SUM(V13:V20)</f>
        <v>-253.2</v>
      </c>
      <c r="W21" s="187">
        <f>SUM(W13:W20)</f>
        <v>-162.1</v>
      </c>
      <c r="X21" s="187">
        <f>SUM(X13:X20)</f>
        <v>91.1</v>
      </c>
      <c r="Y21" s="268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3:25" ht="16.5" thickBot="1">
      <c r="C25" s="446"/>
      <c r="D25" s="447"/>
      <c r="E25" s="449"/>
      <c r="F25" s="209">
        <v>-5</v>
      </c>
      <c r="G25" s="208">
        <v>-4.5</v>
      </c>
      <c r="H25" s="207">
        <f>SUM(G25,-F25)</f>
        <v>0.5</v>
      </c>
      <c r="I25" s="275" t="s">
        <v>150</v>
      </c>
      <c r="J25" s="209">
        <v>-5</v>
      </c>
      <c r="K25" s="208">
        <v>-4.5</v>
      </c>
      <c r="L25" s="207">
        <f t="shared" ref="L25" si="14">SUM(K25,-J25)</f>
        <v>0.5</v>
      </c>
      <c r="M25" s="275" t="s">
        <v>150</v>
      </c>
      <c r="N25" s="209">
        <v>-5</v>
      </c>
      <c r="O25" s="208">
        <v>-4.5</v>
      </c>
      <c r="P25" s="207">
        <f>SUM(O25,-N25)</f>
        <v>0.5</v>
      </c>
      <c r="Q25" s="275" t="s">
        <v>150</v>
      </c>
      <c r="R25" s="209">
        <v>-5</v>
      </c>
      <c r="S25" s="208">
        <v>-4.5</v>
      </c>
      <c r="T25" s="207">
        <f>SUM(S25,-R25)</f>
        <v>0.5</v>
      </c>
      <c r="U25" s="275" t="s">
        <v>150</v>
      </c>
      <c r="V25" s="209">
        <v>-5</v>
      </c>
      <c r="W25" s="208">
        <v>-4.5</v>
      </c>
      <c r="X25" s="207">
        <f>SUM(W25,-V25)</f>
        <v>0.5</v>
      </c>
      <c r="Y25" s="276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 t="shared" ref="H29" si="15">SUM(G29,-F29)</f>
        <v>0</v>
      </c>
      <c r="I29" s="459"/>
      <c r="J29" s="200">
        <v>43.8</v>
      </c>
      <c r="K29" s="455">
        <v>43.8</v>
      </c>
      <c r="L29" s="457">
        <f t="shared" ref="L29" si="16"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61"/>
    </row>
    <row r="30" spans="3:25" ht="16">
      <c r="C30" s="451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0.46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 t="shared" ref="H31" si="17">SUM(G31,-F31)</f>
        <v>0</v>
      </c>
      <c r="I31" s="459"/>
      <c r="J31" s="200">
        <v>54.4</v>
      </c>
      <c r="K31" s="455">
        <v>54.4</v>
      </c>
      <c r="L31" s="457">
        <f t="shared" ref="L31" si="18">SUM(K31,-J31)</f>
        <v>0</v>
      </c>
      <c r="M31" s="459"/>
      <c r="N31" s="200">
        <v>54.4</v>
      </c>
      <c r="O31" s="455">
        <v>54.4</v>
      </c>
      <c r="P31" s="457">
        <f t="shared" ref="P31" si="19">SUM(O31,-N31)</f>
        <v>0</v>
      </c>
      <c r="Q31" s="459"/>
      <c r="R31" s="200">
        <v>54.4</v>
      </c>
      <c r="S31" s="455">
        <v>54.4</v>
      </c>
      <c r="T31" s="457">
        <f t="shared" ref="T31" si="20">SUM(S31,-R31)</f>
        <v>0</v>
      </c>
      <c r="U31" s="459"/>
      <c r="V31" s="200">
        <v>54.4</v>
      </c>
      <c r="W31" s="455">
        <v>54.4</v>
      </c>
      <c r="X31" s="457">
        <f t="shared" ref="X31" si="21">SUM(W31,-V31)</f>
        <v>0</v>
      </c>
      <c r="Y31" s="46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35</v>
      </c>
      <c r="H33" s="457">
        <f t="shared" ref="H33" si="22">SUM(G33,-F33)</f>
        <v>13.399999999999999</v>
      </c>
      <c r="I33" s="459" t="s">
        <v>184</v>
      </c>
      <c r="J33" s="200">
        <v>21.6</v>
      </c>
      <c r="K33" s="199">
        <v>31.9</v>
      </c>
      <c r="L33" s="457">
        <f t="shared" ref="L33" si="23">SUM(K33,-J33)</f>
        <v>10.299999999999997</v>
      </c>
      <c r="M33" s="459" t="s">
        <v>184</v>
      </c>
      <c r="N33" s="200">
        <v>21.6</v>
      </c>
      <c r="O33" s="199">
        <v>35.299999999999997</v>
      </c>
      <c r="P33" s="457">
        <f t="shared" ref="P33" si="24">SUM(O33,-N33)</f>
        <v>13.699999999999996</v>
      </c>
      <c r="Q33" s="459" t="s">
        <v>184</v>
      </c>
      <c r="R33" s="200">
        <v>21.6</v>
      </c>
      <c r="S33" s="199">
        <v>34.200000000000003</v>
      </c>
      <c r="T33" s="457">
        <f t="shared" ref="T33" si="25">SUM(S33,-R33)</f>
        <v>12.600000000000001</v>
      </c>
      <c r="U33" s="459" t="s">
        <v>184</v>
      </c>
      <c r="V33" s="200">
        <v>21.6</v>
      </c>
      <c r="W33" s="199">
        <v>19.7</v>
      </c>
      <c r="X33" s="457">
        <f t="shared" ref="X33" si="26">SUM(W33,-V33)</f>
        <v>-1.9000000000000021</v>
      </c>
      <c r="Y33" s="461" t="s">
        <v>154</v>
      </c>
    </row>
    <row r="34" spans="3:25" ht="16">
      <c r="C34" s="451"/>
      <c r="D34" s="467"/>
      <c r="E34" s="463" t="s">
        <v>104</v>
      </c>
      <c r="F34" s="198">
        <v>0.18</v>
      </c>
      <c r="G34" s="230">
        <v>30</v>
      </c>
      <c r="H34" s="458"/>
      <c r="I34" s="460"/>
      <c r="J34" s="198">
        <v>0.18</v>
      </c>
      <c r="K34" s="230">
        <v>27</v>
      </c>
      <c r="L34" s="458"/>
      <c r="M34" s="460"/>
      <c r="N34" s="198">
        <v>0.18</v>
      </c>
      <c r="O34" s="230">
        <v>30</v>
      </c>
      <c r="P34" s="458"/>
      <c r="Q34" s="460"/>
      <c r="R34" s="198">
        <v>0.18</v>
      </c>
      <c r="S34" s="230">
        <v>29</v>
      </c>
      <c r="T34" s="458"/>
      <c r="U34" s="460"/>
      <c r="V34" s="198">
        <v>0.18</v>
      </c>
      <c r="W34" s="230">
        <v>17</v>
      </c>
      <c r="X34" s="458"/>
      <c r="Y34" s="462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10</v>
      </c>
      <c r="G37" s="165">
        <v>1.9999999999999987</v>
      </c>
      <c r="H37" s="164">
        <f t="shared" ref="H37" si="27">SUM(G37,-F37)</f>
        <v>-8.0000000000000018</v>
      </c>
      <c r="I37" s="189" t="s">
        <v>147</v>
      </c>
      <c r="J37" s="166">
        <v>10</v>
      </c>
      <c r="K37" s="165">
        <v>2.1</v>
      </c>
      <c r="L37" s="164">
        <f t="shared" ref="L37" si="28">SUM(K37,-J37)</f>
        <v>-7.9</v>
      </c>
      <c r="M37" s="189" t="s">
        <v>147</v>
      </c>
      <c r="N37" s="166">
        <v>10</v>
      </c>
      <c r="O37" s="165">
        <v>1.9</v>
      </c>
      <c r="P37" s="164">
        <f t="shared" ref="P37" si="29">SUM(O37,-N37)</f>
        <v>-8.1</v>
      </c>
      <c r="Q37" s="189" t="s">
        <v>147</v>
      </c>
      <c r="R37" s="166">
        <v>10</v>
      </c>
      <c r="S37" s="165">
        <v>1.9</v>
      </c>
      <c r="T37" s="164">
        <f t="shared" ref="T37" si="30">SUM(S37,-R37)</f>
        <v>-8.1</v>
      </c>
      <c r="U37" s="189" t="s">
        <v>170</v>
      </c>
      <c r="V37" s="166">
        <v>10</v>
      </c>
      <c r="W37" s="165">
        <v>1.9</v>
      </c>
      <c r="X37" s="164">
        <f t="shared" ref="X37" si="31">SUM(W37,-V37)</f>
        <v>-8.1</v>
      </c>
      <c r="Y37" s="267" t="s">
        <v>170</v>
      </c>
    </row>
    <row r="38" spans="3:25" ht="16.5" thickBot="1">
      <c r="C38" s="452"/>
      <c r="D38" s="427" t="s">
        <v>101</v>
      </c>
      <c r="E38" s="428"/>
      <c r="F38" s="188">
        <f t="shared" ref="F38" si="32">SUM(F29,F31,F33,F37)</f>
        <v>129.79999999999998</v>
      </c>
      <c r="G38" s="187">
        <f t="shared" ref="G38" si="33">SUM(G29:G33,G37)</f>
        <v>135.19999999999999</v>
      </c>
      <c r="H38" s="187">
        <f t="shared" ref="H38" si="34">SUM(H29:H34,H37)</f>
        <v>5.3999999999999968</v>
      </c>
      <c r="I38" s="186"/>
      <c r="J38" s="188">
        <f t="shared" ref="J38" si="35">SUM(J29,J31,J33,J37)</f>
        <v>129.79999999999998</v>
      </c>
      <c r="K38" s="187">
        <f t="shared" ref="K38" si="36">SUM(K29:K33,K37)</f>
        <v>132.19999999999999</v>
      </c>
      <c r="L38" s="187">
        <f t="shared" ref="L38" si="37">SUM(L29:L34,L37)</f>
        <v>2.3999999999999968</v>
      </c>
      <c r="M38" s="186"/>
      <c r="N38" s="188">
        <f>SUM(N29,N31,N33,N37)</f>
        <v>129.79999999999998</v>
      </c>
      <c r="O38" s="187">
        <f>SUM(O29:O33,O37)</f>
        <v>135.4</v>
      </c>
      <c r="P38" s="187">
        <f>SUM(P29:P34,P37)</f>
        <v>5.5999999999999961</v>
      </c>
      <c r="Q38" s="186"/>
      <c r="R38" s="188">
        <f>SUM(R29,R31,R33,R37)</f>
        <v>129.79999999999998</v>
      </c>
      <c r="S38" s="187">
        <f>SUM(S29:S33,S37)</f>
        <v>134.29999999999998</v>
      </c>
      <c r="T38" s="187">
        <f>SUM(T29:T34,T37)</f>
        <v>4.5000000000000018</v>
      </c>
      <c r="U38" s="186"/>
      <c r="V38" s="188">
        <f>SUM(V29,V31,V33,V37)</f>
        <v>129.79999999999998</v>
      </c>
      <c r="W38" s="187">
        <f>SUM(W29:W33,W37)</f>
        <v>119.8</v>
      </c>
      <c r="X38" s="187">
        <f>SUM(X29:X34,X37)</f>
        <v>-10.000000000000002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38">SUM(G42,-F42)</f>
        <v>0</v>
      </c>
      <c r="I42" s="459"/>
      <c r="J42" s="178">
        <v>17.8</v>
      </c>
      <c r="K42" s="478">
        <v>0</v>
      </c>
      <c r="L42" s="457">
        <f t="shared" ref="L42" si="39">SUM(K42,-J42)</f>
        <v>-17.8</v>
      </c>
      <c r="M42" s="459" t="s">
        <v>151</v>
      </c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3:25" ht="16.5" thickBot="1">
      <c r="C43" s="474"/>
      <c r="D43" s="475"/>
      <c r="E43" s="477"/>
      <c r="F43" s="183">
        <v>238</v>
      </c>
      <c r="G43" s="479"/>
      <c r="H43" s="480"/>
      <c r="I43" s="481"/>
      <c r="J43" s="183">
        <v>238</v>
      </c>
      <c r="K43" s="479"/>
      <c r="L43" s="480"/>
      <c r="M43" s="481"/>
      <c r="N43" s="183">
        <v>191</v>
      </c>
      <c r="O43" s="479"/>
      <c r="P43" s="480"/>
      <c r="Q43" s="481"/>
      <c r="R43" s="183">
        <v>191</v>
      </c>
      <c r="S43" s="479"/>
      <c r="T43" s="480"/>
      <c r="U43" s="481"/>
      <c r="V43" s="183">
        <v>229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3:25" ht="16">
      <c r="C47" s="444"/>
      <c r="D47" s="483"/>
      <c r="E47" s="488" t="s">
        <v>91</v>
      </c>
      <c r="F47" s="178">
        <v>40.558999999999997</v>
      </c>
      <c r="G47" s="478">
        <v>38.4</v>
      </c>
      <c r="H47" s="457">
        <f t="shared" ref="H47" si="40">SUM(G47,-F47)</f>
        <v>-2.1589999999999989</v>
      </c>
      <c r="I47" s="459" t="s">
        <v>146</v>
      </c>
      <c r="J47" s="178">
        <v>38.259</v>
      </c>
      <c r="K47" s="478">
        <v>42.8</v>
      </c>
      <c r="L47" s="457">
        <f t="shared" ref="L47" si="41">SUM(K47,-J47)</f>
        <v>4.5409999999999968</v>
      </c>
      <c r="M47" s="459" t="s">
        <v>149</v>
      </c>
      <c r="N47" s="178">
        <v>40.558999999999997</v>
      </c>
      <c r="O47" s="478">
        <v>41.4</v>
      </c>
      <c r="P47" s="457">
        <f>SUM(O47,-N47)</f>
        <v>0.84100000000000108</v>
      </c>
      <c r="Q47" s="459" t="s">
        <v>181</v>
      </c>
      <c r="R47" s="178">
        <v>45.783999999999999</v>
      </c>
      <c r="S47" s="478">
        <v>51</v>
      </c>
      <c r="T47" s="457">
        <f>SUM(S47,-R47)</f>
        <v>5.2160000000000011</v>
      </c>
      <c r="U47" s="459" t="s">
        <v>181</v>
      </c>
      <c r="V47" s="178">
        <v>45.783999999999999</v>
      </c>
      <c r="W47" s="478">
        <v>49.9</v>
      </c>
      <c r="X47" s="457">
        <f>SUM(W47,-V47)</f>
        <v>4.1159999999999997</v>
      </c>
      <c r="Y47" s="461" t="s">
        <v>181</v>
      </c>
    </row>
    <row r="48" spans="3:25" ht="16.5" thickBot="1">
      <c r="C48" s="486"/>
      <c r="D48" s="487"/>
      <c r="E48" s="489"/>
      <c r="F48" s="177">
        <v>0.58887840290381122</v>
      </c>
      <c r="G48" s="479"/>
      <c r="H48" s="480"/>
      <c r="I48" s="481"/>
      <c r="J48" s="177">
        <v>0.58882647171989233</v>
      </c>
      <c r="K48" s="479"/>
      <c r="L48" s="480"/>
      <c r="M48" s="481"/>
      <c r="N48" s="177">
        <v>0.58887840290381122</v>
      </c>
      <c r="O48" s="479"/>
      <c r="P48" s="480"/>
      <c r="Q48" s="481"/>
      <c r="R48" s="177">
        <v>0.5717639712769278</v>
      </c>
      <c r="S48" s="479"/>
      <c r="T48" s="480"/>
      <c r="U48" s="481"/>
      <c r="V48" s="177">
        <v>0.5717639712769278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2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3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28.6</v>
      </c>
      <c r="H53" s="223" t="s">
        <v>159</v>
      </c>
      <c r="I53" s="222" t="s">
        <v>182</v>
      </c>
      <c r="J53" s="225">
        <v>0</v>
      </c>
      <c r="K53" s="229">
        <v>20.399999999999999</v>
      </c>
      <c r="L53" s="223" t="s">
        <v>159</v>
      </c>
      <c r="M53" s="222" t="s">
        <v>182</v>
      </c>
      <c r="N53" s="225">
        <v>0</v>
      </c>
      <c r="O53" s="229">
        <v>29.4</v>
      </c>
      <c r="P53" s="223" t="s">
        <v>159</v>
      </c>
      <c r="Q53" s="222" t="s">
        <v>182</v>
      </c>
      <c r="R53" s="225">
        <v>0</v>
      </c>
      <c r="S53" s="229">
        <v>27.3</v>
      </c>
      <c r="T53" s="223" t="s">
        <v>159</v>
      </c>
      <c r="U53" s="222" t="s">
        <v>182</v>
      </c>
      <c r="V53" s="225">
        <v>0</v>
      </c>
      <c r="W53" s="229">
        <v>28</v>
      </c>
      <c r="X53" s="223" t="s">
        <v>159</v>
      </c>
      <c r="Y53" s="274" t="s">
        <v>182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E1D1-7746-4B82-AC83-39C3D5B66F51}"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45738</v>
      </c>
      <c r="G3" s="491"/>
      <c r="H3" s="491"/>
      <c r="I3" s="492"/>
      <c r="J3" s="490">
        <v>45739</v>
      </c>
      <c r="K3" s="491"/>
      <c r="L3" s="491"/>
      <c r="M3" s="492"/>
      <c r="N3" s="490">
        <v>45740</v>
      </c>
      <c r="O3" s="491"/>
      <c r="P3" s="491"/>
      <c r="Q3" s="492"/>
      <c r="R3" s="490">
        <v>45741</v>
      </c>
      <c r="S3" s="491"/>
      <c r="T3" s="491"/>
      <c r="U3" s="492"/>
      <c r="V3" s="490">
        <v>45742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2:25" ht="16">
      <c r="B5" s="281"/>
      <c r="C5" s="495"/>
      <c r="D5" s="425" t="s">
        <v>138</v>
      </c>
      <c r="E5" s="211" t="s">
        <v>137</v>
      </c>
      <c r="F5" s="166">
        <v>28.1</v>
      </c>
      <c r="G5" s="165">
        <v>28.1</v>
      </c>
      <c r="H5" s="164">
        <v>0</v>
      </c>
      <c r="I5" s="219"/>
      <c r="J5" s="166">
        <v>28.1</v>
      </c>
      <c r="K5" s="165">
        <v>28.1</v>
      </c>
      <c r="L5" s="164">
        <f t="shared" ref="L5:L8" si="0">SUM(K5,-J5)</f>
        <v>0</v>
      </c>
      <c r="M5" s="219"/>
      <c r="N5" s="166">
        <v>28.1</v>
      </c>
      <c r="O5" s="165">
        <v>28.1</v>
      </c>
      <c r="P5" s="164">
        <f>SUM(O5,-N5)</f>
        <v>0</v>
      </c>
      <c r="Q5" s="219"/>
      <c r="R5" s="166">
        <v>28.1</v>
      </c>
      <c r="S5" s="165">
        <v>28.1</v>
      </c>
      <c r="T5" s="164">
        <f>SUM(S5,-R5)</f>
        <v>0</v>
      </c>
      <c r="U5" s="219"/>
      <c r="V5" s="166">
        <v>32.700000000000003</v>
      </c>
      <c r="W5" s="165">
        <v>32.700000000000003</v>
      </c>
      <c r="X5" s="164">
        <f>SUM(W5,-V5)</f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f t="shared" si="0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 t="shared" si="0"/>
        <v>0</v>
      </c>
      <c r="M7" s="219"/>
      <c r="N7" s="166">
        <v>0</v>
      </c>
      <c r="O7" s="165">
        <v>0</v>
      </c>
      <c r="P7" s="164">
        <f t="shared" ref="P7" si="1">SUM(O7,-N7)</f>
        <v>0</v>
      </c>
      <c r="Q7" s="219"/>
      <c r="R7" s="166">
        <v>0</v>
      </c>
      <c r="S7" s="165">
        <v>0</v>
      </c>
      <c r="T7" s="164">
        <f t="shared" ref="T7" si="2">SUM(S7,-R7)</f>
        <v>0</v>
      </c>
      <c r="U7" s="219"/>
      <c r="V7" s="166">
        <v>0</v>
      </c>
      <c r="W7" s="165">
        <v>0</v>
      </c>
      <c r="X7" s="164">
        <f t="shared" ref="X7" si="3">SUM(W7,-V7)</f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52.5</v>
      </c>
      <c r="G8" s="216">
        <v>52.5</v>
      </c>
      <c r="H8" s="215">
        <v>0</v>
      </c>
      <c r="I8" s="214"/>
      <c r="J8" s="217">
        <v>51.900000000000006</v>
      </c>
      <c r="K8" s="216">
        <v>51.900000000000006</v>
      </c>
      <c r="L8" s="215">
        <f t="shared" si="0"/>
        <v>0</v>
      </c>
      <c r="M8" s="214"/>
      <c r="N8" s="217">
        <v>54.900000000000006</v>
      </c>
      <c r="O8" s="216">
        <v>54.900000000000006</v>
      </c>
      <c r="P8" s="215">
        <f>SUM(O8,-N8)</f>
        <v>0</v>
      </c>
      <c r="Q8" s="232"/>
      <c r="R8" s="217">
        <v>54.300000000000004</v>
      </c>
      <c r="S8" s="216">
        <v>54.300000000000004</v>
      </c>
      <c r="T8" s="215">
        <f>SUM(S8,-R8)</f>
        <v>0</v>
      </c>
      <c r="U8" s="232"/>
      <c r="V8" s="217">
        <v>54.300000000000004</v>
      </c>
      <c r="W8" s="216">
        <v>54.300000000000004</v>
      </c>
      <c r="X8" s="215">
        <f>SUM(W8,-V8)</f>
        <v>0</v>
      </c>
      <c r="Y8" s="264"/>
    </row>
    <row r="9" spans="2:25" ht="16.5" thickBot="1">
      <c r="B9" s="281"/>
      <c r="C9" s="497"/>
      <c r="D9" s="427" t="s">
        <v>101</v>
      </c>
      <c r="E9" s="428"/>
      <c r="F9" s="188">
        <v>108.9</v>
      </c>
      <c r="G9" s="187">
        <v>108.9</v>
      </c>
      <c r="H9" s="187">
        <v>0</v>
      </c>
      <c r="I9" s="213" t="s">
        <v>81</v>
      </c>
      <c r="J9" s="188">
        <f t="shared" ref="J9:L9" si="4">SUM(J5:J8)</f>
        <v>88.800000000000011</v>
      </c>
      <c r="K9" s="187">
        <f t="shared" si="4"/>
        <v>88.800000000000011</v>
      </c>
      <c r="L9" s="187">
        <f t="shared" si="4"/>
        <v>0</v>
      </c>
      <c r="M9" s="213" t="s">
        <v>159</v>
      </c>
      <c r="N9" s="188">
        <f>SUM(N5:N8)</f>
        <v>91.800000000000011</v>
      </c>
      <c r="O9" s="187">
        <f>SUM(O5:O8)</f>
        <v>91.800000000000011</v>
      </c>
      <c r="P9" s="187">
        <f>SUM(P5:P8)</f>
        <v>0</v>
      </c>
      <c r="Q9" s="213" t="s">
        <v>159</v>
      </c>
      <c r="R9" s="188">
        <f>SUM(R5:R8)</f>
        <v>91.200000000000017</v>
      </c>
      <c r="S9" s="187">
        <f>SUM(S5:S8)</f>
        <v>91.200000000000017</v>
      </c>
      <c r="T9" s="187">
        <f>SUM(T5:T8)</f>
        <v>0</v>
      </c>
      <c r="U9" s="213" t="s">
        <v>159</v>
      </c>
      <c r="V9" s="188">
        <f>SUM(V5:V8)</f>
        <v>95.800000000000011</v>
      </c>
      <c r="W9" s="187">
        <f>SUM(W5:W8)</f>
        <v>95.800000000000011</v>
      </c>
      <c r="X9" s="187">
        <f>SUM(X5:X8)</f>
        <v>0</v>
      </c>
      <c r="Y9" s="265" t="s">
        <v>159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282"/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f>SUM(G13,-F13)</f>
        <v>26.1</v>
      </c>
      <c r="I13" s="232" t="s">
        <v>149</v>
      </c>
      <c r="J13" s="166">
        <v>-26.1</v>
      </c>
      <c r="K13" s="165">
        <v>0</v>
      </c>
      <c r="L13" s="164">
        <f>SUM(K13,-J13)</f>
        <v>26.1</v>
      </c>
      <c r="M13" s="232" t="s">
        <v>149</v>
      </c>
      <c r="N13" s="166">
        <v>-26.1</v>
      </c>
      <c r="O13" s="165">
        <v>0</v>
      </c>
      <c r="P13" s="164">
        <f>SUM(O13,-N13)</f>
        <v>26.1</v>
      </c>
      <c r="Q13" s="232" t="s">
        <v>149</v>
      </c>
      <c r="R13" s="166">
        <v>-26.1</v>
      </c>
      <c r="S13" s="165">
        <v>0</v>
      </c>
      <c r="T13" s="164">
        <f>SUM(S13,-R13)</f>
        <v>26.1</v>
      </c>
      <c r="U13" s="232" t="s">
        <v>149</v>
      </c>
      <c r="V13" s="166">
        <v>-26.1</v>
      </c>
      <c r="W13" s="165">
        <v>0</v>
      </c>
      <c r="X13" s="164">
        <f>SUM(W13,-V13)</f>
        <v>26.1</v>
      </c>
      <c r="Y13" s="285" t="s">
        <v>149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-26.1</v>
      </c>
      <c r="H14" s="164">
        <f t="shared" ref="H14:H20" si="5">SUM(G14,-F14)</f>
        <v>0</v>
      </c>
      <c r="I14" s="189"/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232"/>
      <c r="R14" s="166">
        <v>-26.1</v>
      </c>
      <c r="S14" s="165">
        <v>-26.1</v>
      </c>
      <c r="T14" s="164">
        <f t="shared" ref="T14:T20" si="8">SUM(S14,-R14)</f>
        <v>0</v>
      </c>
      <c r="U14" s="232"/>
      <c r="V14" s="166">
        <v>-26.1</v>
      </c>
      <c r="W14" s="165">
        <v>-26.1</v>
      </c>
      <c r="X14" s="164">
        <f t="shared" ref="X14:X20" si="9">SUM(W14,-V14)</f>
        <v>0</v>
      </c>
      <c r="Y14" s="285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0</v>
      </c>
      <c r="H15" s="164">
        <f t="shared" si="5"/>
        <v>32.5</v>
      </c>
      <c r="I15" s="232" t="s">
        <v>149</v>
      </c>
      <c r="J15" s="166">
        <v>-32.5</v>
      </c>
      <c r="K15" s="165">
        <v>0</v>
      </c>
      <c r="L15" s="164">
        <f t="shared" si="6"/>
        <v>32.5</v>
      </c>
      <c r="M15" s="232" t="s">
        <v>149</v>
      </c>
      <c r="N15" s="166">
        <v>-32.5</v>
      </c>
      <c r="O15" s="165">
        <v>0</v>
      </c>
      <c r="P15" s="164">
        <f t="shared" si="7"/>
        <v>32.5</v>
      </c>
      <c r="Q15" s="232" t="s">
        <v>149</v>
      </c>
      <c r="R15" s="166">
        <v>-32.5</v>
      </c>
      <c r="S15" s="165">
        <v>0</v>
      </c>
      <c r="T15" s="164">
        <f t="shared" si="8"/>
        <v>32.5</v>
      </c>
      <c r="U15" s="232" t="s">
        <v>149</v>
      </c>
      <c r="V15" s="166">
        <v>-32.5</v>
      </c>
      <c r="W15" s="165">
        <v>0</v>
      </c>
      <c r="X15" s="164">
        <f t="shared" si="9"/>
        <v>32.5</v>
      </c>
      <c r="Y15" s="285" t="s">
        <v>149</v>
      </c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0</v>
      </c>
      <c r="H16" s="164">
        <f t="shared" si="5"/>
        <v>32.5</v>
      </c>
      <c r="I16" s="232" t="s">
        <v>149</v>
      </c>
      <c r="J16" s="166">
        <v>-32.5</v>
      </c>
      <c r="K16" s="165">
        <v>0</v>
      </c>
      <c r="L16" s="164">
        <f t="shared" si="6"/>
        <v>32.5</v>
      </c>
      <c r="M16" s="232" t="s">
        <v>149</v>
      </c>
      <c r="N16" s="166">
        <v>-32.5</v>
      </c>
      <c r="O16" s="165">
        <v>0</v>
      </c>
      <c r="P16" s="164">
        <f t="shared" si="7"/>
        <v>32.5</v>
      </c>
      <c r="Q16" s="232" t="s">
        <v>149</v>
      </c>
      <c r="R16" s="166">
        <v>-32.5</v>
      </c>
      <c r="S16" s="165">
        <v>0</v>
      </c>
      <c r="T16" s="164">
        <f t="shared" si="8"/>
        <v>32.5</v>
      </c>
      <c r="U16" s="232" t="s">
        <v>149</v>
      </c>
      <c r="V16" s="166">
        <v>-32.5</v>
      </c>
      <c r="W16" s="165">
        <v>0</v>
      </c>
      <c r="X16" s="164">
        <f t="shared" si="9"/>
        <v>32.5</v>
      </c>
      <c r="Y16" s="285" t="s">
        <v>149</v>
      </c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12"/>
      <c r="J17" s="166">
        <v>-34</v>
      </c>
      <c r="K17" s="165">
        <v>-34</v>
      </c>
      <c r="L17" s="164">
        <f t="shared" si="6"/>
        <v>0</v>
      </c>
      <c r="M17" s="212"/>
      <c r="N17" s="166">
        <v>-34</v>
      </c>
      <c r="O17" s="165">
        <v>-34</v>
      </c>
      <c r="P17" s="164">
        <f t="shared" si="7"/>
        <v>0</v>
      </c>
      <c r="Q17" s="212"/>
      <c r="R17" s="166">
        <v>-34</v>
      </c>
      <c r="S17" s="165">
        <v>-34</v>
      </c>
      <c r="T17" s="164">
        <f t="shared" si="8"/>
        <v>0</v>
      </c>
      <c r="U17" s="212"/>
      <c r="V17" s="166">
        <v>-34</v>
      </c>
      <c r="W17" s="165">
        <v>-34</v>
      </c>
      <c r="X17" s="164">
        <f t="shared" si="9"/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189"/>
      <c r="N18" s="166">
        <v>-34</v>
      </c>
      <c r="O18" s="165">
        <v>-34</v>
      </c>
      <c r="P18" s="164">
        <f t="shared" si="7"/>
        <v>0</v>
      </c>
      <c r="Q18" s="189"/>
      <c r="R18" s="166">
        <v>-34</v>
      </c>
      <c r="S18" s="165">
        <v>-34</v>
      </c>
      <c r="T18" s="164">
        <f t="shared" si="8"/>
        <v>0</v>
      </c>
      <c r="U18" s="189"/>
      <c r="V18" s="166">
        <v>-34</v>
      </c>
      <c r="W18" s="165">
        <v>-34</v>
      </c>
      <c r="X18" s="164">
        <f t="shared" si="9"/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189"/>
      <c r="J19" s="166">
        <v>-34</v>
      </c>
      <c r="K19" s="165">
        <v>-34</v>
      </c>
      <c r="L19" s="164">
        <f t="shared" si="6"/>
        <v>0</v>
      </c>
      <c r="M19" s="189"/>
      <c r="N19" s="166">
        <v>-34</v>
      </c>
      <c r="O19" s="165">
        <v>-34</v>
      </c>
      <c r="P19" s="164">
        <f t="shared" si="7"/>
        <v>0</v>
      </c>
      <c r="Q19" s="189"/>
      <c r="R19" s="166">
        <v>-34</v>
      </c>
      <c r="S19" s="165">
        <v>-34</v>
      </c>
      <c r="T19" s="164">
        <f t="shared" si="8"/>
        <v>0</v>
      </c>
      <c r="U19" s="189"/>
      <c r="V19" s="166">
        <v>-34</v>
      </c>
      <c r="W19" s="165">
        <v>-34</v>
      </c>
      <c r="X19" s="164">
        <f t="shared" si="9"/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f t="shared" si="5"/>
        <v>0</v>
      </c>
      <c r="I20" s="189"/>
      <c r="J20" s="166">
        <v>-34</v>
      </c>
      <c r="K20" s="165">
        <v>-34</v>
      </c>
      <c r="L20" s="164">
        <f t="shared" si="6"/>
        <v>0</v>
      </c>
      <c r="M20" s="189"/>
      <c r="N20" s="166">
        <v>-34</v>
      </c>
      <c r="O20" s="165">
        <v>-34</v>
      </c>
      <c r="P20" s="164">
        <f t="shared" si="7"/>
        <v>0</v>
      </c>
      <c r="Q20" s="189"/>
      <c r="R20" s="166">
        <v>-34</v>
      </c>
      <c r="S20" s="165">
        <v>-34</v>
      </c>
      <c r="T20" s="164">
        <f t="shared" si="8"/>
        <v>0</v>
      </c>
      <c r="U20" s="189"/>
      <c r="V20" s="166">
        <v>-34</v>
      </c>
      <c r="W20" s="165">
        <v>-34</v>
      </c>
      <c r="X20" s="164">
        <f t="shared" si="9"/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f t="shared" ref="J21:L21" si="10">SUM(J13:J20)</f>
        <v>-253.2</v>
      </c>
      <c r="K21" s="187">
        <f t="shared" si="10"/>
        <v>-162.1</v>
      </c>
      <c r="L21" s="187">
        <f t="shared" si="10"/>
        <v>91.1</v>
      </c>
      <c r="M21" s="186" t="s">
        <v>159</v>
      </c>
      <c r="N21" s="188">
        <f>SUM(N13:N20)</f>
        <v>-253.2</v>
      </c>
      <c r="O21" s="187">
        <f>SUM(O13:O20)</f>
        <v>-162.1</v>
      </c>
      <c r="P21" s="187">
        <f>SUM(P13:P20)</f>
        <v>91.1</v>
      </c>
      <c r="Q21" s="186" t="s">
        <v>159</v>
      </c>
      <c r="R21" s="188">
        <f>SUM(R13:R20)</f>
        <v>-253.2</v>
      </c>
      <c r="S21" s="187">
        <f>SUM(S13:S20)</f>
        <v>-162.1</v>
      </c>
      <c r="T21" s="187">
        <f>SUM(T13:T20)</f>
        <v>91.1</v>
      </c>
      <c r="U21" s="186" t="s">
        <v>159</v>
      </c>
      <c r="V21" s="188">
        <f>SUM(V13:V20)</f>
        <v>-253.2</v>
      </c>
      <c r="W21" s="187">
        <f>SUM(W13:W20)</f>
        <v>-162.1</v>
      </c>
      <c r="X21" s="187">
        <f>SUM(X13:X20)</f>
        <v>91.1</v>
      </c>
      <c r="Y21" s="268" t="s">
        <v>159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282"/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2:25" ht="16.5" thickBot="1">
      <c r="B25" s="281"/>
      <c r="C25" s="501"/>
      <c r="D25" s="447"/>
      <c r="E25" s="449"/>
      <c r="F25" s="209">
        <v>-5</v>
      </c>
      <c r="G25" s="208">
        <f>[4]翌日!V24/10</f>
        <v>-4.5</v>
      </c>
      <c r="H25" s="207">
        <v>5</v>
      </c>
      <c r="I25" s="206" t="s">
        <v>150</v>
      </c>
      <c r="J25" s="209">
        <v>-5</v>
      </c>
      <c r="K25" s="208">
        <v>-4.5</v>
      </c>
      <c r="L25" s="207">
        <f t="shared" ref="L25" si="11">SUM(K25,-J25)</f>
        <v>0.5</v>
      </c>
      <c r="M25" s="206" t="s">
        <v>150</v>
      </c>
      <c r="N25" s="209">
        <v>-5</v>
      </c>
      <c r="O25" s="208">
        <v>-4.5</v>
      </c>
      <c r="P25" s="207">
        <f t="shared" ref="P25" si="12">SUM(O25,-N25)</f>
        <v>0.5</v>
      </c>
      <c r="Q25" s="206" t="s">
        <v>150</v>
      </c>
      <c r="R25" s="209">
        <v>-5</v>
      </c>
      <c r="S25" s="208">
        <v>-4.5</v>
      </c>
      <c r="T25" s="207">
        <f t="shared" ref="T25" si="13">SUM(S25,-R25)</f>
        <v>0.5</v>
      </c>
      <c r="U25" s="206" t="s">
        <v>150</v>
      </c>
      <c r="V25" s="209">
        <v>-5</v>
      </c>
      <c r="W25" s="208">
        <v>-4.5</v>
      </c>
      <c r="X25" s="207">
        <f t="shared" ref="X25" si="14">SUM(W25,-V25)</f>
        <v>0.5</v>
      </c>
      <c r="Y25" s="269" t="s">
        <v>150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282"/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21.9</v>
      </c>
      <c r="G29" s="455">
        <v>21.2</v>
      </c>
      <c r="H29" s="457">
        <f t="shared" ref="H29" si="15">SUM(G29,-F29)</f>
        <v>-0.69999999999999929</v>
      </c>
      <c r="I29" s="459" t="s">
        <v>146</v>
      </c>
      <c r="J29" s="200">
        <v>21.9</v>
      </c>
      <c r="K29" s="455">
        <v>21.2</v>
      </c>
      <c r="L29" s="457">
        <f t="shared" ref="L29" si="16">SUM(K29,-J29)</f>
        <v>-0.69999999999999929</v>
      </c>
      <c r="M29" s="459" t="s">
        <v>154</v>
      </c>
      <c r="N29" s="200">
        <v>21.9</v>
      </c>
      <c r="O29" s="455">
        <v>21.2</v>
      </c>
      <c r="P29" s="457">
        <f>SUM(O29,-N29)</f>
        <v>-0.69999999999999929</v>
      </c>
      <c r="Q29" s="459" t="s">
        <v>154</v>
      </c>
      <c r="R29" s="200">
        <v>21.9</v>
      </c>
      <c r="S29" s="455">
        <v>10.3</v>
      </c>
      <c r="T29" s="457">
        <f>SUM(S29,-R29)</f>
        <v>-11.599999999999998</v>
      </c>
      <c r="U29" s="459" t="s">
        <v>154</v>
      </c>
      <c r="V29" s="200">
        <v>0</v>
      </c>
      <c r="W29" s="199">
        <v>0</v>
      </c>
      <c r="X29" s="287">
        <f>SUM(W29,-V29)</f>
        <v>0</v>
      </c>
      <c r="Y29" s="288"/>
    </row>
    <row r="30" spans="2:25" ht="16">
      <c r="B30" s="281"/>
      <c r="C30" s="506"/>
      <c r="D30" s="443"/>
      <c r="E30" s="454"/>
      <c r="F30" s="202">
        <v>0.46</v>
      </c>
      <c r="G30" s="456">
        <v>0</v>
      </c>
      <c r="H30" s="458"/>
      <c r="I30" s="460"/>
      <c r="J30" s="202">
        <v>0.46</v>
      </c>
      <c r="K30" s="456">
        <v>0</v>
      </c>
      <c r="L30" s="458"/>
      <c r="M30" s="460"/>
      <c r="N30" s="202">
        <v>0.46</v>
      </c>
      <c r="O30" s="456">
        <v>0</v>
      </c>
      <c r="P30" s="458"/>
      <c r="Q30" s="460"/>
      <c r="R30" s="202">
        <v>0.46</v>
      </c>
      <c r="S30" s="456">
        <v>0</v>
      </c>
      <c r="T30" s="458"/>
      <c r="U30" s="460"/>
      <c r="V30" s="202">
        <v>0</v>
      </c>
      <c r="W30" s="289"/>
      <c r="X30" s="290"/>
      <c r="Y30" s="291"/>
    </row>
    <row r="31" spans="2:25" ht="16">
      <c r="B31" s="281"/>
      <c r="C31" s="506"/>
      <c r="D31" s="443"/>
      <c r="E31" s="453" t="s">
        <v>109</v>
      </c>
      <c r="F31" s="200">
        <v>54.4</v>
      </c>
      <c r="G31" s="455">
        <v>54.4</v>
      </c>
      <c r="H31" s="457">
        <f t="shared" ref="H31" si="17">SUM(G31,-F31)</f>
        <v>0</v>
      </c>
      <c r="I31" s="459"/>
      <c r="J31" s="200">
        <v>54.4</v>
      </c>
      <c r="K31" s="455">
        <v>54.4</v>
      </c>
      <c r="L31" s="457">
        <f t="shared" ref="L31" si="18">SUM(K31,-J31)</f>
        <v>0</v>
      </c>
      <c r="M31" s="459"/>
      <c r="N31" s="200">
        <v>54.4</v>
      </c>
      <c r="O31" s="455">
        <v>54.4</v>
      </c>
      <c r="P31" s="457">
        <f t="shared" ref="P31" si="19">SUM(O31,-N31)</f>
        <v>0</v>
      </c>
      <c r="Q31" s="459"/>
      <c r="R31" s="200">
        <v>54.4</v>
      </c>
      <c r="S31" s="455">
        <v>54.4</v>
      </c>
      <c r="T31" s="457">
        <f t="shared" ref="T31" si="20">SUM(S31,-R31)</f>
        <v>0</v>
      </c>
      <c r="U31" s="459"/>
      <c r="V31" s="200">
        <v>54.4</v>
      </c>
      <c r="W31" s="199">
        <v>54.4</v>
      </c>
      <c r="X31" s="287">
        <f t="shared" ref="X31" si="21">SUM(W31,-V31)</f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289">
        <v>0</v>
      </c>
      <c r="X32" s="290"/>
      <c r="Y32" s="291"/>
    </row>
    <row r="33" spans="2:25" ht="16">
      <c r="B33" s="281"/>
      <c r="C33" s="506"/>
      <c r="D33" s="466" t="s">
        <v>107</v>
      </c>
      <c r="E33" s="201" t="s">
        <v>106</v>
      </c>
      <c r="F33" s="200">
        <v>21.6</v>
      </c>
      <c r="G33" s="199">
        <v>20.9</v>
      </c>
      <c r="H33" s="457">
        <f t="shared" ref="H33" si="22">SUM(G33,-F33)</f>
        <v>-0.70000000000000284</v>
      </c>
      <c r="I33" s="459" t="s">
        <v>154</v>
      </c>
      <c r="J33" s="200">
        <v>21.6</v>
      </c>
      <c r="K33" s="199">
        <v>19.8</v>
      </c>
      <c r="L33" s="457">
        <f t="shared" ref="L33" si="23">SUM(K33,-J33)</f>
        <v>-1.8000000000000007</v>
      </c>
      <c r="M33" s="459" t="s">
        <v>154</v>
      </c>
      <c r="N33" s="200">
        <v>21.6</v>
      </c>
      <c r="O33" s="199">
        <v>18.5</v>
      </c>
      <c r="P33" s="457">
        <f t="shared" ref="P33" si="24">SUM(O33,-N33)</f>
        <v>-3.1000000000000014</v>
      </c>
      <c r="Q33" s="459" t="s">
        <v>146</v>
      </c>
      <c r="R33" s="200">
        <v>21.6</v>
      </c>
      <c r="S33" s="199">
        <v>33</v>
      </c>
      <c r="T33" s="457">
        <f t="shared" ref="T33" si="25">SUM(S33,-R33)</f>
        <v>11.399999999999999</v>
      </c>
      <c r="U33" s="459" t="s">
        <v>148</v>
      </c>
      <c r="V33" s="200">
        <v>21.6</v>
      </c>
      <c r="W33" s="199">
        <v>30.3</v>
      </c>
      <c r="X33" s="287">
        <f t="shared" ref="X33" si="26">SUM(W33,-V33)</f>
        <v>8.6999999999999993</v>
      </c>
      <c r="Y33" s="288" t="s">
        <v>148</v>
      </c>
    </row>
    <row r="34" spans="2:25" ht="16">
      <c r="B34" s="281"/>
      <c r="C34" s="506"/>
      <c r="D34" s="467"/>
      <c r="E34" s="463" t="s">
        <v>104</v>
      </c>
      <c r="F34" s="198">
        <v>0.18</v>
      </c>
      <c r="G34" s="197">
        <v>0.18</v>
      </c>
      <c r="H34" s="458"/>
      <c r="I34" s="460"/>
      <c r="J34" s="198">
        <v>0.18</v>
      </c>
      <c r="K34" s="230">
        <v>17</v>
      </c>
      <c r="L34" s="458"/>
      <c r="M34" s="460"/>
      <c r="N34" s="198">
        <v>0.18</v>
      </c>
      <c r="O34" s="230">
        <v>0.16</v>
      </c>
      <c r="P34" s="458"/>
      <c r="Q34" s="460"/>
      <c r="R34" s="198">
        <v>0.18</v>
      </c>
      <c r="S34" s="230">
        <v>28</v>
      </c>
      <c r="T34" s="458"/>
      <c r="U34" s="460"/>
      <c r="V34" s="198">
        <v>0.18</v>
      </c>
      <c r="W34" s="230">
        <v>26</v>
      </c>
      <c r="X34" s="290"/>
      <c r="Y34" s="291"/>
    </row>
    <row r="35" spans="2:25" ht="13.5" customHeight="1">
      <c r="B35" s="281"/>
      <c r="C35" s="506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2:25" ht="16">
      <c r="B36" s="281"/>
      <c r="C36" s="506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2:25" ht="16">
      <c r="B37" s="281"/>
      <c r="C37" s="506"/>
      <c r="D37" s="467"/>
      <c r="E37" s="190" t="s">
        <v>103</v>
      </c>
      <c r="F37" s="166">
        <v>10</v>
      </c>
      <c r="G37" s="165">
        <v>1.9</v>
      </c>
      <c r="H37" s="164">
        <v>-8.8000000000000007</v>
      </c>
      <c r="I37" s="189" t="s">
        <v>147</v>
      </c>
      <c r="J37" s="166">
        <v>10</v>
      </c>
      <c r="K37" s="165">
        <v>1.9</v>
      </c>
      <c r="L37" s="164">
        <f t="shared" ref="L37" si="27">SUM(K37,-J37)</f>
        <v>-8.1</v>
      </c>
      <c r="M37" s="189" t="s">
        <v>147</v>
      </c>
      <c r="N37" s="166">
        <v>10</v>
      </c>
      <c r="O37" s="165">
        <v>1.9</v>
      </c>
      <c r="P37" s="164">
        <f t="shared" ref="P37" si="28">SUM(O37,-N37)</f>
        <v>-8.1</v>
      </c>
      <c r="Q37" s="189" t="s">
        <v>147</v>
      </c>
      <c r="R37" s="166">
        <v>10</v>
      </c>
      <c r="S37" s="165">
        <v>1.9</v>
      </c>
      <c r="T37" s="164">
        <f t="shared" ref="T37" si="29">SUM(S37,-R37)</f>
        <v>-8.1</v>
      </c>
      <c r="U37" s="189" t="s">
        <v>147</v>
      </c>
      <c r="V37" s="166">
        <v>10</v>
      </c>
      <c r="W37" s="165">
        <v>1.9999999999999987</v>
      </c>
      <c r="X37" s="164">
        <f t="shared" ref="X37" si="30">SUM(W37,-V37)</f>
        <v>-8.0000000000000018</v>
      </c>
      <c r="Y37" s="26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129.79999999999998</v>
      </c>
      <c r="G38" s="187">
        <v>136.99999999999997</v>
      </c>
      <c r="H38" s="187">
        <v>7.1999999999999993</v>
      </c>
      <c r="I38" s="186"/>
      <c r="J38" s="188">
        <f t="shared" ref="J38" si="31">SUM(J29,J31,J33,J37)</f>
        <v>107.9</v>
      </c>
      <c r="K38" s="187">
        <f t="shared" ref="K38" si="32">SUM(K29:K33,K37)</f>
        <v>97.3</v>
      </c>
      <c r="L38" s="187">
        <f t="shared" ref="L38" si="33">SUM(L29:L34,L37)</f>
        <v>-10.6</v>
      </c>
      <c r="M38" s="186"/>
      <c r="N38" s="188">
        <f>SUM(N29,N31,N33,N37)</f>
        <v>107.9</v>
      </c>
      <c r="O38" s="187">
        <f>SUM(O29:O33,O37)</f>
        <v>96</v>
      </c>
      <c r="P38" s="187">
        <f>SUM(P29:P34,P37)</f>
        <v>-11.9</v>
      </c>
      <c r="Q38" s="186"/>
      <c r="R38" s="188">
        <f>SUM(R29,R31,R33,R37)</f>
        <v>107.9</v>
      </c>
      <c r="S38" s="187">
        <f>SUM(S29:S33,S37)</f>
        <v>99.600000000000009</v>
      </c>
      <c r="T38" s="187">
        <f>SUM(T29:T34,T37)</f>
        <v>-8.2999999999999989</v>
      </c>
      <c r="U38" s="186"/>
      <c r="V38" s="188">
        <f>SUM(V29,V31,V33,V37)</f>
        <v>86</v>
      </c>
      <c r="W38" s="187">
        <f>SUM(W29:W33,W37)</f>
        <v>86.7</v>
      </c>
      <c r="X38" s="187">
        <f>SUM(X29:X34,X37)</f>
        <v>0.69999999999999751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292"/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2:25" ht="16.5" customHeight="1">
      <c r="B42" s="281"/>
      <c r="C42" s="500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 t="shared" ref="L42" si="34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2:25" ht="16.5" thickBot="1">
      <c r="B43" s="281"/>
      <c r="C43" s="475"/>
      <c r="D43" s="475"/>
      <c r="E43" s="477"/>
      <c r="F43" s="183">
        <v>191</v>
      </c>
      <c r="G43" s="479"/>
      <c r="H43" s="509"/>
      <c r="I43" s="481"/>
      <c r="J43" s="183">
        <v>191</v>
      </c>
      <c r="K43" s="479"/>
      <c r="L43" s="480"/>
      <c r="M43" s="481"/>
      <c r="N43" s="183">
        <v>229</v>
      </c>
      <c r="O43" s="479"/>
      <c r="P43" s="480"/>
      <c r="Q43" s="481"/>
      <c r="R43" s="183">
        <v>229</v>
      </c>
      <c r="S43" s="479"/>
      <c r="T43" s="480"/>
      <c r="U43" s="481"/>
      <c r="V43" s="183">
        <v>214.5</v>
      </c>
      <c r="W43" s="510"/>
      <c r="X43" s="511"/>
      <c r="Y43" s="512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292"/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2:25" ht="16">
      <c r="B47" s="281"/>
      <c r="C47" s="500"/>
      <c r="D47" s="483"/>
      <c r="E47" s="488" t="s">
        <v>91</v>
      </c>
      <c r="F47" s="178">
        <v>45.783999999999999</v>
      </c>
      <c r="G47" s="478">
        <v>43.8</v>
      </c>
      <c r="H47" s="457">
        <f t="shared" ref="H47" si="35">SUM(G47,-F47)</f>
        <v>-1.9840000000000018</v>
      </c>
      <c r="I47" s="459" t="s">
        <v>146</v>
      </c>
      <c r="J47" s="178">
        <v>40.558999999999997</v>
      </c>
      <c r="K47" s="478">
        <v>41.9</v>
      </c>
      <c r="L47" s="457">
        <f t="shared" ref="L47" si="36">SUM(K47,-J47)</f>
        <v>1.3410000000000011</v>
      </c>
      <c r="M47" s="459" t="s">
        <v>149</v>
      </c>
      <c r="N47" s="178">
        <v>40.558999999999997</v>
      </c>
      <c r="O47" s="478">
        <v>44.1</v>
      </c>
      <c r="P47" s="457">
        <f>SUM(O47,-N47)</f>
        <v>3.5410000000000039</v>
      </c>
      <c r="Q47" s="459" t="s">
        <v>149</v>
      </c>
      <c r="R47" s="178">
        <v>40.558999999999997</v>
      </c>
      <c r="S47" s="478">
        <v>44.1</v>
      </c>
      <c r="T47" s="457">
        <f>SUM(S47,-R47)</f>
        <v>3.5410000000000039</v>
      </c>
      <c r="U47" s="459" t="s">
        <v>149</v>
      </c>
      <c r="V47" s="178">
        <v>40.558999999999997</v>
      </c>
      <c r="W47" s="478">
        <v>44.1</v>
      </c>
      <c r="X47" s="457">
        <f>SUM(W47,-V47)</f>
        <v>3.5410000000000039</v>
      </c>
      <c r="Y47" s="461" t="s">
        <v>149</v>
      </c>
    </row>
    <row r="48" spans="2:25" ht="16.5" thickBot="1">
      <c r="B48" s="281"/>
      <c r="C48" s="447"/>
      <c r="D48" s="487"/>
      <c r="E48" s="489"/>
      <c r="F48" s="177">
        <v>0.5668090374497059</v>
      </c>
      <c r="G48" s="479"/>
      <c r="H48" s="480"/>
      <c r="I48" s="481"/>
      <c r="J48" s="177">
        <v>0.58887840290381122</v>
      </c>
      <c r="K48" s="479"/>
      <c r="L48" s="480"/>
      <c r="M48" s="481"/>
      <c r="N48" s="177">
        <v>0.58295364714337039</v>
      </c>
      <c r="O48" s="479"/>
      <c r="P48" s="480"/>
      <c r="Q48" s="481"/>
      <c r="R48" s="177">
        <v>0.58295364714337039</v>
      </c>
      <c r="S48" s="479"/>
      <c r="T48" s="480"/>
      <c r="U48" s="481"/>
      <c r="V48" s="177">
        <v>0.58295364714337039</v>
      </c>
      <c r="W48" s="510"/>
      <c r="X48" s="511"/>
      <c r="Y48" s="512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292"/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 t="shared" ref="L52" si="37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f>ROUND(([4]翌日!M15-'[4]電源Ⅲ (実績取り纏め)'!P69)/10,1)</f>
        <v>28.3</v>
      </c>
      <c r="H53" s="223" t="s">
        <v>81</v>
      </c>
      <c r="I53" s="222" t="s">
        <v>182</v>
      </c>
      <c r="J53" s="225">
        <v>0</v>
      </c>
      <c r="K53" s="229">
        <v>28.4</v>
      </c>
      <c r="L53" s="223" t="s">
        <v>159</v>
      </c>
      <c r="M53" s="222" t="s">
        <v>182</v>
      </c>
      <c r="N53" s="225">
        <v>0</v>
      </c>
      <c r="O53" s="229">
        <v>29</v>
      </c>
      <c r="P53" s="223" t="s">
        <v>159</v>
      </c>
      <c r="Q53" s="222" t="s">
        <v>182</v>
      </c>
      <c r="R53" s="225">
        <v>0</v>
      </c>
      <c r="S53" s="229">
        <v>28</v>
      </c>
      <c r="T53" s="223" t="s">
        <v>159</v>
      </c>
      <c r="U53" s="222" t="s">
        <v>182</v>
      </c>
      <c r="V53" s="225">
        <v>0</v>
      </c>
      <c r="W53" s="229">
        <v>28.4</v>
      </c>
      <c r="X53" s="223" t="s">
        <v>159</v>
      </c>
      <c r="Y53" s="274" t="s">
        <v>182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1"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X42:X43"/>
    <mergeCell ref="Y42:Y43"/>
    <mergeCell ref="C45:E45"/>
    <mergeCell ref="F45:I45"/>
    <mergeCell ref="J45:M45"/>
    <mergeCell ref="N45:Q45"/>
    <mergeCell ref="R45:U45"/>
    <mergeCell ref="P42:P43"/>
    <mergeCell ref="Q42:Q43"/>
    <mergeCell ref="S42:S43"/>
    <mergeCell ref="T42:T43"/>
    <mergeCell ref="U42:U43"/>
    <mergeCell ref="W42:W43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O29:O30"/>
    <mergeCell ref="P29:P30"/>
    <mergeCell ref="E34:E36"/>
    <mergeCell ref="D38:E38"/>
    <mergeCell ref="C40:E40"/>
    <mergeCell ref="F40:I40"/>
    <mergeCell ref="J40:M40"/>
    <mergeCell ref="N40:Q40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U33:U34"/>
    <mergeCell ref="M31:M32"/>
    <mergeCell ref="O31:O32"/>
    <mergeCell ref="P31:P32"/>
    <mergeCell ref="Q31:Q32"/>
    <mergeCell ref="S31:S32"/>
    <mergeCell ref="T31:T32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Q29:Q30"/>
    <mergeCell ref="S29:S30"/>
    <mergeCell ref="T29:T30"/>
    <mergeCell ref="U29:U30"/>
    <mergeCell ref="E31:E32"/>
    <mergeCell ref="G31:G32"/>
    <mergeCell ref="H31:H32"/>
    <mergeCell ref="I31:I32"/>
    <mergeCell ref="K31:K32"/>
    <mergeCell ref="L31:L32"/>
    <mergeCell ref="I29:I30"/>
    <mergeCell ref="K29:K30"/>
    <mergeCell ref="L29:L30"/>
    <mergeCell ref="M29:M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5539-A734-46F6-9AC2-09941C0FB65C}">
  <dimension ref="B1:O64"/>
  <sheetViews>
    <sheetView showGridLines="0" view="pageBreakPreview" topLeftCell="A23" zoomScale="85" zoomScaleNormal="70" zoomScaleSheetLayoutView="85" zoomScalePageLayoutView="55" workbookViewId="0">
      <selection activeCell="E63" sqref="E6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45778</v>
      </c>
      <c r="G3" s="96" t="s">
        <v>67</v>
      </c>
      <c r="H3" s="95">
        <v>45779</v>
      </c>
      <c r="I3" s="96" t="s">
        <v>67</v>
      </c>
      <c r="J3" s="25">
        <v>45780</v>
      </c>
      <c r="K3" s="96" t="s">
        <v>191</v>
      </c>
      <c r="L3" s="25">
        <v>45781</v>
      </c>
      <c r="M3" s="96" t="s">
        <v>215</v>
      </c>
      <c r="N3" s="25">
        <v>45782</v>
      </c>
      <c r="O3" s="96" t="s">
        <v>191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82.2</v>
      </c>
      <c r="G5" s="381" t="s">
        <v>45</v>
      </c>
      <c r="H5" s="9">
        <v>77.400000000000006</v>
      </c>
      <c r="I5" s="384" t="s">
        <v>65</v>
      </c>
      <c r="J5" s="9">
        <v>75.8</v>
      </c>
      <c r="K5" s="384" t="s">
        <v>45</v>
      </c>
      <c r="L5" s="9">
        <v>75.2</v>
      </c>
      <c r="M5" s="384" t="s">
        <v>65</v>
      </c>
      <c r="N5" s="9">
        <v>76.400000000000006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23.2</v>
      </c>
      <c r="G6" s="382"/>
      <c r="H6" s="10">
        <v>18.600000000000001</v>
      </c>
      <c r="I6" s="385"/>
      <c r="J6" s="10">
        <v>18.2</v>
      </c>
      <c r="K6" s="385"/>
      <c r="L6" s="10">
        <v>18</v>
      </c>
      <c r="M6" s="385"/>
      <c r="N6" s="10">
        <v>20.5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298.10000000000002</v>
      </c>
      <c r="G7" s="382"/>
      <c r="H7" s="28">
        <v>298.3</v>
      </c>
      <c r="I7" s="385"/>
      <c r="J7" s="28">
        <v>298.39999999999998</v>
      </c>
      <c r="K7" s="385"/>
      <c r="L7" s="28">
        <v>298.39999999999998</v>
      </c>
      <c r="M7" s="385"/>
      <c r="N7" s="28">
        <v>298.39999999999998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27.2</v>
      </c>
      <c r="G8" s="382"/>
      <c r="H8" s="29">
        <v>27.100000000000023</v>
      </c>
      <c r="I8" s="385"/>
      <c r="J8" s="29">
        <v>32</v>
      </c>
      <c r="K8" s="385"/>
      <c r="L8" s="29">
        <v>29.6</v>
      </c>
      <c r="M8" s="385"/>
      <c r="N8" s="29">
        <v>24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16.8</v>
      </c>
      <c r="G9" s="382"/>
      <c r="H9" s="30">
        <v>16.8</v>
      </c>
      <c r="I9" s="385"/>
      <c r="J9" s="30">
        <v>16.8</v>
      </c>
      <c r="K9" s="385"/>
      <c r="L9" s="30">
        <v>16.8</v>
      </c>
      <c r="M9" s="385"/>
      <c r="N9" s="30">
        <v>16.8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41.3</v>
      </c>
      <c r="G10" s="382"/>
      <c r="H10" s="11">
        <v>30.8</v>
      </c>
      <c r="I10" s="385"/>
      <c r="J10" s="11">
        <v>33.4</v>
      </c>
      <c r="K10" s="385"/>
      <c r="L10" s="11">
        <v>33.299999999999997</v>
      </c>
      <c r="M10" s="385"/>
      <c r="N10" s="11">
        <v>33.4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30.6</v>
      </c>
      <c r="G11" s="382"/>
      <c r="H11" s="12">
        <v>29.4</v>
      </c>
      <c r="I11" s="385"/>
      <c r="J11" s="12">
        <v>30.2</v>
      </c>
      <c r="K11" s="385"/>
      <c r="L11" s="12">
        <v>30.6</v>
      </c>
      <c r="M11" s="385"/>
      <c r="N11" s="12">
        <v>30.5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490</v>
      </c>
      <c r="G12" s="382"/>
      <c r="H12" s="13">
        <v>961</v>
      </c>
      <c r="I12" s="385"/>
      <c r="J12" s="13">
        <v>940.9</v>
      </c>
      <c r="K12" s="385"/>
      <c r="L12" s="13">
        <v>965.5</v>
      </c>
      <c r="M12" s="385"/>
      <c r="N12" s="13">
        <v>624.6</v>
      </c>
      <c r="O12" s="385"/>
    </row>
    <row r="13" spans="2:15" ht="16">
      <c r="B13" s="376"/>
      <c r="C13" s="379"/>
      <c r="D13" s="388"/>
      <c r="E13" s="45" t="s">
        <v>27</v>
      </c>
      <c r="F13" s="106">
        <v>21.1</v>
      </c>
      <c r="G13" s="382"/>
      <c r="H13" s="13">
        <v>21.8</v>
      </c>
      <c r="I13" s="385"/>
      <c r="J13" s="13">
        <v>18.600000000000001</v>
      </c>
      <c r="K13" s="385"/>
      <c r="L13" s="13">
        <v>11.8</v>
      </c>
      <c r="M13" s="385"/>
      <c r="N13" s="13">
        <v>11.6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308</v>
      </c>
      <c r="G14" s="382"/>
      <c r="H14" s="14">
        <v>61.8</v>
      </c>
      <c r="I14" s="385"/>
      <c r="J14" s="14">
        <v>69</v>
      </c>
      <c r="K14" s="385"/>
      <c r="L14" s="14">
        <v>61.5</v>
      </c>
      <c r="M14" s="385"/>
      <c r="N14" s="14">
        <v>308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1338.5</v>
      </c>
      <c r="G15" s="382"/>
      <c r="H15" s="15">
        <v>1543</v>
      </c>
      <c r="I15" s="385"/>
      <c r="J15" s="15">
        <v>1533.2999999999997</v>
      </c>
      <c r="K15" s="385"/>
      <c r="L15" s="15">
        <v>1540.7</v>
      </c>
      <c r="M15" s="385"/>
      <c r="N15" s="15">
        <v>1444.1999999999998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795</v>
      </c>
      <c r="G16" s="382"/>
      <c r="H16" s="8">
        <v>785</v>
      </c>
      <c r="I16" s="385"/>
      <c r="J16" s="8">
        <v>705</v>
      </c>
      <c r="K16" s="385"/>
      <c r="L16" s="8">
        <v>675</v>
      </c>
      <c r="M16" s="385"/>
      <c r="N16" s="8">
        <v>735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-227.1</v>
      </c>
      <c r="G17" s="382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-4.5</v>
      </c>
      <c r="G18" s="382"/>
      <c r="H18" s="17">
        <v>-4.5</v>
      </c>
      <c r="I18" s="385"/>
      <c r="J18" s="17">
        <v>-4.4000000000000004</v>
      </c>
      <c r="K18" s="385"/>
      <c r="L18" s="17">
        <v>-4.4000000000000004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-146.1</v>
      </c>
      <c r="G19" s="382"/>
      <c r="H19" s="18">
        <v>-141.5</v>
      </c>
      <c r="I19" s="385"/>
      <c r="J19" s="18">
        <v>-139.1</v>
      </c>
      <c r="K19" s="385"/>
      <c r="L19" s="18">
        <v>-140.1</v>
      </c>
      <c r="M19" s="385"/>
      <c r="N19" s="18">
        <v>-150.19999999999999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81.099999999999994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35.4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1091.5999999999999</v>
      </c>
      <c r="G21" s="383"/>
      <c r="H21" s="27">
        <v>1158.0999999999999</v>
      </c>
      <c r="I21" s="386"/>
      <c r="J21" s="27">
        <v>1075.5999999999999</v>
      </c>
      <c r="K21" s="386"/>
      <c r="L21" s="27">
        <v>1046.5999999999999</v>
      </c>
      <c r="M21" s="386"/>
      <c r="N21" s="27">
        <v>1081.3999999999999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1338.5</v>
      </c>
      <c r="G23" s="414"/>
      <c r="H23" s="20">
        <v>1543</v>
      </c>
      <c r="I23" s="400"/>
      <c r="J23" s="20">
        <v>1533.2999999999997</v>
      </c>
      <c r="K23" s="400"/>
      <c r="L23" s="20">
        <v>1540.7</v>
      </c>
      <c r="M23" s="400"/>
      <c r="N23" s="20">
        <v>1444.1999999999998</v>
      </c>
      <c r="O23" s="400"/>
    </row>
    <row r="24" spans="2:15" ht="16">
      <c r="B24" s="409"/>
      <c r="C24" s="403" t="s">
        <v>37</v>
      </c>
      <c r="D24" s="404"/>
      <c r="E24" s="405"/>
      <c r="F24" s="21">
        <v>1091.5999999999999</v>
      </c>
      <c r="G24" s="415"/>
      <c r="H24" s="21">
        <v>1158.0999999999999</v>
      </c>
      <c r="I24" s="401"/>
      <c r="J24" s="21">
        <v>1075.5999999999999</v>
      </c>
      <c r="K24" s="401"/>
      <c r="L24" s="21">
        <v>1046.5999999999999</v>
      </c>
      <c r="M24" s="401"/>
      <c r="N24" s="21">
        <v>1081.3999999999999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246.90000000000009</v>
      </c>
      <c r="G25" s="416"/>
      <c r="H25" s="67">
        <v>384.90000000000009</v>
      </c>
      <c r="I25" s="402"/>
      <c r="J25" s="67">
        <v>457.69999999999982</v>
      </c>
      <c r="K25" s="402"/>
      <c r="L25" s="67">
        <v>494.10000000000014</v>
      </c>
      <c r="M25" s="402"/>
      <c r="N25" s="67">
        <v>362.79999999999995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5B16-0220-49C4-A10E-97613C0E1CEC}">
  <sheetPr>
    <pageSetUpPr fitToPage="1"/>
  </sheetPr>
  <dimension ref="A1:Y57"/>
  <sheetViews>
    <sheetView showGridLines="0" view="pageBreakPreview" zoomScale="70" zoomScaleNormal="8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0" t="s">
        <v>143</v>
      </c>
      <c r="U2" s="1"/>
      <c r="Y2" s="1"/>
    </row>
    <row r="3" spans="3:25" ht="16.5" thickBot="1">
      <c r="C3" s="514" t="s">
        <v>142</v>
      </c>
      <c r="D3" s="430"/>
      <c r="E3" s="431"/>
      <c r="F3" s="515">
        <v>45745</v>
      </c>
      <c r="G3" s="516"/>
      <c r="H3" s="516"/>
      <c r="I3" s="517"/>
      <c r="J3" s="515">
        <v>45746</v>
      </c>
      <c r="K3" s="516"/>
      <c r="L3" s="516"/>
      <c r="M3" s="516"/>
      <c r="N3" s="515">
        <v>45747</v>
      </c>
      <c r="O3" s="516"/>
      <c r="P3" s="516"/>
      <c r="Q3" s="567"/>
      <c r="U3" s="1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295" t="s">
        <v>166</v>
      </c>
      <c r="N4" s="296" t="s">
        <v>178</v>
      </c>
      <c r="O4" s="181" t="s">
        <v>162</v>
      </c>
      <c r="P4" s="180" t="s">
        <v>161</v>
      </c>
      <c r="Q4" s="262" t="s">
        <v>166</v>
      </c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28.1</v>
      </c>
      <c r="G5" s="165">
        <v>28.1</v>
      </c>
      <c r="H5" s="164">
        <f t="shared" ref="H5:H8" si="0">SUM(G5,-F5)</f>
        <v>0</v>
      </c>
      <c r="I5" s="219"/>
      <c r="J5" s="166">
        <v>32.700000000000003</v>
      </c>
      <c r="K5" s="165">
        <v>32.700000000000003</v>
      </c>
      <c r="L5" s="164">
        <f t="shared" ref="L5:L8" si="1">SUM(K5,-J5)</f>
        <v>0</v>
      </c>
      <c r="M5" s="297"/>
      <c r="N5" s="298">
        <v>32.700000000000003</v>
      </c>
      <c r="O5" s="165">
        <v>32.700000000000003</v>
      </c>
      <c r="P5" s="164">
        <f>SUM(O5,-N5)</f>
        <v>0</v>
      </c>
      <c r="Q5" s="263"/>
      <c r="U5" s="1"/>
      <c r="Y5" s="1"/>
    </row>
    <row r="6" spans="3:25" ht="16">
      <c r="C6" s="519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97"/>
      <c r="N6" s="298">
        <v>8.8000000000000007</v>
      </c>
      <c r="O6" s="165">
        <v>8.8000000000000007</v>
      </c>
      <c r="P6" s="164">
        <f>SUM(O6,-N6)</f>
        <v>0</v>
      </c>
      <c r="Q6" s="263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97"/>
      <c r="N7" s="298">
        <v>0</v>
      </c>
      <c r="O7" s="165">
        <v>0</v>
      </c>
      <c r="P7" s="164">
        <f t="shared" ref="P7" si="2">SUM(O7,-N7)</f>
        <v>0</v>
      </c>
      <c r="Q7" s="263"/>
      <c r="U7" s="1"/>
      <c r="Y7" s="1"/>
    </row>
    <row r="8" spans="3:25" ht="16">
      <c r="C8" s="520"/>
      <c r="D8" s="426"/>
      <c r="E8" s="218" t="s">
        <v>133</v>
      </c>
      <c r="F8" s="217">
        <v>54.1</v>
      </c>
      <c r="G8" s="216">
        <v>54.1</v>
      </c>
      <c r="H8" s="215">
        <f t="shared" si="0"/>
        <v>0</v>
      </c>
      <c r="I8" s="214"/>
      <c r="J8" s="217">
        <v>56.5</v>
      </c>
      <c r="K8" s="216">
        <v>56.5</v>
      </c>
      <c r="L8" s="215">
        <f t="shared" si="1"/>
        <v>0</v>
      </c>
      <c r="M8" s="299"/>
      <c r="N8" s="300">
        <v>56.5</v>
      </c>
      <c r="O8" s="216">
        <v>56.5</v>
      </c>
      <c r="P8" s="215">
        <f>SUM(O8,-N8)</f>
        <v>0</v>
      </c>
      <c r="Q8" s="267"/>
      <c r="U8" s="1"/>
      <c r="Y8" s="1"/>
    </row>
    <row r="9" spans="3:25" ht="16.5" thickBot="1">
      <c r="C9" s="521"/>
      <c r="D9" s="427" t="s">
        <v>101</v>
      </c>
      <c r="E9" s="428"/>
      <c r="F9" s="188">
        <f t="shared" ref="F9:H9" si="3">SUM(F5:F8)</f>
        <v>91</v>
      </c>
      <c r="G9" s="187">
        <f t="shared" si="3"/>
        <v>91</v>
      </c>
      <c r="H9" s="187">
        <f t="shared" si="3"/>
        <v>0</v>
      </c>
      <c r="I9" s="213" t="s">
        <v>159</v>
      </c>
      <c r="J9" s="188">
        <f>SUM(J5:J8)</f>
        <v>98</v>
      </c>
      <c r="K9" s="187">
        <f>SUM(K5:K8)</f>
        <v>98</v>
      </c>
      <c r="L9" s="187">
        <f t="shared" ref="L9" si="4">SUM(L5:L8)</f>
        <v>0</v>
      </c>
      <c r="M9" s="301" t="s">
        <v>159</v>
      </c>
      <c r="N9" s="302">
        <f>SUM(N5:N8)</f>
        <v>98</v>
      </c>
      <c r="O9" s="187">
        <f>SUM(O5:O8)</f>
        <v>98</v>
      </c>
      <c r="P9" s="187">
        <f>SUM(P5:P8)</f>
        <v>0</v>
      </c>
      <c r="Q9" s="265" t="s">
        <v>159</v>
      </c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6"/>
      <c r="O10" s="174"/>
      <c r="P10" s="174"/>
      <c r="Q10" s="266"/>
      <c r="U10" s="1"/>
      <c r="Y10" s="1"/>
    </row>
    <row r="11" spans="3:25" ht="16.5" thickBot="1">
      <c r="C11" s="514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3"/>
      <c r="N11" s="432"/>
      <c r="O11" s="433"/>
      <c r="P11" s="433"/>
      <c r="Q11" s="438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295" t="s">
        <v>166</v>
      </c>
      <c r="N12" s="296" t="s">
        <v>176</v>
      </c>
      <c r="O12" s="181" t="s">
        <v>162</v>
      </c>
      <c r="P12" s="180" t="s">
        <v>161</v>
      </c>
      <c r="Q12" s="262" t="s">
        <v>166</v>
      </c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5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6">SUM(K13,-J13)</f>
        <v>26.1</v>
      </c>
      <c r="M13" s="303" t="s">
        <v>145</v>
      </c>
      <c r="N13" s="298">
        <v>-26.1</v>
      </c>
      <c r="O13" s="165">
        <v>0</v>
      </c>
      <c r="P13" s="164">
        <f>SUM(O13,-N13)</f>
        <v>26.1</v>
      </c>
      <c r="Q13" s="267" t="s">
        <v>149</v>
      </c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f t="shared" si="5"/>
        <v>0</v>
      </c>
      <c r="I14" s="232"/>
      <c r="J14" s="166">
        <v>-26.1</v>
      </c>
      <c r="K14" s="165">
        <v>-26.1</v>
      </c>
      <c r="L14" s="164">
        <f t="shared" si="6"/>
        <v>0</v>
      </c>
      <c r="M14" s="303"/>
      <c r="N14" s="298">
        <v>-26.1</v>
      </c>
      <c r="O14" s="165">
        <v>-26.1</v>
      </c>
      <c r="P14" s="164">
        <f t="shared" ref="P14:P20" si="7">SUM(O14,-N14)</f>
        <v>0</v>
      </c>
      <c r="Q14" s="267"/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231"/>
      <c r="J15" s="166">
        <v>-32.5</v>
      </c>
      <c r="K15" s="165">
        <v>-32.5</v>
      </c>
      <c r="L15" s="164">
        <f t="shared" si="6"/>
        <v>0</v>
      </c>
      <c r="M15" s="303"/>
      <c r="N15" s="298">
        <v>-32.5</v>
      </c>
      <c r="O15" s="165">
        <v>-32.5</v>
      </c>
      <c r="P15" s="164">
        <f t="shared" si="7"/>
        <v>0</v>
      </c>
      <c r="Q15" s="267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0</v>
      </c>
      <c r="H16" s="164">
        <f t="shared" si="5"/>
        <v>32.5</v>
      </c>
      <c r="I16" s="189" t="s">
        <v>145</v>
      </c>
      <c r="J16" s="166">
        <v>-32.5</v>
      </c>
      <c r="K16" s="165">
        <v>0</v>
      </c>
      <c r="L16" s="164">
        <f t="shared" si="6"/>
        <v>32.5</v>
      </c>
      <c r="M16" s="189" t="s">
        <v>145</v>
      </c>
      <c r="N16" s="298">
        <v>-32.5</v>
      </c>
      <c r="O16" s="165">
        <v>0</v>
      </c>
      <c r="P16" s="164">
        <f t="shared" si="7"/>
        <v>32.5</v>
      </c>
      <c r="Q16" s="267" t="s">
        <v>145</v>
      </c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32"/>
      <c r="J17" s="166">
        <v>-34</v>
      </c>
      <c r="K17" s="165">
        <v>-34</v>
      </c>
      <c r="L17" s="164">
        <f t="shared" si="6"/>
        <v>0</v>
      </c>
      <c r="M17" s="304"/>
      <c r="N17" s="298">
        <v>-34</v>
      </c>
      <c r="O17" s="165">
        <v>-34</v>
      </c>
      <c r="P17" s="164">
        <f t="shared" si="7"/>
        <v>0</v>
      </c>
      <c r="Q17" s="267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232"/>
      <c r="J18" s="166">
        <v>-34</v>
      </c>
      <c r="K18" s="165">
        <v>-34</v>
      </c>
      <c r="L18" s="164">
        <f t="shared" si="6"/>
        <v>0</v>
      </c>
      <c r="M18" s="303"/>
      <c r="N18" s="298">
        <v>-34</v>
      </c>
      <c r="O18" s="165">
        <v>-34</v>
      </c>
      <c r="P18" s="164">
        <f t="shared" si="7"/>
        <v>0</v>
      </c>
      <c r="Q18" s="267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231"/>
      <c r="J19" s="166">
        <v>-34</v>
      </c>
      <c r="K19" s="165">
        <v>-34</v>
      </c>
      <c r="L19" s="164">
        <f t="shared" si="6"/>
        <v>0</v>
      </c>
      <c r="M19" s="303"/>
      <c r="N19" s="298">
        <v>-34</v>
      </c>
      <c r="O19" s="165">
        <v>-34</v>
      </c>
      <c r="P19" s="164">
        <f t="shared" si="7"/>
        <v>0</v>
      </c>
      <c r="Q19" s="267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f t="shared" si="5"/>
        <v>0</v>
      </c>
      <c r="I20" s="231"/>
      <c r="J20" s="166">
        <v>-34</v>
      </c>
      <c r="K20" s="165">
        <v>-34</v>
      </c>
      <c r="L20" s="164">
        <f t="shared" si="6"/>
        <v>0</v>
      </c>
      <c r="M20" s="303"/>
      <c r="N20" s="298">
        <v>-34</v>
      </c>
      <c r="O20" s="165">
        <v>-34</v>
      </c>
      <c r="P20" s="164">
        <f t="shared" si="7"/>
        <v>0</v>
      </c>
      <c r="Q20" s="267"/>
      <c r="U20" s="1"/>
      <c r="Y20" s="1"/>
    </row>
    <row r="21" spans="3:25" ht="16.5" thickBot="1">
      <c r="C21" s="524"/>
      <c r="D21" s="427" t="s">
        <v>101</v>
      </c>
      <c r="E21" s="428"/>
      <c r="F21" s="188">
        <f t="shared" ref="F21:K21" si="8">SUM(F13:F20)</f>
        <v>-253.2</v>
      </c>
      <c r="G21" s="187">
        <f t="shared" si="8"/>
        <v>-194.6</v>
      </c>
      <c r="H21" s="187">
        <f t="shared" si="8"/>
        <v>58.6</v>
      </c>
      <c r="I21" s="186" t="s">
        <v>159</v>
      </c>
      <c r="J21" s="188">
        <f t="shared" si="8"/>
        <v>-253.2</v>
      </c>
      <c r="K21" s="187">
        <f t="shared" si="8"/>
        <v>-194.6</v>
      </c>
      <c r="L21" s="187">
        <f t="shared" ref="L21" si="9">SUM(L13:L20)</f>
        <v>58.6</v>
      </c>
      <c r="M21" s="305" t="s">
        <v>159</v>
      </c>
      <c r="N21" s="302">
        <f>SUM(N13:N20)</f>
        <v>-253.2</v>
      </c>
      <c r="O21" s="187">
        <f>SUM(O13:O20)</f>
        <v>-194.6</v>
      </c>
      <c r="P21" s="187">
        <f>SUM(P13:P20)</f>
        <v>58.6</v>
      </c>
      <c r="Q21" s="268" t="s">
        <v>159</v>
      </c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6"/>
      <c r="O22" s="174"/>
      <c r="P22" s="174"/>
      <c r="Q22" s="266"/>
      <c r="U22" s="1"/>
      <c r="Y22" s="1"/>
    </row>
    <row r="23" spans="3:25" ht="16.5" thickBot="1">
      <c r="C23" s="514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3"/>
      <c r="N23" s="432"/>
      <c r="O23" s="433"/>
      <c r="P23" s="433"/>
      <c r="Q23" s="438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295" t="s">
        <v>166</v>
      </c>
      <c r="N24" s="296" t="s">
        <v>174</v>
      </c>
      <c r="O24" s="181" t="s">
        <v>162</v>
      </c>
      <c r="P24" s="180" t="s">
        <v>161</v>
      </c>
      <c r="Q24" s="262" t="s">
        <v>166</v>
      </c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-4.5</v>
      </c>
      <c r="H25" s="164">
        <f t="shared" ref="H25" si="10">SUM(G25,-F25)</f>
        <v>0.5</v>
      </c>
      <c r="I25" s="232" t="s">
        <v>150</v>
      </c>
      <c r="J25" s="209">
        <v>-5</v>
      </c>
      <c r="K25" s="208">
        <v>-4.5</v>
      </c>
      <c r="L25" s="164">
        <f t="shared" ref="L25" si="11">SUM(K25,-J25)</f>
        <v>0.5</v>
      </c>
      <c r="M25" s="232" t="s">
        <v>150</v>
      </c>
      <c r="N25" s="306">
        <v>-5</v>
      </c>
      <c r="O25" s="208">
        <v>-4.5</v>
      </c>
      <c r="P25" s="164">
        <f t="shared" ref="P25" si="12">SUM(O25,-N25)</f>
        <v>0.5</v>
      </c>
      <c r="Q25" s="285" t="s">
        <v>150</v>
      </c>
      <c r="U25" s="1"/>
      <c r="Y25" s="1"/>
    </row>
    <row r="26" spans="3:25" ht="15.65" customHeight="1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6"/>
      <c r="O26" s="174"/>
      <c r="P26" s="174"/>
      <c r="Q26" s="266"/>
      <c r="U26" s="1"/>
      <c r="Y26" s="1"/>
    </row>
    <row r="27" spans="3:25" ht="16.5" thickBot="1">
      <c r="C27" s="514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3"/>
      <c r="N27" s="432"/>
      <c r="O27" s="433"/>
      <c r="P27" s="433"/>
      <c r="Q27" s="438"/>
      <c r="U27" s="1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295" t="s">
        <v>166</v>
      </c>
      <c r="N28" s="307" t="s">
        <v>172</v>
      </c>
      <c r="O28" s="181" t="s">
        <v>162</v>
      </c>
      <c r="P28" s="180" t="s">
        <v>161</v>
      </c>
      <c r="Q28" s="262" t="s">
        <v>166</v>
      </c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3">SUM(G29,-F29)</f>
        <v>0</v>
      </c>
      <c r="I29" s="459"/>
      <c r="J29" s="200">
        <v>0</v>
      </c>
      <c r="K29" s="455">
        <v>0</v>
      </c>
      <c r="L29" s="457">
        <f t="shared" ref="L29" si="14">SUM(K29,-J29)</f>
        <v>0</v>
      </c>
      <c r="M29" s="568"/>
      <c r="N29" s="200">
        <v>0</v>
      </c>
      <c r="O29" s="455">
        <v>0</v>
      </c>
      <c r="P29" s="457">
        <f>SUM(O29,-N29)</f>
        <v>0</v>
      </c>
      <c r="Q29" s="461"/>
      <c r="U29" s="1"/>
      <c r="Y29" s="1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569"/>
      <c r="N30" s="202">
        <v>0</v>
      </c>
      <c r="O30" s="456">
        <v>0</v>
      </c>
      <c r="P30" s="458"/>
      <c r="Q30" s="462"/>
      <c r="U30" s="1"/>
      <c r="Y30" s="1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f t="shared" ref="H31" si="15">SUM(G31,-F31)</f>
        <v>0</v>
      </c>
      <c r="I31" s="459"/>
      <c r="J31" s="200">
        <v>54.4</v>
      </c>
      <c r="K31" s="455">
        <v>54.4</v>
      </c>
      <c r="L31" s="457">
        <f t="shared" ref="L31" si="16">SUM(K31,-J31)</f>
        <v>0</v>
      </c>
      <c r="M31" s="568"/>
      <c r="N31" s="200">
        <v>54.4</v>
      </c>
      <c r="O31" s="455">
        <v>54.4</v>
      </c>
      <c r="P31" s="457">
        <f t="shared" ref="P31" si="17">SUM(O31,-N31)</f>
        <v>0</v>
      </c>
      <c r="Q31" s="461"/>
      <c r="U31" s="1"/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569"/>
      <c r="N32" s="202">
        <v>0.28999999999999998</v>
      </c>
      <c r="O32" s="456">
        <v>0</v>
      </c>
      <c r="P32" s="458"/>
      <c r="Q32" s="462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21.6</v>
      </c>
      <c r="G33" s="199">
        <v>31.2</v>
      </c>
      <c r="H33" s="457">
        <f t="shared" ref="H33" si="18">SUM(G33,-F33)</f>
        <v>9.5999999999999979</v>
      </c>
      <c r="I33" s="459" t="s">
        <v>148</v>
      </c>
      <c r="J33" s="200">
        <v>21.6</v>
      </c>
      <c r="K33" s="199">
        <v>31.4</v>
      </c>
      <c r="L33" s="457">
        <f t="shared" ref="L33" si="19">SUM(K33,-J33)</f>
        <v>9.7999999999999972</v>
      </c>
      <c r="M33" s="568" t="s">
        <v>184</v>
      </c>
      <c r="N33" s="200">
        <v>21.6</v>
      </c>
      <c r="O33" s="199">
        <v>31.4</v>
      </c>
      <c r="P33" s="457">
        <f t="shared" ref="P33" si="20">SUM(O33,-N33)</f>
        <v>9.7999999999999972</v>
      </c>
      <c r="Q33" s="461" t="s">
        <v>184</v>
      </c>
      <c r="U33" s="1"/>
      <c r="Y33" s="1"/>
    </row>
    <row r="34" spans="3:25" ht="16">
      <c r="C34" s="528"/>
      <c r="D34" s="467"/>
      <c r="E34" s="463" t="s">
        <v>104</v>
      </c>
      <c r="F34" s="198">
        <v>0.18</v>
      </c>
      <c r="G34" s="230">
        <v>26</v>
      </c>
      <c r="H34" s="458"/>
      <c r="I34" s="460"/>
      <c r="J34" s="198">
        <v>0.18</v>
      </c>
      <c r="K34" s="230">
        <v>27</v>
      </c>
      <c r="L34" s="458"/>
      <c r="M34" s="569"/>
      <c r="N34" s="198">
        <v>0.18</v>
      </c>
      <c r="O34" s="230">
        <v>27</v>
      </c>
      <c r="P34" s="458"/>
      <c r="Q34" s="462"/>
      <c r="U34" s="1"/>
      <c r="Y34" s="1"/>
    </row>
    <row r="35" spans="3:25" ht="13.5" customHeight="1">
      <c r="C35" s="528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308"/>
      <c r="N35" s="196">
        <v>43.6</v>
      </c>
      <c r="O35" s="195"/>
      <c r="P35" s="195"/>
      <c r="Q35" s="270"/>
      <c r="U35" s="1"/>
      <c r="Y35" s="1"/>
    </row>
    <row r="36" spans="3:25" ht="16">
      <c r="C36" s="528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309"/>
      <c r="N36" s="193">
        <v>0.24</v>
      </c>
      <c r="O36" s="192"/>
      <c r="P36" s="192"/>
      <c r="Q36" s="271"/>
      <c r="U36" s="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2</v>
      </c>
      <c r="H37" s="164">
        <f t="shared" ref="H37" si="21">SUM(G37,-F37)</f>
        <v>-8</v>
      </c>
      <c r="I37" s="189" t="s">
        <v>147</v>
      </c>
      <c r="J37" s="166">
        <v>10</v>
      </c>
      <c r="K37" s="165">
        <v>2.1</v>
      </c>
      <c r="L37" s="164">
        <f t="shared" ref="L37" si="22">SUM(K37,-J37)</f>
        <v>-7.9</v>
      </c>
      <c r="M37" s="303" t="s">
        <v>147</v>
      </c>
      <c r="N37" s="298">
        <v>10</v>
      </c>
      <c r="O37" s="165">
        <v>2.1</v>
      </c>
      <c r="P37" s="164">
        <f t="shared" ref="P37" si="23">SUM(O37,-N37)</f>
        <v>-7.9</v>
      </c>
      <c r="Q37" s="267" t="s">
        <v>147</v>
      </c>
      <c r="U37" s="1"/>
      <c r="Y37" s="1"/>
    </row>
    <row r="38" spans="3:25" ht="16.5" thickBot="1">
      <c r="C38" s="529"/>
      <c r="D38" s="427" t="s">
        <v>101</v>
      </c>
      <c r="E38" s="428"/>
      <c r="F38" s="188">
        <f t="shared" ref="F38" si="24">SUM(F29,F31,F33,F37)</f>
        <v>86</v>
      </c>
      <c r="G38" s="187">
        <f t="shared" ref="G38" si="25">SUM(G29:G33,G37)</f>
        <v>87.6</v>
      </c>
      <c r="H38" s="187">
        <f t="shared" ref="H38" si="26">SUM(H29:H34,H37)</f>
        <v>1.5999999999999979</v>
      </c>
      <c r="I38" s="186"/>
      <c r="J38" s="188">
        <f t="shared" ref="J38" si="27">SUM(J29,J31,J33,J37)</f>
        <v>86</v>
      </c>
      <c r="K38" s="187">
        <f t="shared" ref="K38" si="28">SUM(K29:K33,K37)</f>
        <v>87.899999999999991</v>
      </c>
      <c r="L38" s="187">
        <f t="shared" ref="L38" si="29">SUM(L29:L34,L37)</f>
        <v>1.8999999999999968</v>
      </c>
      <c r="M38" s="305"/>
      <c r="N38" s="302">
        <f>SUM(N29,N31,N33,N37)</f>
        <v>86</v>
      </c>
      <c r="O38" s="187">
        <f>SUM(O29:O33,O37)</f>
        <v>87.899999999999991</v>
      </c>
      <c r="P38" s="187">
        <f>SUM(P29:P34,P37)</f>
        <v>1.8999999999999968</v>
      </c>
      <c r="Q38" s="268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6"/>
      <c r="O39" s="174"/>
      <c r="P39" s="174"/>
      <c r="Q39" s="266"/>
      <c r="U39" s="1"/>
      <c r="Y39" s="1"/>
    </row>
    <row r="40" spans="3:25" ht="16.5" thickBot="1">
      <c r="C40" s="514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570"/>
      <c r="N40" s="571"/>
      <c r="O40" s="470"/>
      <c r="P40" s="470"/>
      <c r="Q40" s="472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295" t="s">
        <v>166</v>
      </c>
      <c r="N41" s="310" t="s">
        <v>168</v>
      </c>
      <c r="O41" s="181" t="s">
        <v>162</v>
      </c>
      <c r="P41" s="180" t="s">
        <v>161</v>
      </c>
      <c r="Q41" s="262" t="s">
        <v>166</v>
      </c>
      <c r="U41" s="1"/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f t="shared" ref="H42" si="30">SUM(G42,-F42)</f>
        <v>0</v>
      </c>
      <c r="I42" s="459"/>
      <c r="J42" s="178">
        <v>0</v>
      </c>
      <c r="K42" s="478">
        <v>0</v>
      </c>
      <c r="L42" s="457">
        <f t="shared" ref="L42" si="31">SUM(K42,-J42)</f>
        <v>0</v>
      </c>
      <c r="M42" s="568"/>
      <c r="N42" s="200">
        <v>0</v>
      </c>
      <c r="O42" s="478">
        <v>0</v>
      </c>
      <c r="P42" s="457">
        <f>SUM(O42,-N42)</f>
        <v>0</v>
      </c>
      <c r="Q42" s="461"/>
      <c r="U42" s="1"/>
      <c r="Y42" s="1"/>
    </row>
    <row r="43" spans="3:25" ht="16.5" thickBot="1">
      <c r="C43" s="531"/>
      <c r="D43" s="475"/>
      <c r="E43" s="477"/>
      <c r="F43" s="183">
        <v>191</v>
      </c>
      <c r="G43" s="510"/>
      <c r="H43" s="511"/>
      <c r="I43" s="532"/>
      <c r="J43" s="183">
        <v>214.5</v>
      </c>
      <c r="K43" s="479"/>
      <c r="L43" s="480"/>
      <c r="M43" s="572"/>
      <c r="N43" s="183">
        <v>214.5</v>
      </c>
      <c r="O43" s="479"/>
      <c r="P43" s="480"/>
      <c r="Q43" s="482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6"/>
      <c r="O44" s="174"/>
      <c r="P44" s="174"/>
      <c r="Q44" s="266"/>
      <c r="U44" s="1"/>
      <c r="Y44" s="1"/>
    </row>
    <row r="45" spans="3:25" ht="16.5" thickBot="1">
      <c r="C45" s="514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570"/>
      <c r="N45" s="571"/>
      <c r="O45" s="470"/>
      <c r="P45" s="470"/>
      <c r="Q45" s="472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295" t="s">
        <v>166</v>
      </c>
      <c r="N46" s="311" t="s">
        <v>167</v>
      </c>
      <c r="O46" s="181" t="s">
        <v>162</v>
      </c>
      <c r="P46" s="180" t="s">
        <v>161</v>
      </c>
      <c r="Q46" s="262" t="s">
        <v>166</v>
      </c>
      <c r="U46" s="1"/>
      <c r="Y46" s="1"/>
    </row>
    <row r="47" spans="3:25" ht="16">
      <c r="C47" s="525"/>
      <c r="D47" s="483"/>
      <c r="E47" s="488" t="s">
        <v>91</v>
      </c>
      <c r="F47" s="178">
        <v>40.558999999999997</v>
      </c>
      <c r="G47" s="478">
        <v>42.5</v>
      </c>
      <c r="H47" s="457">
        <f t="shared" ref="H47" si="32">SUM(G47,-F47)</f>
        <v>1.9410000000000025</v>
      </c>
      <c r="I47" s="459" t="s">
        <v>149</v>
      </c>
      <c r="J47" s="178">
        <v>40.558999999999997</v>
      </c>
      <c r="K47" s="478">
        <v>43.1</v>
      </c>
      <c r="L47" s="457">
        <f t="shared" ref="L47" si="33">SUM(K47,-J47)</f>
        <v>2.5410000000000039</v>
      </c>
      <c r="M47" s="568" t="s">
        <v>149</v>
      </c>
      <c r="N47" s="200">
        <v>40.558999999999997</v>
      </c>
      <c r="O47" s="478">
        <v>43.1</v>
      </c>
      <c r="P47" s="457">
        <f>SUM(O47,-N47)</f>
        <v>2.5410000000000039</v>
      </c>
      <c r="Q47" s="461" t="s">
        <v>181</v>
      </c>
      <c r="U47" s="1"/>
      <c r="Y47" s="1"/>
    </row>
    <row r="48" spans="3:25" ht="16.5" thickBot="1">
      <c r="C48" s="533"/>
      <c r="D48" s="487"/>
      <c r="E48" s="489"/>
      <c r="F48" s="177">
        <v>0.58295364714337039</v>
      </c>
      <c r="G48" s="510"/>
      <c r="H48" s="511"/>
      <c r="I48" s="532"/>
      <c r="J48" s="177">
        <v>0.62422470180838785</v>
      </c>
      <c r="K48" s="479"/>
      <c r="L48" s="480"/>
      <c r="M48" s="572"/>
      <c r="N48" s="177">
        <v>0.58295364714337039</v>
      </c>
      <c r="O48" s="479"/>
      <c r="P48" s="480"/>
      <c r="Q48" s="482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6"/>
      <c r="O49" s="174"/>
      <c r="P49" s="174"/>
      <c r="Q49" s="266"/>
      <c r="U49" s="1"/>
      <c r="Y49" s="1"/>
    </row>
    <row r="50" spans="1:25" ht="16.5" thickBot="1">
      <c r="C50" s="514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570"/>
      <c r="N50" s="571"/>
      <c r="O50" s="470"/>
      <c r="P50" s="470"/>
      <c r="Q50" s="472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312" t="s">
        <v>160</v>
      </c>
      <c r="N51" s="311" t="s">
        <v>163</v>
      </c>
      <c r="O51" s="170" t="s">
        <v>162</v>
      </c>
      <c r="P51" s="169" t="s">
        <v>161</v>
      </c>
      <c r="Q51" s="272" t="s">
        <v>160</v>
      </c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 t="shared" ref="H52" si="34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35">SUM(K52,-J52)</f>
        <v>0</v>
      </c>
      <c r="M52" s="313" t="s">
        <v>159</v>
      </c>
      <c r="N52" s="298">
        <v>0</v>
      </c>
      <c r="O52" s="165">
        <v>0</v>
      </c>
      <c r="P52" s="164">
        <f>SUM(O52,-N52)</f>
        <v>0</v>
      </c>
      <c r="Q52" s="273" t="s">
        <v>159</v>
      </c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236">
        <v>29.5</v>
      </c>
      <c r="H53" s="159" t="s">
        <v>159</v>
      </c>
      <c r="I53" s="158" t="s">
        <v>182</v>
      </c>
      <c r="J53" s="161">
        <v>0</v>
      </c>
      <c r="K53" s="236">
        <v>28.7</v>
      </c>
      <c r="L53" s="159" t="s">
        <v>159</v>
      </c>
      <c r="M53" s="158" t="s">
        <v>182</v>
      </c>
      <c r="N53" s="161">
        <v>0</v>
      </c>
      <c r="O53" s="160">
        <v>28.7</v>
      </c>
      <c r="P53" s="159" t="s">
        <v>159</v>
      </c>
      <c r="Q53" s="314" t="s">
        <v>182</v>
      </c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93">
    <mergeCell ref="C51:D53"/>
    <mergeCell ref="L47:L48"/>
    <mergeCell ref="M47:M48"/>
    <mergeCell ref="O47:O48"/>
    <mergeCell ref="P47:P48"/>
    <mergeCell ref="Q47:Q48"/>
    <mergeCell ref="C50:E50"/>
    <mergeCell ref="F50:I50"/>
    <mergeCell ref="J50:M50"/>
    <mergeCell ref="N50:Q50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Q33:Q34"/>
    <mergeCell ref="E34:E36"/>
    <mergeCell ref="D38:E38"/>
    <mergeCell ref="C40:E40"/>
    <mergeCell ref="F40:I40"/>
    <mergeCell ref="J40:M40"/>
    <mergeCell ref="N40:Q40"/>
    <mergeCell ref="M31:M32"/>
    <mergeCell ref="O31:O32"/>
    <mergeCell ref="P31:P32"/>
    <mergeCell ref="Q31:Q32"/>
    <mergeCell ref="D33:D37"/>
    <mergeCell ref="H33:H34"/>
    <mergeCell ref="I33:I34"/>
    <mergeCell ref="L33:L34"/>
    <mergeCell ref="M33:M34"/>
    <mergeCell ref="P33:P34"/>
    <mergeCell ref="E31:E32"/>
    <mergeCell ref="G31:G32"/>
    <mergeCell ref="H31:H32"/>
    <mergeCell ref="I31:I32"/>
    <mergeCell ref="K31:K32"/>
    <mergeCell ref="L31:L32"/>
    <mergeCell ref="Q29:Q30"/>
    <mergeCell ref="C27:E27"/>
    <mergeCell ref="F27:I27"/>
    <mergeCell ref="J27:M27"/>
    <mergeCell ref="N27:Q27"/>
    <mergeCell ref="C28:C38"/>
    <mergeCell ref="D29:D32"/>
    <mergeCell ref="E29:E30"/>
    <mergeCell ref="G29:G30"/>
    <mergeCell ref="H29:H30"/>
    <mergeCell ref="I29:I30"/>
    <mergeCell ref="K29:K30"/>
    <mergeCell ref="L29:L30"/>
    <mergeCell ref="M29:M30"/>
    <mergeCell ref="O29:O30"/>
    <mergeCell ref="P29:P30"/>
    <mergeCell ref="C23:E23"/>
    <mergeCell ref="F23:I23"/>
    <mergeCell ref="J23:M23"/>
    <mergeCell ref="N23:Q23"/>
    <mergeCell ref="C24:D25"/>
    <mergeCell ref="E24:E25"/>
    <mergeCell ref="C11:E11"/>
    <mergeCell ref="F11:I11"/>
    <mergeCell ref="J11:M11"/>
    <mergeCell ref="N11:Q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7" fitToWidth="0" orientation="landscape" r:id="rId1"/>
  <headerFooter>
    <oddHeader>&amp;L&amp;"メイリオ,レギュラー"
　&amp;"メイリオ,ボールド"&amp;22日別の優先給電ルールに基づく抑制、調整状況（2025年3月）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0CA7-524E-4BCA-A0A2-F58DFFDCE6DA}">
  <sheetPr>
    <tabColor rgb="FFFFFF00"/>
    <pageSetUpPr fitToPage="1"/>
  </sheetPr>
  <dimension ref="A1:L29"/>
  <sheetViews>
    <sheetView showGridLines="0" view="pageBreakPreview" zoomScale="55" zoomScaleNormal="70" zoomScaleSheetLayoutView="55" zoomScalePageLayoutView="70" workbookViewId="0">
      <selection sqref="A1:L29"/>
    </sheetView>
  </sheetViews>
  <sheetFormatPr defaultColWidth="8.90625" defaultRowHeight="16.5"/>
  <cols>
    <col min="1" max="1" width="8.90625" style="315"/>
    <col min="2" max="2" width="18.453125" style="315" customWidth="1"/>
    <col min="3" max="3" width="20" style="315" customWidth="1"/>
    <col min="4" max="4" width="17.36328125" style="316" customWidth="1"/>
    <col min="5" max="5" width="17.36328125" style="315" customWidth="1"/>
    <col min="6" max="6" width="34.08984375" style="315" customWidth="1"/>
    <col min="7" max="7" width="6.453125" style="315" customWidth="1"/>
    <col min="8" max="8" width="30.36328125" style="315" customWidth="1"/>
    <col min="9" max="9" width="12.453125" style="315" customWidth="1"/>
    <col min="10" max="10" width="4.90625" style="315" customWidth="1"/>
    <col min="11" max="11" width="12.453125" style="315" customWidth="1"/>
    <col min="12" max="12" width="15.90625" style="315" customWidth="1"/>
    <col min="13" max="16384" width="8.90625" style="315"/>
  </cols>
  <sheetData>
    <row r="1" spans="1:12">
      <c r="A1" s="363" t="s">
        <v>189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12" ht="33.65" customHeight="1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2" ht="8.65" customHeight="1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</row>
    <row r="4" spans="1:12" ht="32.15" customHeight="1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</row>
    <row r="5" spans="1:12" ht="33" customHeight="1">
      <c r="A5" s="364"/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</row>
    <row r="6" spans="1:12" ht="38.65" customHeight="1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</row>
    <row r="7" spans="1:12" ht="38.65" customHeight="1">
      <c r="A7" s="364"/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</row>
    <row r="8" spans="1:12" ht="38.65" customHeight="1">
      <c r="A8" s="364"/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</row>
    <row r="9" spans="1:12" ht="38.65" customHeight="1">
      <c r="A9" s="364"/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</row>
    <row r="10" spans="1:12" ht="38.15" customHeight="1">
      <c r="A10" s="364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</row>
    <row r="11" spans="1:12" ht="38.15" customHeight="1">
      <c r="A11" s="364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</row>
    <row r="12" spans="1:12" ht="19.399999999999999" customHeight="1">
      <c r="A12" s="364"/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</row>
    <row r="13" spans="1:12" ht="19.399999999999999" customHeight="1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</row>
    <row r="14" spans="1:12" ht="38.65" customHeight="1">
      <c r="A14" s="364"/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</row>
    <row r="15" spans="1:12" ht="38.65" customHeight="1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</row>
    <row r="16" spans="1:12" ht="38.65" customHeight="1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</row>
    <row r="17" spans="1:12" ht="38.65" customHeight="1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</row>
    <row r="18" spans="1:12" ht="38.65" customHeight="1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</row>
    <row r="19" spans="1:12" ht="38.65" customHeight="1">
      <c r="A19" s="364"/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</row>
    <row r="20" spans="1:12" ht="38.65" customHeight="1">
      <c r="A20" s="364"/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</row>
    <row r="21" spans="1:12" ht="38.65" customHeight="1">
      <c r="A21" s="364"/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</row>
    <row r="22" spans="1:12" ht="38.65" customHeight="1">
      <c r="A22" s="364"/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</row>
    <row r="23" spans="1:12" ht="7.4" customHeight="1">
      <c r="A23" s="364"/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</row>
    <row r="24" spans="1:12" ht="24.65" customHeight="1">
      <c r="A24" s="364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</row>
    <row r="25" spans="1:12" ht="24.65" customHeight="1">
      <c r="A25" s="364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</row>
    <row r="26" spans="1:12" ht="24.65" customHeight="1">
      <c r="A26" s="364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</row>
    <row r="27" spans="1:12" ht="24.65" customHeight="1">
      <c r="A27" s="364"/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</row>
    <row r="28" spans="1:12" ht="24.65" customHeight="1">
      <c r="A28" s="364"/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</row>
    <row r="29" spans="1:12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</row>
  </sheetData>
  <mergeCells count="1">
    <mergeCell ref="A1:L29"/>
  </mergeCells>
  <phoneticPr fontId="1"/>
  <printOptions horizontalCentered="1" verticalCentered="1"/>
  <pageMargins left="0.47244094488188981" right="0.43307086614173229" top="0.51181102362204722" bottom="0.15748031496062992" header="0.31496062992125984" footer="0.31496062992125984"/>
  <pageSetup paperSize="9" scale="64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10BB-2F22-4BF0-BAB3-AA40765D2517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550" t="s">
        <v>190</v>
      </c>
      <c r="G2" s="573"/>
      <c r="H2" s="550" t="s">
        <v>190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45017</v>
      </c>
      <c r="G3" s="317" t="s">
        <v>50</v>
      </c>
      <c r="H3" s="115">
        <v>45018</v>
      </c>
      <c r="I3" s="26" t="s">
        <v>191</v>
      </c>
      <c r="J3" s="25">
        <v>45019</v>
      </c>
      <c r="K3" s="26" t="s">
        <v>48</v>
      </c>
      <c r="L3" s="25">
        <v>45020</v>
      </c>
      <c r="M3" s="26" t="s">
        <v>48</v>
      </c>
      <c r="N3" s="25">
        <v>45024</v>
      </c>
      <c r="O3" s="26" t="s">
        <v>48</v>
      </c>
    </row>
    <row r="4" spans="2:15" ht="16.5" thickBot="1">
      <c r="B4" s="31"/>
      <c r="C4" s="4"/>
      <c r="D4" s="4"/>
      <c r="E4" s="4"/>
      <c r="F4" s="5" t="s">
        <v>192</v>
      </c>
      <c r="G4" s="7" t="s">
        <v>193</v>
      </c>
      <c r="H4" s="5" t="s">
        <v>192</v>
      </c>
      <c r="I4" s="7" t="s">
        <v>193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120">
        <v>100.4</v>
      </c>
      <c r="G5" s="574" t="s">
        <v>195</v>
      </c>
      <c r="H5" s="120">
        <v>99.6</v>
      </c>
      <c r="I5" s="384" t="s">
        <v>195</v>
      </c>
      <c r="J5" s="9">
        <v>102.2</v>
      </c>
      <c r="K5" s="384" t="s">
        <v>45</v>
      </c>
      <c r="L5" s="9">
        <v>102.2</v>
      </c>
      <c r="M5" s="384" t="s">
        <v>45</v>
      </c>
      <c r="N5" s="9">
        <v>94.3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23">
        <v>125.3</v>
      </c>
      <c r="G6" s="575"/>
      <c r="H6" s="123">
        <v>128.19999999999999</v>
      </c>
      <c r="I6" s="385"/>
      <c r="J6" s="10">
        <v>140.30000000000001</v>
      </c>
      <c r="K6" s="385"/>
      <c r="L6" s="10">
        <v>141.4</v>
      </c>
      <c r="M6" s="385"/>
      <c r="N6" s="10">
        <v>147.5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322.89999999999998</v>
      </c>
      <c r="G7" s="575"/>
      <c r="H7" s="126">
        <v>322.89999999999998</v>
      </c>
      <c r="I7" s="385"/>
      <c r="J7" s="28">
        <v>322.89999999999998</v>
      </c>
      <c r="K7" s="385"/>
      <c r="L7" s="28">
        <v>322.89999999999998</v>
      </c>
      <c r="M7" s="385"/>
      <c r="N7" s="28">
        <v>321.8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19.600000000000001</v>
      </c>
      <c r="G8" s="575"/>
      <c r="H8" s="129">
        <v>29</v>
      </c>
      <c r="I8" s="385"/>
      <c r="J8" s="29">
        <v>20.5</v>
      </c>
      <c r="K8" s="385"/>
      <c r="L8" s="29">
        <v>14.9</v>
      </c>
      <c r="M8" s="385"/>
      <c r="N8" s="29">
        <v>17.799999999999908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16.3</v>
      </c>
      <c r="G9" s="575"/>
      <c r="H9" s="131">
        <v>16.3</v>
      </c>
      <c r="I9" s="385"/>
      <c r="J9" s="30">
        <v>16.3</v>
      </c>
      <c r="K9" s="385"/>
      <c r="L9" s="30">
        <v>16.3</v>
      </c>
      <c r="M9" s="385"/>
      <c r="N9" s="30">
        <v>16.100000000000001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23.6</v>
      </c>
      <c r="G10" s="575"/>
      <c r="H10" s="133">
        <v>22</v>
      </c>
      <c r="I10" s="385"/>
      <c r="J10" s="11">
        <v>22</v>
      </c>
      <c r="K10" s="385"/>
      <c r="L10" s="11">
        <v>25.4</v>
      </c>
      <c r="M10" s="385"/>
      <c r="N10" s="11">
        <v>22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23.4</v>
      </c>
      <c r="G11" s="575"/>
      <c r="H11" s="135">
        <v>22.3</v>
      </c>
      <c r="I11" s="385"/>
      <c r="J11" s="12">
        <v>21.8</v>
      </c>
      <c r="K11" s="385"/>
      <c r="L11" s="12">
        <v>21.8</v>
      </c>
      <c r="M11" s="385"/>
      <c r="N11" s="12">
        <v>21.7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833.5</v>
      </c>
      <c r="G12" s="575"/>
      <c r="H12" s="137">
        <v>867.1</v>
      </c>
      <c r="I12" s="385"/>
      <c r="J12" s="13">
        <v>965.1</v>
      </c>
      <c r="K12" s="385"/>
      <c r="L12" s="13">
        <v>637.1</v>
      </c>
      <c r="M12" s="385"/>
      <c r="N12" s="13">
        <v>978.5</v>
      </c>
      <c r="O12" s="385"/>
    </row>
    <row r="13" spans="2:15" ht="16">
      <c r="B13" s="376"/>
      <c r="C13" s="379"/>
      <c r="D13" s="388"/>
      <c r="E13" s="45" t="s">
        <v>27</v>
      </c>
      <c r="F13" s="137">
        <v>9.8000000000000007</v>
      </c>
      <c r="G13" s="575"/>
      <c r="H13" s="137">
        <v>15.1</v>
      </c>
      <c r="I13" s="385"/>
      <c r="J13" s="13">
        <v>17.600000000000001</v>
      </c>
      <c r="K13" s="385"/>
      <c r="L13" s="13">
        <v>15.5</v>
      </c>
      <c r="M13" s="385"/>
      <c r="N13" s="13">
        <v>26.8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250</v>
      </c>
      <c r="G14" s="575"/>
      <c r="H14" s="139">
        <v>243.4</v>
      </c>
      <c r="I14" s="385"/>
      <c r="J14" s="14">
        <v>148</v>
      </c>
      <c r="K14" s="385"/>
      <c r="L14" s="14">
        <v>375</v>
      </c>
      <c r="M14" s="385"/>
      <c r="N14" s="14">
        <v>104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f>SUM(F5:F14)</f>
        <v>1724.8</v>
      </c>
      <c r="G15" s="575"/>
      <c r="H15" s="108">
        <f>SUM(H5:H14)</f>
        <v>1765.8999999999999</v>
      </c>
      <c r="I15" s="385"/>
      <c r="J15" s="15">
        <v>1776.6999999999998</v>
      </c>
      <c r="K15" s="385"/>
      <c r="L15" s="15">
        <v>1672.5</v>
      </c>
      <c r="M15" s="385"/>
      <c r="N15" s="15">
        <v>1750.5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776.4</v>
      </c>
      <c r="G16" s="575"/>
      <c r="H16" s="142">
        <v>735</v>
      </c>
      <c r="I16" s="385"/>
      <c r="J16" s="8">
        <v>864.3</v>
      </c>
      <c r="K16" s="385"/>
      <c r="L16" s="8">
        <v>865.6</v>
      </c>
      <c r="M16" s="385"/>
      <c r="N16" s="8">
        <v>792.1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-219.2</v>
      </c>
      <c r="G17" s="575"/>
      <c r="H17" s="145">
        <v>-219.2</v>
      </c>
      <c r="I17" s="385"/>
      <c r="J17" s="16">
        <v>-219.2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575"/>
      <c r="H18" s="111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-171.8</v>
      </c>
      <c r="G19" s="575"/>
      <c r="H19" s="148">
        <v>-190</v>
      </c>
      <c r="I19" s="385"/>
      <c r="J19" s="18">
        <v>-238</v>
      </c>
      <c r="K19" s="385"/>
      <c r="L19" s="18">
        <v>-238</v>
      </c>
      <c r="M19" s="385"/>
      <c r="N19" s="18">
        <v>-179.5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575"/>
      <c r="H20" s="150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f>SUM(F16,-F17,-F18,-F19,-F20)</f>
        <v>1172.3999999999999</v>
      </c>
      <c r="G21" s="576"/>
      <c r="H21" s="151">
        <f>SUM(H16,-H17,-H18,-H19,-H20)</f>
        <v>1149.2</v>
      </c>
      <c r="I21" s="386"/>
      <c r="J21" s="27">
        <v>1326.5</v>
      </c>
      <c r="K21" s="386"/>
      <c r="L21" s="27">
        <v>1327.8</v>
      </c>
      <c r="M21" s="386"/>
      <c r="N21" s="27">
        <v>1195.8</v>
      </c>
      <c r="O21" s="386"/>
    </row>
    <row r="22" spans="2:15" ht="16.5" thickBot="1">
      <c r="B22" s="54"/>
      <c r="C22" s="55"/>
      <c r="D22" s="55"/>
      <c r="E22" s="55"/>
      <c r="F22" s="5" t="s">
        <v>192</v>
      </c>
      <c r="G22" s="321" t="s">
        <v>193</v>
      </c>
      <c r="H22" s="5" t="s">
        <v>192</v>
      </c>
      <c r="I22" s="7" t="s">
        <v>193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f>SUM(F15)</f>
        <v>1724.8</v>
      </c>
      <c r="G23" s="577"/>
      <c r="H23" s="152">
        <f>SUM(H15)</f>
        <v>1765.8999999999999</v>
      </c>
      <c r="I23" s="400"/>
      <c r="J23" s="20">
        <v>1776.6999999999998</v>
      </c>
      <c r="K23" s="400"/>
      <c r="L23" s="20">
        <v>1672.5</v>
      </c>
      <c r="M23" s="400"/>
      <c r="N23" s="20">
        <v>1750.5</v>
      </c>
      <c r="O23" s="400"/>
    </row>
    <row r="24" spans="2:15" ht="16">
      <c r="B24" s="409"/>
      <c r="C24" s="403" t="s">
        <v>37</v>
      </c>
      <c r="D24" s="404"/>
      <c r="E24" s="405"/>
      <c r="F24" s="153">
        <f>SUM(F21)</f>
        <v>1172.3999999999999</v>
      </c>
      <c r="G24" s="578"/>
      <c r="H24" s="153">
        <f>SUM(H21)</f>
        <v>1149.2</v>
      </c>
      <c r="I24" s="401"/>
      <c r="J24" s="21">
        <v>1326.5</v>
      </c>
      <c r="K24" s="401"/>
      <c r="L24" s="21">
        <v>1327.8</v>
      </c>
      <c r="M24" s="401"/>
      <c r="N24" s="21">
        <v>1195.8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f>SUM(F23,-F24)</f>
        <v>552.40000000000009</v>
      </c>
      <c r="G25" s="579"/>
      <c r="H25" s="154">
        <f>SUM(H23,-H24)</f>
        <v>616.69999999999982</v>
      </c>
      <c r="I25" s="402"/>
      <c r="J25" s="67">
        <v>450.19999999999982</v>
      </c>
      <c r="K25" s="402"/>
      <c r="L25" s="67">
        <v>344.70000000000005</v>
      </c>
      <c r="M25" s="402"/>
      <c r="N25" s="67">
        <v>554.70000000000005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日別の需給状況・再エネ出力抑制の必要性（2023年4月）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12BD-214D-4321-9CA6-BCCAADFC1FE0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45025</v>
      </c>
      <c r="G3" s="26" t="s">
        <v>49</v>
      </c>
      <c r="H3" s="25">
        <v>45026</v>
      </c>
      <c r="I3" s="26" t="s">
        <v>48</v>
      </c>
      <c r="J3" s="25">
        <v>45027</v>
      </c>
      <c r="K3" s="26" t="s">
        <v>48</v>
      </c>
      <c r="L3" s="25">
        <v>45028</v>
      </c>
      <c r="M3" s="26" t="s">
        <v>48</v>
      </c>
      <c r="N3" s="25">
        <v>45029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80.900000000000006</v>
      </c>
      <c r="G5" s="384" t="s">
        <v>45</v>
      </c>
      <c r="H5" s="9">
        <v>84.5</v>
      </c>
      <c r="I5" s="384" t="s">
        <v>45</v>
      </c>
      <c r="J5" s="9">
        <v>83.8</v>
      </c>
      <c r="K5" s="384" t="s">
        <v>45</v>
      </c>
      <c r="L5" s="9">
        <v>88.6</v>
      </c>
      <c r="M5" s="384" t="s">
        <v>45</v>
      </c>
      <c r="N5" s="9">
        <v>91.9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103.1</v>
      </c>
      <c r="G6" s="385"/>
      <c r="H6" s="10">
        <v>127</v>
      </c>
      <c r="I6" s="385"/>
      <c r="J6" s="10">
        <v>120</v>
      </c>
      <c r="K6" s="385"/>
      <c r="L6" s="10">
        <v>116.1</v>
      </c>
      <c r="M6" s="385"/>
      <c r="N6" s="10">
        <v>132.5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322.7</v>
      </c>
      <c r="G7" s="385"/>
      <c r="H7" s="28">
        <v>322.7</v>
      </c>
      <c r="I7" s="385"/>
      <c r="J7" s="28">
        <v>319.8</v>
      </c>
      <c r="K7" s="385"/>
      <c r="L7" s="28">
        <v>322.7</v>
      </c>
      <c r="M7" s="385"/>
      <c r="N7" s="28">
        <v>322.7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46.4</v>
      </c>
      <c r="G8" s="385"/>
      <c r="H8" s="29">
        <v>38.9</v>
      </c>
      <c r="I8" s="385"/>
      <c r="J8" s="29">
        <v>37.200000000000003</v>
      </c>
      <c r="K8" s="385"/>
      <c r="L8" s="29">
        <v>25.1</v>
      </c>
      <c r="M8" s="385"/>
      <c r="N8" s="29">
        <v>31.299999999999841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16.100000000000001</v>
      </c>
      <c r="G9" s="385"/>
      <c r="H9" s="30">
        <v>16.100000000000001</v>
      </c>
      <c r="I9" s="385"/>
      <c r="J9" s="30">
        <v>16.100000000000001</v>
      </c>
      <c r="K9" s="385"/>
      <c r="L9" s="30">
        <v>15.9</v>
      </c>
      <c r="M9" s="385"/>
      <c r="N9" s="30">
        <v>16.100000000000001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22</v>
      </c>
      <c r="G10" s="385"/>
      <c r="H10" s="11">
        <v>24</v>
      </c>
      <c r="I10" s="385"/>
      <c r="J10" s="11">
        <v>24.8</v>
      </c>
      <c r="K10" s="385"/>
      <c r="L10" s="11">
        <v>24.8</v>
      </c>
      <c r="M10" s="385"/>
      <c r="N10" s="11">
        <v>26.2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21.6</v>
      </c>
      <c r="G11" s="385"/>
      <c r="H11" s="12">
        <v>19.5</v>
      </c>
      <c r="I11" s="385"/>
      <c r="J11" s="12">
        <v>19.8</v>
      </c>
      <c r="K11" s="385"/>
      <c r="L11" s="12">
        <v>19.600000000000001</v>
      </c>
      <c r="M11" s="385"/>
      <c r="N11" s="12">
        <v>17.399999999999999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988.2</v>
      </c>
      <c r="G12" s="385"/>
      <c r="H12" s="13">
        <v>950.4</v>
      </c>
      <c r="I12" s="385"/>
      <c r="J12" s="13">
        <v>707.3</v>
      </c>
      <c r="K12" s="385"/>
      <c r="L12" s="13">
        <v>726.5</v>
      </c>
      <c r="M12" s="385"/>
      <c r="N12" s="13">
        <v>967.9</v>
      </c>
      <c r="O12" s="385"/>
    </row>
    <row r="13" spans="2:15" ht="16">
      <c r="B13" s="376"/>
      <c r="C13" s="379"/>
      <c r="D13" s="388"/>
      <c r="E13" s="45" t="s">
        <v>27</v>
      </c>
      <c r="F13" s="13">
        <v>2.8</v>
      </c>
      <c r="G13" s="385"/>
      <c r="H13" s="13">
        <v>9</v>
      </c>
      <c r="I13" s="385"/>
      <c r="J13" s="13">
        <v>11.7</v>
      </c>
      <c r="K13" s="385"/>
      <c r="L13" s="13">
        <v>13.1</v>
      </c>
      <c r="M13" s="385"/>
      <c r="N13" s="13">
        <v>9.9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104</v>
      </c>
      <c r="G14" s="385"/>
      <c r="H14" s="14">
        <v>162.69999999999999</v>
      </c>
      <c r="I14" s="385"/>
      <c r="J14" s="14">
        <v>375</v>
      </c>
      <c r="K14" s="385"/>
      <c r="L14" s="14">
        <v>375</v>
      </c>
      <c r="M14" s="385"/>
      <c r="N14" s="14">
        <v>104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1707.8</v>
      </c>
      <c r="G15" s="385"/>
      <c r="H15" s="15">
        <v>1754.8</v>
      </c>
      <c r="I15" s="385"/>
      <c r="J15" s="15">
        <v>1715.5</v>
      </c>
      <c r="K15" s="385"/>
      <c r="L15" s="15">
        <v>1727.3999999999999</v>
      </c>
      <c r="M15" s="385"/>
      <c r="N15" s="15">
        <v>1719.9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717.7</v>
      </c>
      <c r="G16" s="385"/>
      <c r="H16" s="8">
        <v>856.8</v>
      </c>
      <c r="I16" s="385"/>
      <c r="J16" s="8">
        <v>855</v>
      </c>
      <c r="K16" s="385"/>
      <c r="L16" s="8">
        <v>845</v>
      </c>
      <c r="M16" s="385"/>
      <c r="N16" s="8">
        <v>861.8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-151.19999999999999</v>
      </c>
      <c r="K17" s="385"/>
      <c r="L17" s="16">
        <v>-185.2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-141.69999999999999</v>
      </c>
      <c r="G19" s="385"/>
      <c r="H19" s="18">
        <v>-225.6</v>
      </c>
      <c r="I19" s="385"/>
      <c r="J19" s="18">
        <v>-226.9</v>
      </c>
      <c r="K19" s="385"/>
      <c r="L19" s="18">
        <v>-238</v>
      </c>
      <c r="M19" s="385"/>
      <c r="N19" s="18">
        <v>-238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10</v>
      </c>
      <c r="G20" s="385"/>
      <c r="H20" s="19">
        <v>0</v>
      </c>
      <c r="I20" s="385"/>
      <c r="J20" s="19">
        <v>0</v>
      </c>
      <c r="K20" s="385"/>
      <c r="L20" s="19">
        <v>11.4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1073.6000000000001</v>
      </c>
      <c r="G21" s="386"/>
      <c r="H21" s="27">
        <v>1306.5999999999999</v>
      </c>
      <c r="I21" s="386"/>
      <c r="J21" s="27">
        <v>1238.1000000000001</v>
      </c>
      <c r="K21" s="386"/>
      <c r="L21" s="27">
        <v>1261.8</v>
      </c>
      <c r="M21" s="386"/>
      <c r="N21" s="27">
        <v>1324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1707.8</v>
      </c>
      <c r="G23" s="400"/>
      <c r="H23" s="20">
        <v>1754.8</v>
      </c>
      <c r="I23" s="400"/>
      <c r="J23" s="20">
        <v>1715.5</v>
      </c>
      <c r="K23" s="400"/>
      <c r="L23" s="20">
        <v>1727.3999999999999</v>
      </c>
      <c r="M23" s="400"/>
      <c r="N23" s="20">
        <v>1719.9</v>
      </c>
      <c r="O23" s="400"/>
    </row>
    <row r="24" spans="2:15" ht="16">
      <c r="B24" s="409"/>
      <c r="C24" s="403" t="s">
        <v>37</v>
      </c>
      <c r="D24" s="404"/>
      <c r="E24" s="405"/>
      <c r="F24" s="21">
        <v>1073.6000000000001</v>
      </c>
      <c r="G24" s="401"/>
      <c r="H24" s="21">
        <v>1306.5999999999999</v>
      </c>
      <c r="I24" s="401"/>
      <c r="J24" s="21">
        <v>1238.1000000000001</v>
      </c>
      <c r="K24" s="401"/>
      <c r="L24" s="21">
        <v>1261.8</v>
      </c>
      <c r="M24" s="401"/>
      <c r="N24" s="21">
        <v>1324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634.19999999999982</v>
      </c>
      <c r="G25" s="402"/>
      <c r="H25" s="67">
        <v>448.20000000000005</v>
      </c>
      <c r="I25" s="402"/>
      <c r="J25" s="67">
        <v>477.39999999999986</v>
      </c>
      <c r="K25" s="402"/>
      <c r="L25" s="67">
        <v>465.59999999999991</v>
      </c>
      <c r="M25" s="402"/>
      <c r="N25" s="67">
        <v>395.90000000000009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日別の需給状況・再エネ出力抑制の必要性（2023年4月）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FFE8-5F95-47C6-A965-1B353C39B892}">
  <dimension ref="B1:O69"/>
  <sheetViews>
    <sheetView showGridLines="0" view="pageBreakPreview" topLeftCell="A17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45032</v>
      </c>
      <c r="G3" s="26" t="s">
        <v>54</v>
      </c>
      <c r="H3" s="25">
        <v>45033</v>
      </c>
      <c r="I3" s="26" t="s">
        <v>48</v>
      </c>
      <c r="J3" s="25">
        <v>45034</v>
      </c>
      <c r="K3" s="26" t="s">
        <v>48</v>
      </c>
      <c r="L3" s="25">
        <v>45036</v>
      </c>
      <c r="M3" s="26" t="s">
        <v>48</v>
      </c>
      <c r="N3" s="25">
        <v>45038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85.4</v>
      </c>
      <c r="G5" s="384" t="s">
        <v>45</v>
      </c>
      <c r="H5" s="9">
        <v>98.3</v>
      </c>
      <c r="I5" s="384" t="s">
        <v>45</v>
      </c>
      <c r="J5" s="9">
        <v>98.4</v>
      </c>
      <c r="K5" s="384" t="s">
        <v>45</v>
      </c>
      <c r="L5" s="9">
        <v>98.3</v>
      </c>
      <c r="M5" s="384" t="s">
        <v>45</v>
      </c>
      <c r="N5" s="9">
        <v>81.7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103.6</v>
      </c>
      <c r="G6" s="385"/>
      <c r="H6" s="10">
        <v>115.7</v>
      </c>
      <c r="I6" s="385"/>
      <c r="J6" s="10">
        <v>115.7</v>
      </c>
      <c r="K6" s="385"/>
      <c r="L6" s="10">
        <v>102.6</v>
      </c>
      <c r="M6" s="385"/>
      <c r="N6" s="10">
        <v>96.6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322.7</v>
      </c>
      <c r="G7" s="385"/>
      <c r="H7" s="28">
        <v>322.5</v>
      </c>
      <c r="I7" s="385"/>
      <c r="J7" s="28">
        <v>322.5</v>
      </c>
      <c r="K7" s="385"/>
      <c r="L7" s="28">
        <v>322.60000000000002</v>
      </c>
      <c r="M7" s="385"/>
      <c r="N7" s="28">
        <v>322.5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53.100000000000094</v>
      </c>
      <c r="G8" s="385"/>
      <c r="H8" s="29">
        <v>58.300000000000274</v>
      </c>
      <c r="I8" s="385"/>
      <c r="J8" s="29">
        <v>41.999999999999865</v>
      </c>
      <c r="K8" s="385"/>
      <c r="L8" s="29">
        <v>34.6</v>
      </c>
      <c r="M8" s="385"/>
      <c r="N8" s="29">
        <v>25.999999999999751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16.3</v>
      </c>
      <c r="I9" s="385"/>
      <c r="J9" s="30">
        <v>16</v>
      </c>
      <c r="K9" s="385"/>
      <c r="L9" s="30">
        <v>16.2</v>
      </c>
      <c r="M9" s="385"/>
      <c r="N9" s="30">
        <v>16.100000000000001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24.8</v>
      </c>
      <c r="G10" s="385"/>
      <c r="H10" s="11">
        <v>28.2</v>
      </c>
      <c r="I10" s="385"/>
      <c r="J10" s="11">
        <v>22.1</v>
      </c>
      <c r="K10" s="385"/>
      <c r="L10" s="11">
        <v>21.7</v>
      </c>
      <c r="M10" s="385"/>
      <c r="N10" s="11">
        <v>21.4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18.100000000000001</v>
      </c>
      <c r="G11" s="385"/>
      <c r="H11" s="12">
        <v>18.8</v>
      </c>
      <c r="I11" s="385"/>
      <c r="J11" s="12">
        <v>19</v>
      </c>
      <c r="K11" s="385"/>
      <c r="L11" s="12">
        <v>20.3</v>
      </c>
      <c r="M11" s="385"/>
      <c r="N11" s="12">
        <v>21.4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764.5</v>
      </c>
      <c r="G12" s="385"/>
      <c r="H12" s="13">
        <v>999.3</v>
      </c>
      <c r="I12" s="385"/>
      <c r="J12" s="13">
        <v>956.5</v>
      </c>
      <c r="K12" s="385"/>
      <c r="L12" s="13">
        <v>655</v>
      </c>
      <c r="M12" s="385"/>
      <c r="N12" s="13">
        <v>1002.6</v>
      </c>
      <c r="O12" s="385"/>
    </row>
    <row r="13" spans="2:15" ht="16">
      <c r="B13" s="376"/>
      <c r="C13" s="379"/>
      <c r="D13" s="388"/>
      <c r="E13" s="45" t="s">
        <v>27</v>
      </c>
      <c r="F13" s="13">
        <v>22.1</v>
      </c>
      <c r="G13" s="385"/>
      <c r="H13" s="13">
        <v>2.6</v>
      </c>
      <c r="I13" s="385"/>
      <c r="J13" s="13">
        <v>19.100000000000001</v>
      </c>
      <c r="K13" s="385"/>
      <c r="L13" s="13">
        <v>17.5</v>
      </c>
      <c r="M13" s="385"/>
      <c r="N13" s="13">
        <v>18.399999999999999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250</v>
      </c>
      <c r="G14" s="385"/>
      <c r="H14" s="14">
        <v>88.8</v>
      </c>
      <c r="I14" s="385"/>
      <c r="J14" s="14">
        <v>156.6</v>
      </c>
      <c r="K14" s="385"/>
      <c r="L14" s="14">
        <v>375</v>
      </c>
      <c r="M14" s="385"/>
      <c r="N14" s="14">
        <v>85.5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1660.6</v>
      </c>
      <c r="G15" s="385"/>
      <c r="H15" s="15">
        <v>1748.8</v>
      </c>
      <c r="I15" s="385"/>
      <c r="J15" s="15">
        <v>1767.8999999999996</v>
      </c>
      <c r="K15" s="385"/>
      <c r="L15" s="15">
        <v>1663.8000000000002</v>
      </c>
      <c r="M15" s="385"/>
      <c r="N15" s="15">
        <v>1692.1999999999998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718.5</v>
      </c>
      <c r="G16" s="385"/>
      <c r="H16" s="8">
        <v>865</v>
      </c>
      <c r="I16" s="385"/>
      <c r="J16" s="8">
        <v>868.6</v>
      </c>
      <c r="K16" s="385"/>
      <c r="L16" s="8">
        <v>865</v>
      </c>
      <c r="M16" s="385"/>
      <c r="N16" s="8">
        <v>765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-193.1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-154.6</v>
      </c>
      <c r="G19" s="385"/>
      <c r="H19" s="18">
        <v>-215.1</v>
      </c>
      <c r="I19" s="385"/>
      <c r="J19" s="18">
        <v>-223.1</v>
      </c>
      <c r="K19" s="385"/>
      <c r="L19" s="18">
        <v>-159.5</v>
      </c>
      <c r="M19" s="385"/>
      <c r="N19" s="18">
        <v>-174.1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-0.5</v>
      </c>
      <c r="I20" s="385"/>
      <c r="J20" s="19">
        <v>-0.5</v>
      </c>
      <c r="K20" s="385"/>
      <c r="L20" s="19">
        <v>-56.1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1097.3</v>
      </c>
      <c r="G21" s="386"/>
      <c r="H21" s="27">
        <v>1304.8</v>
      </c>
      <c r="I21" s="386"/>
      <c r="J21" s="27">
        <v>1316.3999999999999</v>
      </c>
      <c r="K21" s="386"/>
      <c r="L21" s="27">
        <v>1278.6999999999998</v>
      </c>
      <c r="M21" s="386"/>
      <c r="N21" s="27">
        <v>1163.3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1660.6</v>
      </c>
      <c r="G23" s="400"/>
      <c r="H23" s="20">
        <v>1748.8</v>
      </c>
      <c r="I23" s="400"/>
      <c r="J23" s="20">
        <v>1767.8999999999996</v>
      </c>
      <c r="K23" s="400"/>
      <c r="L23" s="20">
        <v>1663.8000000000002</v>
      </c>
      <c r="M23" s="400"/>
      <c r="N23" s="20">
        <v>1692.1999999999998</v>
      </c>
      <c r="O23" s="400"/>
    </row>
    <row r="24" spans="2:15" ht="16">
      <c r="B24" s="409"/>
      <c r="C24" s="403" t="s">
        <v>37</v>
      </c>
      <c r="D24" s="404"/>
      <c r="E24" s="405"/>
      <c r="F24" s="21">
        <v>1097.3</v>
      </c>
      <c r="G24" s="401"/>
      <c r="H24" s="21">
        <v>1304.8</v>
      </c>
      <c r="I24" s="401"/>
      <c r="J24" s="21">
        <v>1316.3999999999999</v>
      </c>
      <c r="K24" s="401"/>
      <c r="L24" s="21">
        <v>1278.6999999999998</v>
      </c>
      <c r="M24" s="401"/>
      <c r="N24" s="21">
        <v>1163.3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563.29999999999995</v>
      </c>
      <c r="G25" s="402"/>
      <c r="H25" s="67">
        <v>444</v>
      </c>
      <c r="I25" s="402"/>
      <c r="J25" s="67">
        <v>451.49999999999977</v>
      </c>
      <c r="K25" s="402"/>
      <c r="L25" s="67">
        <v>385.10000000000036</v>
      </c>
      <c r="M25" s="402"/>
      <c r="N25" s="67">
        <v>528.89999999999986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日別の需給状況・再エネ出力抑制の必要性（2023年4月）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126A-399C-425F-B285-D3BEB1D479FA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45039</v>
      </c>
      <c r="G3" s="26" t="s">
        <v>49</v>
      </c>
      <c r="H3" s="25">
        <v>45042</v>
      </c>
      <c r="I3" s="26" t="s">
        <v>48</v>
      </c>
      <c r="J3" s="25">
        <v>45043</v>
      </c>
      <c r="K3" s="26" t="s">
        <v>48</v>
      </c>
      <c r="L3" s="25">
        <v>45044</v>
      </c>
      <c r="M3" s="26" t="s">
        <v>48</v>
      </c>
      <c r="N3" s="25">
        <v>45046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81</v>
      </c>
      <c r="G5" s="384" t="s">
        <v>45</v>
      </c>
      <c r="H5" s="9">
        <v>98.3</v>
      </c>
      <c r="I5" s="384" t="s">
        <v>45</v>
      </c>
      <c r="J5" s="9">
        <v>99.4</v>
      </c>
      <c r="K5" s="384" t="s">
        <v>45</v>
      </c>
      <c r="L5" s="9">
        <v>89.5</v>
      </c>
      <c r="M5" s="384" t="s">
        <v>45</v>
      </c>
      <c r="N5" s="9">
        <v>71.900000000000006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96.5</v>
      </c>
      <c r="G6" s="385"/>
      <c r="H6" s="10">
        <v>107.1</v>
      </c>
      <c r="I6" s="385"/>
      <c r="J6" s="10">
        <v>107.1</v>
      </c>
      <c r="K6" s="385"/>
      <c r="L6" s="10">
        <v>85.2</v>
      </c>
      <c r="M6" s="385"/>
      <c r="N6" s="10">
        <v>46.3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322.5</v>
      </c>
      <c r="G7" s="385"/>
      <c r="H7" s="28">
        <v>386.9</v>
      </c>
      <c r="I7" s="385"/>
      <c r="J7" s="28">
        <v>408.3</v>
      </c>
      <c r="K7" s="385"/>
      <c r="L7" s="28">
        <v>414.6</v>
      </c>
      <c r="M7" s="385"/>
      <c r="N7" s="28">
        <v>414.6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31.299999999999976</v>
      </c>
      <c r="G8" s="385"/>
      <c r="H8" s="29">
        <v>33.299999999999997</v>
      </c>
      <c r="I8" s="385"/>
      <c r="J8" s="29">
        <v>41.2</v>
      </c>
      <c r="K8" s="385"/>
      <c r="L8" s="29">
        <v>30.6</v>
      </c>
      <c r="M8" s="385"/>
      <c r="N8" s="29">
        <v>34.400000000000134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16.100000000000001</v>
      </c>
      <c r="G9" s="385"/>
      <c r="H9" s="30">
        <v>13.8</v>
      </c>
      <c r="I9" s="385"/>
      <c r="J9" s="30">
        <v>13.6</v>
      </c>
      <c r="K9" s="385"/>
      <c r="L9" s="30">
        <v>13.8</v>
      </c>
      <c r="M9" s="385"/>
      <c r="N9" s="30">
        <v>16.2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21.4</v>
      </c>
      <c r="G10" s="385"/>
      <c r="H10" s="11">
        <v>22.1</v>
      </c>
      <c r="I10" s="385"/>
      <c r="J10" s="11">
        <v>19.399999999999999</v>
      </c>
      <c r="K10" s="385"/>
      <c r="L10" s="11">
        <v>20.3</v>
      </c>
      <c r="M10" s="385"/>
      <c r="N10" s="11">
        <v>19.399999999999999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21.8</v>
      </c>
      <c r="G11" s="385"/>
      <c r="H11" s="12">
        <v>22.6</v>
      </c>
      <c r="I11" s="385"/>
      <c r="J11" s="12">
        <v>22.5</v>
      </c>
      <c r="K11" s="385"/>
      <c r="L11" s="12">
        <v>22.8</v>
      </c>
      <c r="M11" s="385"/>
      <c r="N11" s="12">
        <v>23.4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1010.7</v>
      </c>
      <c r="G12" s="385"/>
      <c r="H12" s="13">
        <v>963.6</v>
      </c>
      <c r="I12" s="385"/>
      <c r="J12" s="13">
        <v>1009.3</v>
      </c>
      <c r="K12" s="385"/>
      <c r="L12" s="13">
        <v>891.2</v>
      </c>
      <c r="M12" s="385"/>
      <c r="N12" s="13">
        <v>741.6</v>
      </c>
      <c r="O12" s="385"/>
    </row>
    <row r="13" spans="2:15" ht="16">
      <c r="B13" s="376"/>
      <c r="C13" s="379"/>
      <c r="D13" s="388"/>
      <c r="E13" s="45" t="s">
        <v>27</v>
      </c>
      <c r="F13" s="13">
        <v>16.2</v>
      </c>
      <c r="G13" s="385"/>
      <c r="H13" s="13">
        <v>25</v>
      </c>
      <c r="I13" s="385"/>
      <c r="J13" s="13">
        <v>3.5</v>
      </c>
      <c r="K13" s="385"/>
      <c r="L13" s="13">
        <v>7.5</v>
      </c>
      <c r="M13" s="385"/>
      <c r="N13" s="13">
        <v>6.1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84.3</v>
      </c>
      <c r="G14" s="385"/>
      <c r="H14" s="14">
        <v>149.5</v>
      </c>
      <c r="I14" s="385"/>
      <c r="J14" s="14">
        <v>78.8</v>
      </c>
      <c r="K14" s="385"/>
      <c r="L14" s="14">
        <v>221.9</v>
      </c>
      <c r="M14" s="385"/>
      <c r="N14" s="14">
        <v>250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1701.8</v>
      </c>
      <c r="G15" s="385"/>
      <c r="H15" s="15">
        <v>1822.1999999999998</v>
      </c>
      <c r="I15" s="385"/>
      <c r="J15" s="15">
        <v>1803.1</v>
      </c>
      <c r="K15" s="385"/>
      <c r="L15" s="15">
        <v>1797.4</v>
      </c>
      <c r="M15" s="385"/>
      <c r="N15" s="15">
        <v>1623.9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725</v>
      </c>
      <c r="G16" s="385"/>
      <c r="H16" s="8">
        <v>865</v>
      </c>
      <c r="I16" s="385"/>
      <c r="J16" s="8">
        <v>865</v>
      </c>
      <c r="K16" s="385"/>
      <c r="L16" s="8">
        <v>865</v>
      </c>
      <c r="M16" s="385"/>
      <c r="N16" s="8">
        <v>715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-186.7</v>
      </c>
      <c r="I17" s="385"/>
      <c r="J17" s="16">
        <v>-186.7</v>
      </c>
      <c r="K17" s="385"/>
      <c r="L17" s="16">
        <v>-186.7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-153.19999999999999</v>
      </c>
      <c r="G19" s="385"/>
      <c r="H19" s="18">
        <v>-203.6</v>
      </c>
      <c r="I19" s="385"/>
      <c r="J19" s="18">
        <v>-207.3</v>
      </c>
      <c r="K19" s="385"/>
      <c r="L19" s="18">
        <v>-147.69999999999999</v>
      </c>
      <c r="M19" s="385"/>
      <c r="N19" s="18">
        <v>-154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-0.6</v>
      </c>
      <c r="I20" s="385"/>
      <c r="J20" s="19">
        <v>3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1102.4000000000001</v>
      </c>
      <c r="G21" s="386"/>
      <c r="H21" s="27">
        <v>1260.8999999999999</v>
      </c>
      <c r="I21" s="386"/>
      <c r="J21" s="27">
        <v>1261</v>
      </c>
      <c r="K21" s="386"/>
      <c r="L21" s="27">
        <v>1204.4000000000001</v>
      </c>
      <c r="M21" s="386"/>
      <c r="N21" s="27">
        <v>1093.2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1701.8</v>
      </c>
      <c r="G23" s="400"/>
      <c r="H23" s="20">
        <v>1822.1999999999998</v>
      </c>
      <c r="I23" s="400"/>
      <c r="J23" s="20">
        <v>1803.1</v>
      </c>
      <c r="K23" s="400"/>
      <c r="L23" s="20">
        <v>1797.4</v>
      </c>
      <c r="M23" s="400"/>
      <c r="N23" s="20">
        <v>1623.9</v>
      </c>
      <c r="O23" s="400"/>
    </row>
    <row r="24" spans="2:15" ht="16">
      <c r="B24" s="409"/>
      <c r="C24" s="403" t="s">
        <v>37</v>
      </c>
      <c r="D24" s="404"/>
      <c r="E24" s="405"/>
      <c r="F24" s="21">
        <v>1102.4000000000001</v>
      </c>
      <c r="G24" s="401"/>
      <c r="H24" s="21">
        <v>1260.8999999999999</v>
      </c>
      <c r="I24" s="401"/>
      <c r="J24" s="21">
        <v>1261</v>
      </c>
      <c r="K24" s="401"/>
      <c r="L24" s="21">
        <v>1204.4000000000001</v>
      </c>
      <c r="M24" s="401"/>
      <c r="N24" s="21">
        <v>1093.2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599.39999999999986</v>
      </c>
      <c r="G25" s="402"/>
      <c r="H25" s="67">
        <v>561.29999999999995</v>
      </c>
      <c r="I25" s="402"/>
      <c r="J25" s="67">
        <v>542.09999999999991</v>
      </c>
      <c r="K25" s="402"/>
      <c r="L25" s="67">
        <v>593</v>
      </c>
      <c r="M25" s="402"/>
      <c r="N25" s="67">
        <v>530.70000000000005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日別の需給状況・再エネ出力抑制の必要性（2023年4月）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D22D-A727-4E07-8879-A120FDC20DE6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45017</v>
      </c>
      <c r="G3" s="418"/>
      <c r="H3" s="418"/>
      <c r="I3" s="419"/>
      <c r="J3" s="417">
        <v>45018</v>
      </c>
      <c r="K3" s="418"/>
      <c r="L3" s="418"/>
      <c r="M3" s="419"/>
      <c r="N3" s="417">
        <v>45019</v>
      </c>
      <c r="O3" s="418"/>
      <c r="P3" s="418"/>
      <c r="Q3" s="419"/>
      <c r="R3" s="417">
        <v>45020</v>
      </c>
      <c r="S3" s="418"/>
      <c r="T3" s="418"/>
      <c r="U3" s="419"/>
      <c r="V3" s="417">
        <v>45024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f>SUM(G5,-F5)</f>
        <v>0</v>
      </c>
      <c r="I5" s="219"/>
      <c r="J5" s="166">
        <v>15.7</v>
      </c>
      <c r="K5" s="165">
        <v>15.7</v>
      </c>
      <c r="L5" s="164">
        <f>SUM(K5,-J5)</f>
        <v>0</v>
      </c>
      <c r="M5" s="219"/>
      <c r="N5" s="166">
        <v>15.7</v>
      </c>
      <c r="O5" s="165">
        <v>15.7</v>
      </c>
      <c r="P5" s="164">
        <f>SUM(O5,-N5)</f>
        <v>0</v>
      </c>
      <c r="Q5" s="219"/>
      <c r="R5" s="166">
        <v>15.7</v>
      </c>
      <c r="S5" s="165">
        <v>15.7</v>
      </c>
      <c r="T5" s="164">
        <f>SUM(S5,-R5)</f>
        <v>0</v>
      </c>
      <c r="U5" s="219"/>
      <c r="V5" s="166">
        <v>15.7</v>
      </c>
      <c r="W5" s="165">
        <v>15.7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ref="H7" si="0">SUM(G7,-F7)</f>
        <v>0</v>
      </c>
      <c r="I7" s="219"/>
      <c r="J7" s="166">
        <v>0</v>
      </c>
      <c r="K7" s="165">
        <v>0</v>
      </c>
      <c r="L7" s="164">
        <f t="shared" ref="L7" si="1">SUM(K7,-J7)</f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11</v>
      </c>
      <c r="W7" s="165">
        <v>12</v>
      </c>
      <c r="X7" s="164">
        <f t="shared" ref="X7" si="4">SUM(W7,-V7)</f>
        <v>1</v>
      </c>
      <c r="Y7" s="219"/>
    </row>
    <row r="8" spans="3:25" ht="16">
      <c r="C8" s="423"/>
      <c r="D8" s="426"/>
      <c r="E8" s="218" t="s">
        <v>133</v>
      </c>
      <c r="F8" s="217">
        <f>G8-14.4</f>
        <v>52.800000000000004</v>
      </c>
      <c r="G8" s="216">
        <v>67.2</v>
      </c>
      <c r="H8" s="215">
        <f>SUM(G8,-F8)</f>
        <v>14.399999999999999</v>
      </c>
      <c r="I8" s="214" t="s">
        <v>150</v>
      </c>
      <c r="J8" s="217">
        <f>K8-14.4</f>
        <v>52.000000000000007</v>
      </c>
      <c r="K8" s="216">
        <v>66.400000000000006</v>
      </c>
      <c r="L8" s="215">
        <f>SUM(K8,-J8)</f>
        <v>14.399999999999999</v>
      </c>
      <c r="M8" s="214" t="s">
        <v>150</v>
      </c>
      <c r="N8" s="217">
        <f>O8-14.4</f>
        <v>54.6</v>
      </c>
      <c r="O8" s="216">
        <v>69</v>
      </c>
      <c r="P8" s="215">
        <f>SUM(O8,-N8)</f>
        <v>14.399999999999999</v>
      </c>
      <c r="Q8" s="214" t="s">
        <v>173</v>
      </c>
      <c r="R8" s="217">
        <f>S8-14.4</f>
        <v>54.6</v>
      </c>
      <c r="S8" s="216">
        <v>69</v>
      </c>
      <c r="T8" s="215">
        <f>SUM(S8,-R8)</f>
        <v>14.399999999999999</v>
      </c>
      <c r="U8" s="214" t="s">
        <v>173</v>
      </c>
      <c r="V8" s="217">
        <f>W8-14.4</f>
        <v>34.699999999999996</v>
      </c>
      <c r="W8" s="216">
        <v>49.099999999999994</v>
      </c>
      <c r="X8" s="215">
        <f>SUM(W8,-V8)</f>
        <v>14.399999999999999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f>SUM(F5:F8)</f>
        <v>86</v>
      </c>
      <c r="G9" s="187">
        <f>SUM(G5:G8)</f>
        <v>100.4</v>
      </c>
      <c r="H9" s="187">
        <f>SUM(H5:H8)</f>
        <v>14.399999999999999</v>
      </c>
      <c r="I9" s="213" t="s">
        <v>159</v>
      </c>
      <c r="J9" s="188">
        <f>SUM(J5:J8)</f>
        <v>85.200000000000017</v>
      </c>
      <c r="K9" s="187">
        <f>SUM(K5:K8)</f>
        <v>99.600000000000009</v>
      </c>
      <c r="L9" s="187">
        <f>SUM(L5:L8)</f>
        <v>14.399999999999999</v>
      </c>
      <c r="M9" s="213" t="s">
        <v>159</v>
      </c>
      <c r="N9" s="188">
        <f>SUM(N5:N8)</f>
        <v>87.800000000000011</v>
      </c>
      <c r="O9" s="187">
        <f>SUM(O5:O8)</f>
        <v>102.2</v>
      </c>
      <c r="P9" s="187">
        <f>SUM(P5:P8)</f>
        <v>14.399999999999999</v>
      </c>
      <c r="Q9" s="213" t="s">
        <v>81</v>
      </c>
      <c r="R9" s="188">
        <f>SUM(R5:R8)</f>
        <v>87.800000000000011</v>
      </c>
      <c r="S9" s="187">
        <f>SUM(S5:S8)</f>
        <v>102.2</v>
      </c>
      <c r="T9" s="187">
        <f>SUM(T5:T8)</f>
        <v>14.399999999999999</v>
      </c>
      <c r="U9" s="213" t="s">
        <v>81</v>
      </c>
      <c r="V9" s="188">
        <f>SUM(V5:V8)</f>
        <v>78.900000000000006</v>
      </c>
      <c r="W9" s="187">
        <f>SUM(W5:W8)</f>
        <v>94.3</v>
      </c>
      <c r="X9" s="187">
        <f>SUM(X5:X8)</f>
        <v>15.399999999999999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f>F3</f>
        <v>45017</v>
      </c>
      <c r="G11" s="433"/>
      <c r="H11" s="433"/>
      <c r="I11" s="434"/>
      <c r="J11" s="432">
        <f>J3</f>
        <v>45018</v>
      </c>
      <c r="K11" s="433"/>
      <c r="L11" s="433"/>
      <c r="M11" s="434"/>
      <c r="N11" s="432">
        <v>45019</v>
      </c>
      <c r="O11" s="433"/>
      <c r="P11" s="433"/>
      <c r="Q11" s="434"/>
      <c r="R11" s="432">
        <v>45020</v>
      </c>
      <c r="S11" s="433"/>
      <c r="T11" s="433"/>
      <c r="U11" s="434"/>
      <c r="V11" s="432">
        <v>45024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>SUM(G13,-F13)</f>
        <v>0</v>
      </c>
      <c r="I13" s="189"/>
      <c r="J13" s="166">
        <v>-26.1</v>
      </c>
      <c r="K13" s="165">
        <v>-26.1</v>
      </c>
      <c r="L13" s="164">
        <f>SUM(K13,-J13)</f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ref="H14:H20" si="5">SUM(G14,-F14)</f>
        <v>0</v>
      </c>
      <c r="I14" s="189"/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189"/>
      <c r="J15" s="166">
        <v>-32.5</v>
      </c>
      <c r="K15" s="165">
        <v>-32.5</v>
      </c>
      <c r="L15" s="164">
        <f t="shared" si="6"/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189"/>
      <c r="J16" s="166">
        <v>-32.5</v>
      </c>
      <c r="K16" s="165">
        <v>-32.5</v>
      </c>
      <c r="L16" s="164">
        <f t="shared" si="6"/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f t="shared" si="5"/>
        <v>34</v>
      </c>
      <c r="I17" s="212" t="s">
        <v>149</v>
      </c>
      <c r="J17" s="166">
        <v>-34</v>
      </c>
      <c r="K17" s="165">
        <v>0</v>
      </c>
      <c r="L17" s="164">
        <f t="shared" si="6"/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189"/>
      <c r="J19" s="166">
        <v>-34</v>
      </c>
      <c r="K19" s="165">
        <v>-34</v>
      </c>
      <c r="L19" s="164">
        <f t="shared" si="6"/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5"/>
        <v>0</v>
      </c>
      <c r="I20" s="189"/>
      <c r="J20" s="166">
        <v>-34</v>
      </c>
      <c r="K20" s="165">
        <v>-34</v>
      </c>
      <c r="L20" s="164">
        <f t="shared" si="6"/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-219.2</v>
      </c>
      <c r="H21" s="187">
        <f>SUM(H13:H20)</f>
        <v>34</v>
      </c>
      <c r="I21" s="186" t="s">
        <v>159</v>
      </c>
      <c r="J21" s="188">
        <f>SUM(J13:J20)</f>
        <v>-253.2</v>
      </c>
      <c r="K21" s="187">
        <f>SUM(K13:K20)</f>
        <v>-219.2</v>
      </c>
      <c r="L21" s="187">
        <f>SUM(L13:L20)</f>
        <v>34</v>
      </c>
      <c r="M21" s="186" t="s">
        <v>159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f>F3</f>
        <v>45017</v>
      </c>
      <c r="G23" s="433"/>
      <c r="H23" s="433"/>
      <c r="I23" s="434"/>
      <c r="J23" s="432">
        <f>J3</f>
        <v>45018</v>
      </c>
      <c r="K23" s="433"/>
      <c r="L23" s="433"/>
      <c r="M23" s="434"/>
      <c r="N23" s="432">
        <v>45019</v>
      </c>
      <c r="O23" s="433"/>
      <c r="P23" s="433"/>
      <c r="Q23" s="434"/>
      <c r="R23" s="432">
        <v>45020</v>
      </c>
      <c r="S23" s="433"/>
      <c r="T23" s="433"/>
      <c r="U23" s="434"/>
      <c r="V23" s="432">
        <v>45024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f>SUM(G25,-F25)</f>
        <v>0</v>
      </c>
      <c r="I25" s="206"/>
      <c r="J25" s="209">
        <v>-5</v>
      </c>
      <c r="K25" s="208">
        <v>-5</v>
      </c>
      <c r="L25" s="207">
        <f>SUM(K25,-J25)</f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f>F3</f>
        <v>45017</v>
      </c>
      <c r="G27" s="433"/>
      <c r="H27" s="433"/>
      <c r="I27" s="434"/>
      <c r="J27" s="432">
        <f>J3</f>
        <v>45018</v>
      </c>
      <c r="K27" s="433"/>
      <c r="L27" s="433"/>
      <c r="M27" s="434"/>
      <c r="N27" s="432">
        <v>45019</v>
      </c>
      <c r="O27" s="433"/>
      <c r="P27" s="433"/>
      <c r="Q27" s="434"/>
      <c r="R27" s="432">
        <v>45020</v>
      </c>
      <c r="S27" s="433"/>
      <c r="T27" s="433"/>
      <c r="U27" s="434"/>
      <c r="V27" s="432">
        <v>45024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86</v>
      </c>
      <c r="P28" s="180" t="s">
        <v>85</v>
      </c>
      <c r="Q28" s="179" t="s">
        <v>92</v>
      </c>
      <c r="R28" s="203" t="s">
        <v>172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>
        <v>43.8</v>
      </c>
      <c r="W29" s="455">
        <v>68.900000000000006</v>
      </c>
      <c r="X29" s="457">
        <v>25.100000000000009</v>
      </c>
      <c r="Y29" s="459" t="s">
        <v>149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/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 t="shared" ref="H31:H37" si="7">SUM(G31,-F31)</f>
        <v>0</v>
      </c>
      <c r="I31" s="459"/>
      <c r="J31" s="200">
        <v>54.4</v>
      </c>
      <c r="K31" s="455">
        <v>54.4</v>
      </c>
      <c r="L31" s="457">
        <f t="shared" ref="L31" si="8">SUM(K31,-J31)</f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26.119999999999997</v>
      </c>
      <c r="H33" s="457">
        <f t="shared" si="7"/>
        <v>-23.080000000000005</v>
      </c>
      <c r="I33" s="459" t="s">
        <v>146</v>
      </c>
      <c r="J33" s="200">
        <v>49.2</v>
      </c>
      <c r="K33" s="199">
        <v>29.1</v>
      </c>
      <c r="L33" s="457">
        <f t="shared" ref="L33" si="9">SUM(K33,-J33)</f>
        <v>-20.100000000000001</v>
      </c>
      <c r="M33" s="459" t="s">
        <v>146</v>
      </c>
      <c r="N33" s="200">
        <v>49.2</v>
      </c>
      <c r="O33" s="199">
        <v>41.1</v>
      </c>
      <c r="P33" s="457">
        <v>-8.1000000000000014</v>
      </c>
      <c r="Q33" s="459" t="s">
        <v>146</v>
      </c>
      <c r="R33" s="200">
        <v>49.2</v>
      </c>
      <c r="S33" s="199">
        <v>42.2</v>
      </c>
      <c r="T33" s="457">
        <v>-7</v>
      </c>
      <c r="U33" s="459" t="s">
        <v>146</v>
      </c>
      <c r="V33" s="200">
        <v>49.2</v>
      </c>
      <c r="W33" s="199">
        <v>22.4</v>
      </c>
      <c r="X33" s="457">
        <v>-26.800000000000004</v>
      </c>
      <c r="Y33" s="459" t="s">
        <v>146</v>
      </c>
    </row>
    <row r="34" spans="3:25" ht="16">
      <c r="C34" s="451"/>
      <c r="D34" s="467"/>
      <c r="E34" s="463" t="s">
        <v>104</v>
      </c>
      <c r="F34" s="198">
        <v>0.26</v>
      </c>
      <c r="G34" s="230">
        <v>14</v>
      </c>
      <c r="H34" s="458"/>
      <c r="I34" s="460"/>
      <c r="J34" s="198">
        <v>0.26</v>
      </c>
      <c r="K34" s="230">
        <v>0.15</v>
      </c>
      <c r="L34" s="458"/>
      <c r="M34" s="460"/>
      <c r="N34" s="198">
        <v>0.26</v>
      </c>
      <c r="O34" s="197">
        <v>0.22</v>
      </c>
      <c r="P34" s="458"/>
      <c r="Q34" s="460"/>
      <c r="R34" s="198">
        <v>0.26</v>
      </c>
      <c r="S34" s="197">
        <v>0.22</v>
      </c>
      <c r="T34" s="458"/>
      <c r="U34" s="460"/>
      <c r="V34" s="198">
        <v>0.26</v>
      </c>
      <c r="W34" s="197">
        <v>0.12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1</v>
      </c>
      <c r="H37" s="164">
        <f t="shared" si="7"/>
        <v>-12</v>
      </c>
      <c r="I37" s="189" t="s">
        <v>170</v>
      </c>
      <c r="J37" s="166">
        <v>13</v>
      </c>
      <c r="K37" s="165">
        <v>0.9</v>
      </c>
      <c r="L37" s="164">
        <f t="shared" ref="L37" si="10">SUM(K37,-J37)</f>
        <v>-12.1</v>
      </c>
      <c r="M37" s="189" t="s">
        <v>170</v>
      </c>
      <c r="N37" s="166">
        <v>13</v>
      </c>
      <c r="O37" s="165">
        <v>1</v>
      </c>
      <c r="P37" s="164">
        <v>-12</v>
      </c>
      <c r="Q37" s="189" t="s">
        <v>170</v>
      </c>
      <c r="R37" s="166">
        <v>13</v>
      </c>
      <c r="S37" s="165">
        <v>1</v>
      </c>
      <c r="T37" s="164">
        <v>-12</v>
      </c>
      <c r="U37" s="189" t="s">
        <v>170</v>
      </c>
      <c r="V37" s="166">
        <v>13</v>
      </c>
      <c r="W37" s="165">
        <v>1.8</v>
      </c>
      <c r="X37" s="164">
        <v>-11.2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160.39999999999998</v>
      </c>
      <c r="G38" s="187">
        <f>SUM(G29:G33,G37)</f>
        <v>125.32</v>
      </c>
      <c r="H38" s="187">
        <f>SUM(H29:H34,H37)</f>
        <v>-35.080000000000005</v>
      </c>
      <c r="I38" s="186"/>
      <c r="J38" s="188">
        <f>SUM(J29,J31,J33,J37)</f>
        <v>160.39999999999998</v>
      </c>
      <c r="K38" s="187">
        <f>SUM(K29:K33,K37)</f>
        <v>128.19999999999999</v>
      </c>
      <c r="L38" s="187">
        <f>SUM(L29:L34,L37)</f>
        <v>-32.200000000000003</v>
      </c>
      <c r="M38" s="186"/>
      <c r="N38" s="188">
        <v>160.39999999999998</v>
      </c>
      <c r="O38" s="187">
        <v>140.29999999999998</v>
      </c>
      <c r="P38" s="187">
        <v>-20.100000000000001</v>
      </c>
      <c r="Q38" s="186"/>
      <c r="R38" s="188">
        <v>160.39999999999998</v>
      </c>
      <c r="S38" s="187">
        <v>141.39999999999998</v>
      </c>
      <c r="T38" s="187">
        <v>-19</v>
      </c>
      <c r="U38" s="186"/>
      <c r="V38" s="188">
        <v>160.39999999999998</v>
      </c>
      <c r="W38" s="187">
        <v>147.50000000000003</v>
      </c>
      <c r="X38" s="187">
        <v>-12.899999999999995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32">
        <f>F3</f>
        <v>45017</v>
      </c>
      <c r="G40" s="433"/>
      <c r="H40" s="433"/>
      <c r="I40" s="434"/>
      <c r="J40" s="432">
        <f>J3</f>
        <v>45018</v>
      </c>
      <c r="K40" s="433"/>
      <c r="L40" s="433"/>
      <c r="M40" s="434"/>
      <c r="N40" s="432">
        <v>45019</v>
      </c>
      <c r="O40" s="433"/>
      <c r="P40" s="433"/>
      <c r="Q40" s="434"/>
      <c r="R40" s="469">
        <v>45020</v>
      </c>
      <c r="S40" s="470"/>
      <c r="T40" s="470"/>
      <c r="U40" s="471"/>
      <c r="V40" s="469">
        <v>45024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18.2</v>
      </c>
      <c r="G42" s="478">
        <v>0</v>
      </c>
      <c r="H42" s="457">
        <f>SUM(G42,-F42)</f>
        <v>-18.2</v>
      </c>
      <c r="I42" s="459" t="s">
        <v>151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8.5</v>
      </c>
      <c r="W42" s="478">
        <v>0</v>
      </c>
      <c r="X42" s="457">
        <v>-8.5</v>
      </c>
      <c r="Y42" s="459" t="s">
        <v>151</v>
      </c>
    </row>
    <row r="43" spans="3:25" ht="16.5" thickBot="1">
      <c r="C43" s="474"/>
      <c r="D43" s="475"/>
      <c r="E43" s="477"/>
      <c r="F43" s="183">
        <v>190</v>
      </c>
      <c r="G43" s="510"/>
      <c r="H43" s="511"/>
      <c r="I43" s="532"/>
      <c r="J43" s="183">
        <v>190</v>
      </c>
      <c r="K43" s="510"/>
      <c r="L43" s="511"/>
      <c r="M43" s="532"/>
      <c r="N43" s="183">
        <v>238</v>
      </c>
      <c r="O43" s="479"/>
      <c r="P43" s="509"/>
      <c r="Q43" s="481"/>
      <c r="R43" s="183">
        <v>238</v>
      </c>
      <c r="S43" s="479"/>
      <c r="T43" s="480"/>
      <c r="U43" s="481"/>
      <c r="V43" s="183">
        <v>188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32">
        <f>F3</f>
        <v>45017</v>
      </c>
      <c r="G45" s="433"/>
      <c r="H45" s="433"/>
      <c r="I45" s="434"/>
      <c r="J45" s="432">
        <f>J3</f>
        <v>45018</v>
      </c>
      <c r="K45" s="433"/>
      <c r="L45" s="433"/>
      <c r="M45" s="434"/>
      <c r="N45" s="432">
        <v>45019</v>
      </c>
      <c r="O45" s="433"/>
      <c r="P45" s="433"/>
      <c r="Q45" s="434"/>
      <c r="R45" s="469">
        <v>45020</v>
      </c>
      <c r="S45" s="470"/>
      <c r="T45" s="470"/>
      <c r="U45" s="471"/>
      <c r="V45" s="469">
        <v>45024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86</v>
      </c>
      <c r="P46" s="180" t="s">
        <v>85</v>
      </c>
      <c r="Q46" s="179" t="s">
        <v>92</v>
      </c>
      <c r="R46" s="171" t="s">
        <v>167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26.8</v>
      </c>
      <c r="G47" s="478">
        <v>23.6</v>
      </c>
      <c r="H47" s="457">
        <f>SUM(G47,-F47)</f>
        <v>-3.1999999999999993</v>
      </c>
      <c r="I47" s="459" t="s">
        <v>146</v>
      </c>
      <c r="J47" s="178">
        <v>26.8</v>
      </c>
      <c r="K47" s="478">
        <v>22</v>
      </c>
      <c r="L47" s="457">
        <f>SUM(K47,-J47)</f>
        <v>-4.8000000000000007</v>
      </c>
      <c r="M47" s="459" t="s">
        <v>146</v>
      </c>
      <c r="N47" s="178">
        <v>23.2</v>
      </c>
      <c r="O47" s="478">
        <v>22</v>
      </c>
      <c r="P47" s="457">
        <v>-1.1999999999999993</v>
      </c>
      <c r="Q47" s="459" t="s">
        <v>146</v>
      </c>
      <c r="R47" s="178">
        <v>21.8</v>
      </c>
      <c r="S47" s="478">
        <v>25.4</v>
      </c>
      <c r="T47" s="457">
        <v>3.5999999999999979</v>
      </c>
      <c r="U47" s="459" t="s">
        <v>149</v>
      </c>
      <c r="V47" s="178">
        <v>21.8</v>
      </c>
      <c r="W47" s="478">
        <v>22</v>
      </c>
      <c r="X47" s="457">
        <v>0.19999999999999929</v>
      </c>
      <c r="Y47" s="459" t="s">
        <v>149</v>
      </c>
    </row>
    <row r="48" spans="3:25" ht="16.5" thickBot="1">
      <c r="C48" s="486"/>
      <c r="D48" s="487"/>
      <c r="E48" s="489"/>
      <c r="F48" s="177">
        <v>0.62</v>
      </c>
      <c r="G48" s="510"/>
      <c r="H48" s="511"/>
      <c r="I48" s="532"/>
      <c r="J48" s="177">
        <v>0.62</v>
      </c>
      <c r="K48" s="510"/>
      <c r="L48" s="511"/>
      <c r="M48" s="532"/>
      <c r="N48" s="177">
        <v>0.65</v>
      </c>
      <c r="O48" s="479"/>
      <c r="P48" s="509"/>
      <c r="Q48" s="532"/>
      <c r="R48" s="177">
        <v>0.65</v>
      </c>
      <c r="S48" s="479"/>
      <c r="T48" s="480"/>
      <c r="U48" s="532"/>
      <c r="V48" s="177">
        <v>0.65</v>
      </c>
      <c r="W48" s="479"/>
      <c r="X48" s="480"/>
      <c r="Y48" s="53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32">
        <f>F3</f>
        <v>45017</v>
      </c>
      <c r="G50" s="433"/>
      <c r="H50" s="433"/>
      <c r="I50" s="434"/>
      <c r="J50" s="432">
        <f>J3</f>
        <v>45018</v>
      </c>
      <c r="K50" s="433"/>
      <c r="L50" s="433"/>
      <c r="M50" s="434"/>
      <c r="N50" s="432">
        <v>45019</v>
      </c>
      <c r="O50" s="433"/>
      <c r="P50" s="433"/>
      <c r="Q50" s="434"/>
      <c r="R50" s="469">
        <v>45020</v>
      </c>
      <c r="S50" s="470"/>
      <c r="T50" s="470"/>
      <c r="U50" s="471"/>
      <c r="V50" s="469">
        <v>45024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200</v>
      </c>
      <c r="O51" s="170" t="s">
        <v>86</v>
      </c>
      <c r="P51" s="169" t="s">
        <v>85</v>
      </c>
      <c r="Q51" s="168" t="s">
        <v>84</v>
      </c>
      <c r="R51" s="171" t="s">
        <v>200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23.4</v>
      </c>
      <c r="H53" s="223" t="s">
        <v>159</v>
      </c>
      <c r="I53" s="222" t="s">
        <v>201</v>
      </c>
      <c r="J53" s="225">
        <v>0</v>
      </c>
      <c r="K53" s="229">
        <v>22.3</v>
      </c>
      <c r="L53" s="223" t="s">
        <v>159</v>
      </c>
      <c r="M53" s="222" t="s">
        <v>201</v>
      </c>
      <c r="N53" s="225">
        <v>0</v>
      </c>
      <c r="O53" s="224">
        <v>21.8</v>
      </c>
      <c r="P53" s="223" t="s">
        <v>81</v>
      </c>
      <c r="Q53" s="222" t="s">
        <v>201</v>
      </c>
      <c r="R53" s="225">
        <v>0</v>
      </c>
      <c r="S53" s="224">
        <v>21.8</v>
      </c>
      <c r="T53" s="223" t="s">
        <v>81</v>
      </c>
      <c r="U53" s="222" t="s">
        <v>201</v>
      </c>
      <c r="V53" s="225">
        <v>0</v>
      </c>
      <c r="W53" s="224">
        <v>21.7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D8D2-195E-47B8-9251-3AE7AA17A945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45025</v>
      </c>
      <c r="G3" s="418"/>
      <c r="H3" s="418"/>
      <c r="I3" s="419"/>
      <c r="J3" s="417">
        <v>45026</v>
      </c>
      <c r="K3" s="418"/>
      <c r="L3" s="418"/>
      <c r="M3" s="419"/>
      <c r="N3" s="417">
        <v>45027</v>
      </c>
      <c r="O3" s="418"/>
      <c r="P3" s="418"/>
      <c r="Q3" s="419"/>
      <c r="R3" s="417">
        <v>45028</v>
      </c>
      <c r="S3" s="418"/>
      <c r="T3" s="418"/>
      <c r="U3" s="419"/>
      <c r="V3" s="417">
        <v>45029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f>SUM(G5,-F5)</f>
        <v>0</v>
      </c>
      <c r="I5" s="219"/>
      <c r="J5" s="166">
        <v>15.7</v>
      </c>
      <c r="K5" s="165">
        <v>16.600000000000001</v>
      </c>
      <c r="L5" s="164">
        <f>SUM(K5,-J5)</f>
        <v>0.90000000000000213</v>
      </c>
      <c r="M5" s="219" t="s">
        <v>151</v>
      </c>
      <c r="N5" s="166">
        <v>15.7</v>
      </c>
      <c r="O5" s="165">
        <v>15.9</v>
      </c>
      <c r="P5" s="164">
        <f>SUM(O5,-N5)</f>
        <v>0.20000000000000107</v>
      </c>
      <c r="Q5" s="219" t="s">
        <v>183</v>
      </c>
      <c r="R5" s="166">
        <v>20.3</v>
      </c>
      <c r="S5" s="165">
        <v>20.9</v>
      </c>
      <c r="T5" s="164">
        <f>SUM(S5,-R5)</f>
        <v>0.59999999999999787</v>
      </c>
      <c r="U5" s="219" t="s">
        <v>183</v>
      </c>
      <c r="V5" s="166">
        <v>20.3</v>
      </c>
      <c r="W5" s="165">
        <v>23.9</v>
      </c>
      <c r="X5" s="164">
        <f>SUM(W5,-V5)</f>
        <v>3.5999999999999979</v>
      </c>
      <c r="Y5" s="219" t="s">
        <v>183</v>
      </c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ref="H7" si="0">SUM(G7,-F7)</f>
        <v>0</v>
      </c>
      <c r="I7" s="219"/>
      <c r="J7" s="166">
        <v>0</v>
      </c>
      <c r="K7" s="165">
        <v>0</v>
      </c>
      <c r="L7" s="164">
        <f t="shared" ref="L7" si="1">SUM(K7,-J7)</f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19"/>
    </row>
    <row r="8" spans="3:25" ht="16">
      <c r="C8" s="423"/>
      <c r="D8" s="426"/>
      <c r="E8" s="218" t="s">
        <v>133</v>
      </c>
      <c r="F8" s="217">
        <f>G8-14.4</f>
        <v>33.299999999999997</v>
      </c>
      <c r="G8" s="216">
        <v>47.699999999999996</v>
      </c>
      <c r="H8" s="215">
        <f>SUM(G8,-F8)</f>
        <v>14.399999999999999</v>
      </c>
      <c r="I8" s="214" t="s">
        <v>173</v>
      </c>
      <c r="J8" s="217">
        <f>K8-14.4</f>
        <v>36</v>
      </c>
      <c r="K8" s="216">
        <v>50.4</v>
      </c>
      <c r="L8" s="215">
        <f>SUM(K8,-J8)</f>
        <v>14.399999999999999</v>
      </c>
      <c r="M8" s="214" t="s">
        <v>173</v>
      </c>
      <c r="N8" s="217">
        <f>O8-14.4</f>
        <v>36</v>
      </c>
      <c r="O8" s="216">
        <v>50.4</v>
      </c>
      <c r="P8" s="215">
        <f>SUM(O8,-N8)</f>
        <v>14.399999999999999</v>
      </c>
      <c r="Q8" s="214" t="s">
        <v>173</v>
      </c>
      <c r="R8" s="217">
        <f>S8-14.4</f>
        <v>35.799999999999997</v>
      </c>
      <c r="S8" s="216">
        <v>50.199999999999996</v>
      </c>
      <c r="T8" s="215">
        <f>SUM(S8,-R8)</f>
        <v>14.399999999999999</v>
      </c>
      <c r="U8" s="214" t="s">
        <v>173</v>
      </c>
      <c r="V8" s="217">
        <f>W8-14.4</f>
        <v>36.1</v>
      </c>
      <c r="W8" s="216">
        <v>50.5</v>
      </c>
      <c r="X8" s="215">
        <f>SUM(W8,-V8)</f>
        <v>14.399999999999999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f>SUM(F5:F8)</f>
        <v>66.5</v>
      </c>
      <c r="G9" s="187">
        <f>SUM(G5:G8)</f>
        <v>80.900000000000006</v>
      </c>
      <c r="H9" s="187">
        <f>SUM(H5:H8)</f>
        <v>14.399999999999999</v>
      </c>
      <c r="I9" s="213" t="s">
        <v>81</v>
      </c>
      <c r="J9" s="188">
        <f>SUM(J5:J8)</f>
        <v>69.2</v>
      </c>
      <c r="K9" s="187">
        <f>SUM(K5:K8)</f>
        <v>84.5</v>
      </c>
      <c r="L9" s="187">
        <f>SUM(L5:L8)</f>
        <v>15.3</v>
      </c>
      <c r="M9" s="213" t="s">
        <v>81</v>
      </c>
      <c r="N9" s="188">
        <f>SUM(N5:N8)</f>
        <v>69.2</v>
      </c>
      <c r="O9" s="187">
        <f>SUM(O5:O8)</f>
        <v>83.8</v>
      </c>
      <c r="P9" s="187">
        <f>SUM(P5:P8)</f>
        <v>14.6</v>
      </c>
      <c r="Q9" s="213" t="s">
        <v>81</v>
      </c>
      <c r="R9" s="188">
        <f>SUM(R5:R8)</f>
        <v>73.599999999999994</v>
      </c>
      <c r="S9" s="187">
        <f>SUM(S5:S8)</f>
        <v>88.6</v>
      </c>
      <c r="T9" s="187">
        <f>SUM(T5:T8)</f>
        <v>14.999999999999996</v>
      </c>
      <c r="U9" s="213" t="s">
        <v>81</v>
      </c>
      <c r="V9" s="188">
        <f>SUM(V5:V8)</f>
        <v>73.900000000000006</v>
      </c>
      <c r="W9" s="187">
        <f>SUM(W5:W8)</f>
        <v>91.9</v>
      </c>
      <c r="X9" s="187">
        <f>SUM(X5:X8)</f>
        <v>17.999999999999996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45025</v>
      </c>
      <c r="G11" s="433"/>
      <c r="H11" s="433"/>
      <c r="I11" s="434"/>
      <c r="J11" s="432">
        <v>45026</v>
      </c>
      <c r="K11" s="433"/>
      <c r="L11" s="433"/>
      <c r="M11" s="434"/>
      <c r="N11" s="432">
        <v>45027</v>
      </c>
      <c r="O11" s="433"/>
      <c r="P11" s="433"/>
      <c r="Q11" s="434"/>
      <c r="R11" s="432">
        <v>45028</v>
      </c>
      <c r="S11" s="433"/>
      <c r="T11" s="433"/>
      <c r="U11" s="434"/>
      <c r="V11" s="432">
        <v>45029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0</v>
      </c>
      <c r="T18" s="164">
        <v>34</v>
      </c>
      <c r="U18" s="189" t="s">
        <v>145</v>
      </c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0</v>
      </c>
      <c r="P19" s="164">
        <v>34</v>
      </c>
      <c r="Q19" s="189" t="s">
        <v>145</v>
      </c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0</v>
      </c>
      <c r="P20" s="164">
        <v>34</v>
      </c>
      <c r="Q20" s="189" t="s">
        <v>145</v>
      </c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-151.19999999999999</v>
      </c>
      <c r="P21" s="187">
        <v>102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45025</v>
      </c>
      <c r="G23" s="433"/>
      <c r="H23" s="433"/>
      <c r="I23" s="434"/>
      <c r="J23" s="432">
        <v>45026</v>
      </c>
      <c r="K23" s="433"/>
      <c r="L23" s="433"/>
      <c r="M23" s="434"/>
      <c r="N23" s="432">
        <v>45027</v>
      </c>
      <c r="O23" s="433"/>
      <c r="P23" s="433"/>
      <c r="Q23" s="434"/>
      <c r="R23" s="432">
        <v>45028</v>
      </c>
      <c r="S23" s="433"/>
      <c r="T23" s="433"/>
      <c r="U23" s="434"/>
      <c r="V23" s="432">
        <v>45029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45025</v>
      </c>
      <c r="G27" s="433"/>
      <c r="H27" s="433"/>
      <c r="I27" s="434"/>
      <c r="J27" s="432">
        <v>45026</v>
      </c>
      <c r="K27" s="433"/>
      <c r="L27" s="433"/>
      <c r="M27" s="434"/>
      <c r="N27" s="432">
        <v>45027</v>
      </c>
      <c r="O27" s="433"/>
      <c r="P27" s="433"/>
      <c r="Q27" s="434"/>
      <c r="R27" s="432">
        <v>45028</v>
      </c>
      <c r="S27" s="433"/>
      <c r="T27" s="433"/>
      <c r="U27" s="434"/>
      <c r="V27" s="432">
        <v>45029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172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86</v>
      </c>
      <c r="L28" s="180" t="s">
        <v>85</v>
      </c>
      <c r="M28" s="179" t="s">
        <v>92</v>
      </c>
      <c r="N28" s="203" t="s">
        <v>172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21.2</v>
      </c>
      <c r="H29" s="457">
        <v>-0.69999999999999929</v>
      </c>
      <c r="I29" s="459" t="s">
        <v>154</v>
      </c>
      <c r="J29" s="200">
        <v>21.9</v>
      </c>
      <c r="K29" s="455">
        <v>21.2</v>
      </c>
      <c r="L29" s="457">
        <v>-0.69999999999999929</v>
      </c>
      <c r="M29" s="459" t="s">
        <v>146</v>
      </c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25.4</v>
      </c>
      <c r="H33" s="457">
        <v>-23.800000000000004</v>
      </c>
      <c r="I33" s="459" t="s">
        <v>154</v>
      </c>
      <c r="J33" s="200">
        <v>49.2</v>
      </c>
      <c r="K33" s="199">
        <v>49.5</v>
      </c>
      <c r="L33" s="457">
        <v>0.29999999999999716</v>
      </c>
      <c r="M33" s="459" t="s">
        <v>148</v>
      </c>
      <c r="N33" s="200">
        <v>49.2</v>
      </c>
      <c r="O33" s="199">
        <v>38.1</v>
      </c>
      <c r="P33" s="457">
        <v>-11.100000000000001</v>
      </c>
      <c r="Q33" s="459" t="s">
        <v>154</v>
      </c>
      <c r="R33" s="200">
        <v>49.2</v>
      </c>
      <c r="S33" s="199">
        <v>37.9</v>
      </c>
      <c r="T33" s="457">
        <v>-11.300000000000004</v>
      </c>
      <c r="U33" s="459" t="s">
        <v>154</v>
      </c>
      <c r="V33" s="200">
        <v>49.2</v>
      </c>
      <c r="W33" s="199">
        <v>54.4</v>
      </c>
      <c r="X33" s="457">
        <v>5.1999999999999957</v>
      </c>
      <c r="Y33" s="459" t="s">
        <v>148</v>
      </c>
    </row>
    <row r="34" spans="3:25" ht="16">
      <c r="C34" s="451"/>
      <c r="D34" s="467"/>
      <c r="E34" s="463" t="s">
        <v>104</v>
      </c>
      <c r="F34" s="198">
        <v>0.26</v>
      </c>
      <c r="G34" s="197">
        <v>0.13</v>
      </c>
      <c r="H34" s="458"/>
      <c r="I34" s="460"/>
      <c r="J34" s="198">
        <v>0.26</v>
      </c>
      <c r="K34" s="197">
        <v>0.26</v>
      </c>
      <c r="L34" s="458"/>
      <c r="M34" s="460"/>
      <c r="N34" s="198">
        <v>0.26</v>
      </c>
      <c r="O34" s="197">
        <v>0.2</v>
      </c>
      <c r="P34" s="458"/>
      <c r="Q34" s="460"/>
      <c r="R34" s="198">
        <v>0.26</v>
      </c>
      <c r="S34" s="197">
        <v>0.2</v>
      </c>
      <c r="T34" s="458"/>
      <c r="U34" s="460"/>
      <c r="V34" s="198">
        <v>0.26</v>
      </c>
      <c r="W34" s="197">
        <v>0.28999999999999998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2.1</v>
      </c>
      <c r="H37" s="164">
        <v>-10.9</v>
      </c>
      <c r="I37" s="189" t="s">
        <v>147</v>
      </c>
      <c r="J37" s="166">
        <v>13</v>
      </c>
      <c r="K37" s="165">
        <v>1.9</v>
      </c>
      <c r="L37" s="164">
        <v>-11.1</v>
      </c>
      <c r="M37" s="189" t="s">
        <v>170</v>
      </c>
      <c r="N37" s="166">
        <v>13</v>
      </c>
      <c r="O37" s="165">
        <v>5.5999999999999988</v>
      </c>
      <c r="P37" s="164">
        <v>-7.4000000000000012</v>
      </c>
      <c r="Q37" s="189" t="s">
        <v>170</v>
      </c>
      <c r="R37" s="166">
        <v>13</v>
      </c>
      <c r="S37" s="165">
        <v>1.9</v>
      </c>
      <c r="T37" s="164">
        <v>-11.1</v>
      </c>
      <c r="U37" s="189" t="s">
        <v>170</v>
      </c>
      <c r="V37" s="166">
        <v>13</v>
      </c>
      <c r="W37" s="165">
        <v>1.8</v>
      </c>
      <c r="X37" s="164">
        <v>-11.2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138.5</v>
      </c>
      <c r="G38" s="187">
        <v>103.1</v>
      </c>
      <c r="H38" s="187">
        <v>-35.400000000000006</v>
      </c>
      <c r="I38" s="186"/>
      <c r="J38" s="188">
        <v>138.5</v>
      </c>
      <c r="K38" s="187">
        <v>127</v>
      </c>
      <c r="L38" s="187">
        <v>-11.500000000000002</v>
      </c>
      <c r="M38" s="186"/>
      <c r="N38" s="188">
        <v>138.5</v>
      </c>
      <c r="O38" s="187">
        <v>120</v>
      </c>
      <c r="P38" s="187">
        <v>-18.500000000000004</v>
      </c>
      <c r="Q38" s="186"/>
      <c r="R38" s="188">
        <v>138.5</v>
      </c>
      <c r="S38" s="187">
        <v>116.1</v>
      </c>
      <c r="T38" s="187">
        <v>-22.400000000000006</v>
      </c>
      <c r="U38" s="186"/>
      <c r="V38" s="188">
        <v>138.5</v>
      </c>
      <c r="W38" s="187">
        <v>132.5</v>
      </c>
      <c r="X38" s="187">
        <v>-6.0000000000000036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45025</v>
      </c>
      <c r="G40" s="470"/>
      <c r="H40" s="470"/>
      <c r="I40" s="471"/>
      <c r="J40" s="469">
        <v>45026</v>
      </c>
      <c r="K40" s="470"/>
      <c r="L40" s="470"/>
      <c r="M40" s="471"/>
      <c r="N40" s="469">
        <v>45027</v>
      </c>
      <c r="O40" s="470"/>
      <c r="P40" s="470"/>
      <c r="Q40" s="471"/>
      <c r="R40" s="469">
        <v>45028</v>
      </c>
      <c r="S40" s="470"/>
      <c r="T40" s="470"/>
      <c r="U40" s="471"/>
      <c r="V40" s="469">
        <v>45029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58.3</v>
      </c>
      <c r="G42" s="478">
        <v>0</v>
      </c>
      <c r="H42" s="457">
        <v>-58.3</v>
      </c>
      <c r="I42" s="459" t="s">
        <v>151</v>
      </c>
      <c r="J42" s="178">
        <v>1</v>
      </c>
      <c r="K42" s="478">
        <v>0</v>
      </c>
      <c r="L42" s="457">
        <v>-1</v>
      </c>
      <c r="M42" s="459" t="s">
        <v>151</v>
      </c>
      <c r="N42" s="178">
        <v>11.1</v>
      </c>
      <c r="O42" s="478">
        <v>0</v>
      </c>
      <c r="P42" s="457">
        <v>-11.1</v>
      </c>
      <c r="Q42" s="459" t="s">
        <v>151</v>
      </c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474"/>
      <c r="D43" s="475"/>
      <c r="E43" s="477"/>
      <c r="F43" s="183">
        <v>190</v>
      </c>
      <c r="G43" s="479"/>
      <c r="H43" s="480"/>
      <c r="I43" s="481"/>
      <c r="J43" s="183">
        <v>238</v>
      </c>
      <c r="K43" s="479"/>
      <c r="L43" s="480"/>
      <c r="M43" s="481"/>
      <c r="N43" s="183">
        <v>238</v>
      </c>
      <c r="O43" s="479"/>
      <c r="P43" s="480"/>
      <c r="Q43" s="481"/>
      <c r="R43" s="183">
        <v>238</v>
      </c>
      <c r="S43" s="479"/>
      <c r="T43" s="480"/>
      <c r="U43" s="481"/>
      <c r="V43" s="183">
        <v>238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45025</v>
      </c>
      <c r="G45" s="470"/>
      <c r="H45" s="470"/>
      <c r="I45" s="471"/>
      <c r="J45" s="469">
        <v>45026</v>
      </c>
      <c r="K45" s="470"/>
      <c r="L45" s="470"/>
      <c r="M45" s="471"/>
      <c r="N45" s="469">
        <v>45027</v>
      </c>
      <c r="O45" s="470"/>
      <c r="P45" s="470"/>
      <c r="Q45" s="471"/>
      <c r="R45" s="469">
        <v>45028</v>
      </c>
      <c r="S45" s="470"/>
      <c r="T45" s="470"/>
      <c r="U45" s="471"/>
      <c r="V45" s="469">
        <v>45029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86</v>
      </c>
      <c r="L46" s="180" t="s">
        <v>85</v>
      </c>
      <c r="M46" s="179" t="s">
        <v>92</v>
      </c>
      <c r="N46" s="171" t="s">
        <v>167</v>
      </c>
      <c r="O46" s="181" t="s">
        <v>86</v>
      </c>
      <c r="P46" s="180" t="s">
        <v>85</v>
      </c>
      <c r="Q46" s="179" t="s">
        <v>92</v>
      </c>
      <c r="R46" s="171" t="s">
        <v>167</v>
      </c>
      <c r="S46" s="181" t="s">
        <v>86</v>
      </c>
      <c r="T46" s="180" t="s">
        <v>85</v>
      </c>
      <c r="U46" s="179" t="s">
        <v>92</v>
      </c>
      <c r="V46" s="171" t="s">
        <v>167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21.8</v>
      </c>
      <c r="G47" s="478">
        <v>22</v>
      </c>
      <c r="H47" s="457">
        <v>0.19999999999999929</v>
      </c>
      <c r="I47" s="459" t="s">
        <v>149</v>
      </c>
      <c r="J47" s="178">
        <v>24.6</v>
      </c>
      <c r="K47" s="478">
        <v>24</v>
      </c>
      <c r="L47" s="457">
        <v>-0.60000000000000142</v>
      </c>
      <c r="M47" s="459" t="s">
        <v>146</v>
      </c>
      <c r="N47" s="178">
        <v>24.6</v>
      </c>
      <c r="O47" s="478">
        <v>24.8</v>
      </c>
      <c r="P47" s="457">
        <v>0.19999999999999929</v>
      </c>
      <c r="Q47" s="459" t="s">
        <v>149</v>
      </c>
      <c r="R47" s="178">
        <v>24.6</v>
      </c>
      <c r="S47" s="478">
        <v>24.8</v>
      </c>
      <c r="T47" s="457">
        <v>0.19999999999999929</v>
      </c>
      <c r="U47" s="459" t="s">
        <v>149</v>
      </c>
      <c r="V47" s="178">
        <v>24.6</v>
      </c>
      <c r="W47" s="478">
        <v>26.2</v>
      </c>
      <c r="X47" s="457">
        <v>1.5999999999999979</v>
      </c>
      <c r="Y47" s="459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1"/>
      <c r="V48" s="177">
        <v>0.65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45025</v>
      </c>
      <c r="G50" s="470"/>
      <c r="H50" s="470"/>
      <c r="I50" s="471"/>
      <c r="J50" s="469">
        <v>45026</v>
      </c>
      <c r="K50" s="470"/>
      <c r="L50" s="470"/>
      <c r="M50" s="471"/>
      <c r="N50" s="469">
        <v>45027</v>
      </c>
      <c r="O50" s="470"/>
      <c r="P50" s="470"/>
      <c r="Q50" s="471"/>
      <c r="R50" s="469">
        <v>45028</v>
      </c>
      <c r="S50" s="470"/>
      <c r="T50" s="470"/>
      <c r="U50" s="471"/>
      <c r="V50" s="469">
        <v>45029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86</v>
      </c>
      <c r="L51" s="169" t="s">
        <v>85</v>
      </c>
      <c r="M51" s="168" t="s">
        <v>84</v>
      </c>
      <c r="N51" s="171" t="s">
        <v>163</v>
      </c>
      <c r="O51" s="170" t="s">
        <v>86</v>
      </c>
      <c r="P51" s="169" t="s">
        <v>85</v>
      </c>
      <c r="Q51" s="168" t="s">
        <v>84</v>
      </c>
      <c r="R51" s="171" t="s">
        <v>163</v>
      </c>
      <c r="S51" s="170" t="s">
        <v>86</v>
      </c>
      <c r="T51" s="169" t="s">
        <v>85</v>
      </c>
      <c r="U51" s="168" t="s">
        <v>84</v>
      </c>
      <c r="V51" s="171" t="s">
        <v>163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21.6</v>
      </c>
      <c r="H53" s="223" t="s">
        <v>81</v>
      </c>
      <c r="I53" s="222" t="s">
        <v>201</v>
      </c>
      <c r="J53" s="225">
        <v>0</v>
      </c>
      <c r="K53" s="224">
        <v>19.5</v>
      </c>
      <c r="L53" s="223" t="s">
        <v>81</v>
      </c>
      <c r="M53" s="222" t="s">
        <v>201</v>
      </c>
      <c r="N53" s="225">
        <v>0</v>
      </c>
      <c r="O53" s="224">
        <v>19.8</v>
      </c>
      <c r="P53" s="223" t="s">
        <v>81</v>
      </c>
      <c r="Q53" s="222" t="s">
        <v>201</v>
      </c>
      <c r="R53" s="225">
        <v>0</v>
      </c>
      <c r="S53" s="224">
        <v>19.600000000000001</v>
      </c>
      <c r="T53" s="223" t="s">
        <v>81</v>
      </c>
      <c r="U53" s="222" t="s">
        <v>201</v>
      </c>
      <c r="V53" s="225">
        <v>0</v>
      </c>
      <c r="W53" s="224">
        <v>17.399999999999999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6A93-8204-4C77-BA09-5AC1645CC39D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45032</v>
      </c>
      <c r="G3" s="418"/>
      <c r="H3" s="418"/>
      <c r="I3" s="419"/>
      <c r="J3" s="417">
        <v>45033</v>
      </c>
      <c r="K3" s="418"/>
      <c r="L3" s="418"/>
      <c r="M3" s="419"/>
      <c r="N3" s="417">
        <v>45034</v>
      </c>
      <c r="O3" s="418"/>
      <c r="P3" s="418"/>
      <c r="Q3" s="419"/>
      <c r="R3" s="417">
        <v>45036</v>
      </c>
      <c r="S3" s="418"/>
      <c r="T3" s="418"/>
      <c r="U3" s="419"/>
      <c r="V3" s="417">
        <v>45038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20.3</v>
      </c>
      <c r="G5" s="165">
        <v>20.3</v>
      </c>
      <c r="H5" s="164">
        <v>0</v>
      </c>
      <c r="I5" s="219"/>
      <c r="J5" s="166">
        <v>15.7</v>
      </c>
      <c r="K5" s="165">
        <v>30.3</v>
      </c>
      <c r="L5" s="164">
        <v>14.600000000000001</v>
      </c>
      <c r="M5" s="219" t="s">
        <v>151</v>
      </c>
      <c r="N5" s="166">
        <v>15.7</v>
      </c>
      <c r="O5" s="165">
        <v>30.3</v>
      </c>
      <c r="P5" s="164">
        <v>14.600000000000001</v>
      </c>
      <c r="Q5" s="219" t="s">
        <v>151</v>
      </c>
      <c r="R5" s="166">
        <v>15.7</v>
      </c>
      <c r="S5" s="165">
        <v>30.3</v>
      </c>
      <c r="T5" s="164">
        <v>14.600000000000001</v>
      </c>
      <c r="U5" s="219" t="s">
        <v>151</v>
      </c>
      <c r="V5" s="166">
        <v>15.7</v>
      </c>
      <c r="W5" s="165">
        <v>15.7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33.299999999999997</v>
      </c>
      <c r="G8" s="216">
        <v>47.6</v>
      </c>
      <c r="H8" s="215">
        <v>14.300000000000004</v>
      </c>
      <c r="I8" s="214" t="s">
        <v>173</v>
      </c>
      <c r="J8" s="217">
        <v>36.200000000000003</v>
      </c>
      <c r="K8" s="216">
        <v>50.5</v>
      </c>
      <c r="L8" s="215">
        <v>14.299999999999997</v>
      </c>
      <c r="M8" s="214" t="s">
        <v>173</v>
      </c>
      <c r="N8" s="217">
        <v>36.299999999999997</v>
      </c>
      <c r="O8" s="216">
        <v>50.6</v>
      </c>
      <c r="P8" s="215">
        <v>14.300000000000004</v>
      </c>
      <c r="Q8" s="214" t="s">
        <v>150</v>
      </c>
      <c r="R8" s="217">
        <v>36.200000000000003</v>
      </c>
      <c r="S8" s="216">
        <v>50.5</v>
      </c>
      <c r="T8" s="215">
        <v>14.299999999999997</v>
      </c>
      <c r="U8" s="214" t="s">
        <v>150</v>
      </c>
      <c r="V8" s="217">
        <v>34.200000000000003</v>
      </c>
      <c r="W8" s="216">
        <v>48.5</v>
      </c>
      <c r="X8" s="215">
        <v>14.299999999999997</v>
      </c>
      <c r="Y8" s="214" t="s">
        <v>150</v>
      </c>
    </row>
    <row r="9" spans="3:25" ht="16.5" thickBot="1">
      <c r="C9" s="424"/>
      <c r="D9" s="427" t="s">
        <v>101</v>
      </c>
      <c r="E9" s="428"/>
      <c r="F9" s="188">
        <v>66.5</v>
      </c>
      <c r="G9" s="187">
        <v>85.4</v>
      </c>
      <c r="H9" s="187">
        <v>18.900000000000006</v>
      </c>
      <c r="I9" s="213" t="s">
        <v>81</v>
      </c>
      <c r="J9" s="188">
        <v>69.400000000000006</v>
      </c>
      <c r="K9" s="187">
        <v>98.3</v>
      </c>
      <c r="L9" s="187">
        <v>28.9</v>
      </c>
      <c r="M9" s="213" t="s">
        <v>81</v>
      </c>
      <c r="N9" s="188">
        <v>69.5</v>
      </c>
      <c r="O9" s="187">
        <v>98.4</v>
      </c>
      <c r="P9" s="187">
        <v>28.900000000000006</v>
      </c>
      <c r="Q9" s="213" t="s">
        <v>81</v>
      </c>
      <c r="R9" s="188">
        <v>69.400000000000006</v>
      </c>
      <c r="S9" s="187">
        <v>98.3</v>
      </c>
      <c r="T9" s="187">
        <v>28.9</v>
      </c>
      <c r="U9" s="213" t="s">
        <v>81</v>
      </c>
      <c r="V9" s="188">
        <v>67.400000000000006</v>
      </c>
      <c r="W9" s="187">
        <v>81.7</v>
      </c>
      <c r="X9" s="187">
        <v>14.299999999999997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45032</v>
      </c>
      <c r="G11" s="433"/>
      <c r="H11" s="433"/>
      <c r="I11" s="434"/>
      <c r="J11" s="432">
        <v>45033</v>
      </c>
      <c r="K11" s="433"/>
      <c r="L11" s="433"/>
      <c r="M11" s="434"/>
      <c r="N11" s="432">
        <v>45034</v>
      </c>
      <c r="O11" s="433"/>
      <c r="P11" s="433"/>
      <c r="Q11" s="434"/>
      <c r="R11" s="432">
        <v>45036</v>
      </c>
      <c r="S11" s="433"/>
      <c r="T11" s="433"/>
      <c r="U11" s="434"/>
      <c r="V11" s="432">
        <v>45038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0</v>
      </c>
      <c r="T14" s="164">
        <v>26.1</v>
      </c>
      <c r="U14" s="189" t="s">
        <v>149</v>
      </c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149</v>
      </c>
      <c r="R17" s="166">
        <v>-34</v>
      </c>
      <c r="S17" s="165">
        <v>0</v>
      </c>
      <c r="T17" s="164">
        <v>34</v>
      </c>
      <c r="U17" s="212" t="s">
        <v>149</v>
      </c>
      <c r="V17" s="166">
        <v>-34</v>
      </c>
      <c r="W17" s="165">
        <v>0</v>
      </c>
      <c r="X17" s="164">
        <v>34</v>
      </c>
      <c r="Y17" s="212" t="s">
        <v>149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-193.1</v>
      </c>
      <c r="T21" s="187">
        <v>60.1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45032</v>
      </c>
      <c r="G23" s="433"/>
      <c r="H23" s="433"/>
      <c r="I23" s="434"/>
      <c r="J23" s="432">
        <v>45033</v>
      </c>
      <c r="K23" s="433"/>
      <c r="L23" s="433"/>
      <c r="M23" s="434"/>
      <c r="N23" s="432">
        <v>45034</v>
      </c>
      <c r="O23" s="433"/>
      <c r="P23" s="433"/>
      <c r="Q23" s="434"/>
      <c r="R23" s="432">
        <v>45036</v>
      </c>
      <c r="S23" s="433"/>
      <c r="T23" s="433"/>
      <c r="U23" s="434"/>
      <c r="V23" s="432">
        <v>45038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45032</v>
      </c>
      <c r="G27" s="433"/>
      <c r="H27" s="433"/>
      <c r="I27" s="434"/>
      <c r="J27" s="432">
        <v>45033</v>
      </c>
      <c r="K27" s="433"/>
      <c r="L27" s="433"/>
      <c r="M27" s="434"/>
      <c r="N27" s="432">
        <v>45034</v>
      </c>
      <c r="O27" s="433"/>
      <c r="P27" s="433"/>
      <c r="Q27" s="434"/>
      <c r="R27" s="432">
        <v>45036</v>
      </c>
      <c r="S27" s="433"/>
      <c r="T27" s="433"/>
      <c r="U27" s="434"/>
      <c r="V27" s="432">
        <v>45038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25.4</v>
      </c>
      <c r="H33" s="457">
        <v>-23.800000000000004</v>
      </c>
      <c r="I33" s="459" t="s">
        <v>146</v>
      </c>
      <c r="J33" s="200">
        <v>49.2</v>
      </c>
      <c r="K33" s="199">
        <v>37.5</v>
      </c>
      <c r="L33" s="457">
        <v>-11.700000000000003</v>
      </c>
      <c r="M33" s="459" t="s">
        <v>146</v>
      </c>
      <c r="N33" s="200">
        <v>49.2</v>
      </c>
      <c r="O33" s="199">
        <v>37.5</v>
      </c>
      <c r="P33" s="457">
        <v>-11.700000000000003</v>
      </c>
      <c r="Q33" s="459" t="s">
        <v>146</v>
      </c>
      <c r="R33" s="200">
        <v>49.2</v>
      </c>
      <c r="S33" s="199">
        <v>24.5</v>
      </c>
      <c r="T33" s="457">
        <v>-24.700000000000003</v>
      </c>
      <c r="U33" s="459" t="s">
        <v>146</v>
      </c>
      <c r="V33" s="200">
        <v>41.3</v>
      </c>
      <c r="W33" s="199">
        <v>19.399999999999999</v>
      </c>
      <c r="X33" s="457">
        <v>-21.9</v>
      </c>
      <c r="Y33" s="459" t="s">
        <v>146</v>
      </c>
    </row>
    <row r="34" spans="3:25" ht="16">
      <c r="C34" s="451"/>
      <c r="D34" s="467"/>
      <c r="E34" s="463" t="s">
        <v>104</v>
      </c>
      <c r="F34" s="198">
        <v>0.26</v>
      </c>
      <c r="G34" s="197">
        <v>0.13</v>
      </c>
      <c r="H34" s="458"/>
      <c r="I34" s="460"/>
      <c r="J34" s="198">
        <v>0.26</v>
      </c>
      <c r="K34" s="197">
        <v>0.2</v>
      </c>
      <c r="L34" s="458"/>
      <c r="M34" s="460"/>
      <c r="N34" s="198">
        <v>0.26</v>
      </c>
      <c r="O34" s="197">
        <v>0.2</v>
      </c>
      <c r="P34" s="458"/>
      <c r="Q34" s="460"/>
      <c r="R34" s="198">
        <v>0.26</v>
      </c>
      <c r="S34" s="197">
        <v>0.13</v>
      </c>
      <c r="T34" s="458"/>
      <c r="U34" s="460"/>
      <c r="V34" s="198">
        <v>0.24</v>
      </c>
      <c r="W34" s="197">
        <v>0.11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1.9</v>
      </c>
      <c r="H37" s="164">
        <v>-11.1</v>
      </c>
      <c r="I37" s="189" t="s">
        <v>147</v>
      </c>
      <c r="J37" s="166">
        <v>13</v>
      </c>
      <c r="K37" s="165">
        <v>1.8999999999999986</v>
      </c>
      <c r="L37" s="164">
        <v>-11.100000000000001</v>
      </c>
      <c r="M37" s="189" t="s">
        <v>147</v>
      </c>
      <c r="N37" s="166">
        <v>13</v>
      </c>
      <c r="O37" s="165">
        <v>1.9</v>
      </c>
      <c r="P37" s="164">
        <v>-11.1</v>
      </c>
      <c r="Q37" s="189" t="s">
        <v>147</v>
      </c>
      <c r="R37" s="166">
        <v>13</v>
      </c>
      <c r="S37" s="165">
        <v>1.800000000000002</v>
      </c>
      <c r="T37" s="164">
        <v>-11.199999999999998</v>
      </c>
      <c r="U37" s="189" t="s">
        <v>147</v>
      </c>
      <c r="V37" s="166">
        <v>13</v>
      </c>
      <c r="W37" s="165">
        <v>0.90000000000000147</v>
      </c>
      <c r="X37" s="164">
        <v>-12.099999999999998</v>
      </c>
      <c r="Y37" s="189" t="s">
        <v>147</v>
      </c>
    </row>
    <row r="38" spans="3:25" ht="16.5" thickBot="1">
      <c r="C38" s="452"/>
      <c r="D38" s="427" t="s">
        <v>101</v>
      </c>
      <c r="E38" s="428"/>
      <c r="F38" s="188">
        <v>138.5</v>
      </c>
      <c r="G38" s="187">
        <v>103.6</v>
      </c>
      <c r="H38" s="187">
        <v>-34.900000000000006</v>
      </c>
      <c r="I38" s="186"/>
      <c r="J38" s="188">
        <v>138.5</v>
      </c>
      <c r="K38" s="187">
        <v>115.69999999999999</v>
      </c>
      <c r="L38" s="187">
        <v>-22.800000000000004</v>
      </c>
      <c r="M38" s="186"/>
      <c r="N38" s="188">
        <v>138.5</v>
      </c>
      <c r="O38" s="187">
        <v>115.7</v>
      </c>
      <c r="P38" s="187">
        <v>-22.800000000000004</v>
      </c>
      <c r="Q38" s="186"/>
      <c r="R38" s="188">
        <v>138.5</v>
      </c>
      <c r="S38" s="187">
        <v>102.6</v>
      </c>
      <c r="T38" s="187">
        <v>-35.9</v>
      </c>
      <c r="U38" s="186"/>
      <c r="V38" s="188">
        <v>130.6</v>
      </c>
      <c r="W38" s="187">
        <v>96.6</v>
      </c>
      <c r="X38" s="187">
        <v>-34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45032</v>
      </c>
      <c r="G40" s="470"/>
      <c r="H40" s="470"/>
      <c r="I40" s="471"/>
      <c r="J40" s="469">
        <v>45033</v>
      </c>
      <c r="K40" s="470"/>
      <c r="L40" s="470"/>
      <c r="M40" s="471"/>
      <c r="N40" s="469">
        <v>45034</v>
      </c>
      <c r="O40" s="470"/>
      <c r="P40" s="470"/>
      <c r="Q40" s="471"/>
      <c r="R40" s="469">
        <v>45036</v>
      </c>
      <c r="S40" s="470"/>
      <c r="T40" s="470"/>
      <c r="U40" s="471"/>
      <c r="V40" s="469">
        <v>45038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34.4</v>
      </c>
      <c r="G42" s="478">
        <v>0</v>
      </c>
      <c r="H42" s="457">
        <v>-34.4</v>
      </c>
      <c r="I42" s="459" t="s">
        <v>151</v>
      </c>
      <c r="J42" s="178">
        <v>0.5</v>
      </c>
      <c r="K42" s="478">
        <v>0.5</v>
      </c>
      <c r="L42" s="457">
        <v>0</v>
      </c>
      <c r="M42" s="459"/>
      <c r="N42" s="178">
        <v>0.5</v>
      </c>
      <c r="O42" s="478">
        <v>0.5</v>
      </c>
      <c r="P42" s="457">
        <v>0</v>
      </c>
      <c r="Q42" s="459"/>
      <c r="R42" s="178">
        <v>56.1</v>
      </c>
      <c r="S42" s="478">
        <v>56.1</v>
      </c>
      <c r="T42" s="457">
        <v>0</v>
      </c>
      <c r="U42" s="459"/>
      <c r="V42" s="178">
        <v>13.9</v>
      </c>
      <c r="W42" s="478">
        <v>0</v>
      </c>
      <c r="X42" s="457">
        <v>-13.9</v>
      </c>
      <c r="Y42" s="459" t="s">
        <v>151</v>
      </c>
    </row>
    <row r="43" spans="3:25" ht="16.5" thickBot="1">
      <c r="C43" s="474"/>
      <c r="D43" s="475"/>
      <c r="E43" s="477"/>
      <c r="F43" s="183">
        <v>189</v>
      </c>
      <c r="G43" s="479"/>
      <c r="H43" s="480"/>
      <c r="I43" s="481"/>
      <c r="J43" s="183">
        <v>215.1</v>
      </c>
      <c r="K43" s="479"/>
      <c r="L43" s="480"/>
      <c r="M43" s="481"/>
      <c r="N43" s="183">
        <v>223.6</v>
      </c>
      <c r="O43" s="479"/>
      <c r="P43" s="480"/>
      <c r="Q43" s="481"/>
      <c r="R43" s="183">
        <v>215.6</v>
      </c>
      <c r="S43" s="479"/>
      <c r="T43" s="480"/>
      <c r="U43" s="481"/>
      <c r="V43" s="183">
        <v>188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45032</v>
      </c>
      <c r="G45" s="470"/>
      <c r="H45" s="470"/>
      <c r="I45" s="471"/>
      <c r="J45" s="469">
        <v>45033</v>
      </c>
      <c r="K45" s="470"/>
      <c r="L45" s="470"/>
      <c r="M45" s="471"/>
      <c r="N45" s="469">
        <v>45034</v>
      </c>
      <c r="O45" s="470"/>
      <c r="P45" s="470"/>
      <c r="Q45" s="471"/>
      <c r="R45" s="469">
        <v>45036</v>
      </c>
      <c r="S45" s="470"/>
      <c r="T45" s="470"/>
      <c r="U45" s="471"/>
      <c r="V45" s="469">
        <v>45038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86</v>
      </c>
      <c r="L46" s="180" t="s">
        <v>85</v>
      </c>
      <c r="M46" s="179" t="s">
        <v>92</v>
      </c>
      <c r="N46" s="171" t="s">
        <v>167</v>
      </c>
      <c r="O46" s="181" t="s">
        <v>86</v>
      </c>
      <c r="P46" s="180" t="s">
        <v>85</v>
      </c>
      <c r="Q46" s="179" t="s">
        <v>92</v>
      </c>
      <c r="R46" s="171" t="s">
        <v>167</v>
      </c>
      <c r="S46" s="181" t="s">
        <v>86</v>
      </c>
      <c r="T46" s="180" t="s">
        <v>85</v>
      </c>
      <c r="U46" s="179" t="s">
        <v>92</v>
      </c>
      <c r="V46" s="171" t="s">
        <v>167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24.6</v>
      </c>
      <c r="G47" s="478">
        <v>24.8</v>
      </c>
      <c r="H47" s="457">
        <v>0.19999999999999929</v>
      </c>
      <c r="I47" s="459" t="s">
        <v>149</v>
      </c>
      <c r="J47" s="178">
        <v>24.6</v>
      </c>
      <c r="K47" s="478">
        <v>28.2</v>
      </c>
      <c r="L47" s="457">
        <v>3.5999999999999979</v>
      </c>
      <c r="M47" s="459" t="s">
        <v>149</v>
      </c>
      <c r="N47" s="178">
        <v>21.2</v>
      </c>
      <c r="O47" s="478">
        <v>22.1</v>
      </c>
      <c r="P47" s="457">
        <v>0.90000000000000213</v>
      </c>
      <c r="Q47" s="459" t="s">
        <v>149</v>
      </c>
      <c r="R47" s="178">
        <v>21.2</v>
      </c>
      <c r="S47" s="478">
        <v>21.7</v>
      </c>
      <c r="T47" s="457">
        <v>0.5</v>
      </c>
      <c r="U47" s="459" t="s">
        <v>149</v>
      </c>
      <c r="V47" s="178">
        <v>21.2</v>
      </c>
      <c r="W47" s="478">
        <v>21.4</v>
      </c>
      <c r="X47" s="457">
        <v>0.19999999999999929</v>
      </c>
      <c r="Y47" s="459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0.69</v>
      </c>
      <c r="O48" s="479"/>
      <c r="P48" s="480"/>
      <c r="Q48" s="481"/>
      <c r="R48" s="177">
        <v>0.69</v>
      </c>
      <c r="S48" s="479"/>
      <c r="T48" s="480"/>
      <c r="U48" s="481"/>
      <c r="V48" s="177">
        <v>0.69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45032</v>
      </c>
      <c r="G50" s="470"/>
      <c r="H50" s="470"/>
      <c r="I50" s="471"/>
      <c r="J50" s="469">
        <v>45033</v>
      </c>
      <c r="K50" s="470"/>
      <c r="L50" s="470"/>
      <c r="M50" s="471"/>
      <c r="N50" s="469">
        <v>45034</v>
      </c>
      <c r="O50" s="470"/>
      <c r="P50" s="470"/>
      <c r="Q50" s="471"/>
      <c r="R50" s="469">
        <v>45036</v>
      </c>
      <c r="S50" s="470"/>
      <c r="T50" s="470"/>
      <c r="U50" s="471"/>
      <c r="V50" s="469">
        <v>45038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86</v>
      </c>
      <c r="L51" s="169" t="s">
        <v>85</v>
      </c>
      <c r="M51" s="168" t="s">
        <v>84</v>
      </c>
      <c r="N51" s="171" t="s">
        <v>163</v>
      </c>
      <c r="O51" s="170" t="s">
        <v>86</v>
      </c>
      <c r="P51" s="169" t="s">
        <v>85</v>
      </c>
      <c r="Q51" s="168" t="s">
        <v>84</v>
      </c>
      <c r="R51" s="171" t="s">
        <v>163</v>
      </c>
      <c r="S51" s="170" t="s">
        <v>86</v>
      </c>
      <c r="T51" s="169" t="s">
        <v>85</v>
      </c>
      <c r="U51" s="168" t="s">
        <v>84</v>
      </c>
      <c r="V51" s="171" t="s">
        <v>163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18.100000000000001</v>
      </c>
      <c r="H53" s="223" t="s">
        <v>81</v>
      </c>
      <c r="I53" s="222" t="s">
        <v>201</v>
      </c>
      <c r="J53" s="225">
        <v>0</v>
      </c>
      <c r="K53" s="224">
        <v>18.8</v>
      </c>
      <c r="L53" s="223" t="s">
        <v>81</v>
      </c>
      <c r="M53" s="222" t="s">
        <v>201</v>
      </c>
      <c r="N53" s="225">
        <v>0</v>
      </c>
      <c r="O53" s="224">
        <v>19</v>
      </c>
      <c r="P53" s="223" t="s">
        <v>81</v>
      </c>
      <c r="Q53" s="222" t="s">
        <v>201</v>
      </c>
      <c r="R53" s="225">
        <v>0</v>
      </c>
      <c r="S53" s="224">
        <v>20.3</v>
      </c>
      <c r="T53" s="223" t="s">
        <v>81</v>
      </c>
      <c r="U53" s="222" t="s">
        <v>201</v>
      </c>
      <c r="V53" s="225">
        <v>0</v>
      </c>
      <c r="W53" s="224">
        <v>21.4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D60E-7C49-4BBA-BBE0-692DDCB51E18}">
  <sheetPr>
    <pageSetUpPr fitToPage="1"/>
  </sheetPr>
  <dimension ref="A1:Y57"/>
  <sheetViews>
    <sheetView showGridLines="0" view="pageBreakPreview" topLeftCell="A31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45039</v>
      </c>
      <c r="G3" s="418"/>
      <c r="H3" s="418"/>
      <c r="I3" s="419"/>
      <c r="J3" s="417">
        <v>45042</v>
      </c>
      <c r="K3" s="418"/>
      <c r="L3" s="418"/>
      <c r="M3" s="419"/>
      <c r="N3" s="417">
        <v>45043</v>
      </c>
      <c r="O3" s="418"/>
      <c r="P3" s="418"/>
      <c r="Q3" s="419"/>
      <c r="R3" s="417">
        <v>45044</v>
      </c>
      <c r="S3" s="418"/>
      <c r="T3" s="418"/>
      <c r="U3" s="419"/>
      <c r="V3" s="417">
        <v>45046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15.8</v>
      </c>
      <c r="H5" s="164">
        <v>0.10000000000000142</v>
      </c>
      <c r="I5" s="219" t="s">
        <v>151</v>
      </c>
      <c r="J5" s="166">
        <v>15.7</v>
      </c>
      <c r="K5" s="165">
        <v>30.3</v>
      </c>
      <c r="L5" s="164">
        <v>14.600000000000001</v>
      </c>
      <c r="M5" s="219" t="s">
        <v>183</v>
      </c>
      <c r="N5" s="166">
        <v>15.7</v>
      </c>
      <c r="O5" s="165">
        <v>31.3</v>
      </c>
      <c r="P5" s="164">
        <v>15.600000000000001</v>
      </c>
      <c r="Q5" s="219" t="s">
        <v>183</v>
      </c>
      <c r="R5" s="166">
        <v>15.7</v>
      </c>
      <c r="S5" s="165">
        <v>30.3</v>
      </c>
      <c r="T5" s="164">
        <v>14.600000000000001</v>
      </c>
      <c r="U5" s="219" t="s">
        <v>183</v>
      </c>
      <c r="V5" s="166">
        <v>15.7</v>
      </c>
      <c r="W5" s="165">
        <v>15.7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33.4</v>
      </c>
      <c r="G8" s="216">
        <v>47.7</v>
      </c>
      <c r="H8" s="215">
        <v>14.300000000000004</v>
      </c>
      <c r="I8" s="214" t="s">
        <v>150</v>
      </c>
      <c r="J8" s="217">
        <v>36.200000000000003</v>
      </c>
      <c r="K8" s="216">
        <v>50.5</v>
      </c>
      <c r="L8" s="215">
        <v>14.299999999999997</v>
      </c>
      <c r="M8" s="214" t="s">
        <v>173</v>
      </c>
      <c r="N8" s="217">
        <v>36.200000000000003</v>
      </c>
      <c r="O8" s="216">
        <v>50.599999999999994</v>
      </c>
      <c r="P8" s="215">
        <v>14.399999999999991</v>
      </c>
      <c r="Q8" s="214" t="s">
        <v>173</v>
      </c>
      <c r="R8" s="217">
        <v>36.200000000000003</v>
      </c>
      <c r="S8" s="216">
        <v>50.5</v>
      </c>
      <c r="T8" s="215">
        <v>14.299999999999997</v>
      </c>
      <c r="U8" s="214" t="s">
        <v>173</v>
      </c>
      <c r="V8" s="217">
        <v>33.200000000000003</v>
      </c>
      <c r="W8" s="216">
        <v>47.5</v>
      </c>
      <c r="X8" s="215">
        <v>14.299999999999997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66.599999999999994</v>
      </c>
      <c r="G9" s="187">
        <v>81</v>
      </c>
      <c r="H9" s="187">
        <v>14.400000000000006</v>
      </c>
      <c r="I9" s="213" t="s">
        <v>81</v>
      </c>
      <c r="J9" s="188">
        <v>69.400000000000006</v>
      </c>
      <c r="K9" s="187">
        <v>98.3</v>
      </c>
      <c r="L9" s="187">
        <v>28.9</v>
      </c>
      <c r="M9" s="213" t="s">
        <v>81</v>
      </c>
      <c r="N9" s="188">
        <v>69.400000000000006</v>
      </c>
      <c r="O9" s="187">
        <v>99.399999999999991</v>
      </c>
      <c r="P9" s="187">
        <v>29.999999999999993</v>
      </c>
      <c r="Q9" s="213" t="s">
        <v>81</v>
      </c>
      <c r="R9" s="188">
        <v>60.6</v>
      </c>
      <c r="S9" s="187">
        <v>89.5</v>
      </c>
      <c r="T9" s="187">
        <v>28.9</v>
      </c>
      <c r="U9" s="213" t="s">
        <v>81</v>
      </c>
      <c r="V9" s="188">
        <v>57.6</v>
      </c>
      <c r="W9" s="187">
        <v>71.900000000000006</v>
      </c>
      <c r="X9" s="187">
        <v>14.299999999999997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45039</v>
      </c>
      <c r="G11" s="433"/>
      <c r="H11" s="433"/>
      <c r="I11" s="434"/>
      <c r="J11" s="432">
        <v>45042</v>
      </c>
      <c r="K11" s="433"/>
      <c r="L11" s="433"/>
      <c r="M11" s="434"/>
      <c r="N11" s="432">
        <v>45043</v>
      </c>
      <c r="O11" s="433"/>
      <c r="P11" s="433"/>
      <c r="Q11" s="434"/>
      <c r="R11" s="432">
        <v>45044</v>
      </c>
      <c r="S11" s="433"/>
      <c r="T11" s="433"/>
      <c r="U11" s="434"/>
      <c r="V11" s="432">
        <v>45046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0</v>
      </c>
      <c r="L15" s="164">
        <v>32.5</v>
      </c>
      <c r="M15" s="189" t="s">
        <v>145</v>
      </c>
      <c r="N15" s="166">
        <v>-32.5</v>
      </c>
      <c r="O15" s="165">
        <v>0</v>
      </c>
      <c r="P15" s="164">
        <v>32.5</v>
      </c>
      <c r="Q15" s="189" t="s">
        <v>145</v>
      </c>
      <c r="R15" s="166">
        <v>-32.5</v>
      </c>
      <c r="S15" s="165">
        <v>0</v>
      </c>
      <c r="T15" s="164">
        <v>32.5</v>
      </c>
      <c r="U15" s="189" t="s">
        <v>145</v>
      </c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45039</v>
      </c>
      <c r="G23" s="433"/>
      <c r="H23" s="433"/>
      <c r="I23" s="434"/>
      <c r="J23" s="432">
        <v>45042</v>
      </c>
      <c r="K23" s="433"/>
      <c r="L23" s="433"/>
      <c r="M23" s="434"/>
      <c r="N23" s="432">
        <v>45043</v>
      </c>
      <c r="O23" s="433"/>
      <c r="P23" s="433"/>
      <c r="Q23" s="434"/>
      <c r="R23" s="432">
        <v>45044</v>
      </c>
      <c r="S23" s="433"/>
      <c r="T23" s="433"/>
      <c r="U23" s="434"/>
      <c r="V23" s="432">
        <v>45046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45039</v>
      </c>
      <c r="G27" s="433"/>
      <c r="H27" s="433"/>
      <c r="I27" s="434"/>
      <c r="J27" s="432">
        <v>45042</v>
      </c>
      <c r="K27" s="433"/>
      <c r="L27" s="433"/>
      <c r="M27" s="434"/>
      <c r="N27" s="432">
        <v>45043</v>
      </c>
      <c r="O27" s="433"/>
      <c r="P27" s="433"/>
      <c r="Q27" s="434"/>
      <c r="R27" s="432">
        <v>45044</v>
      </c>
      <c r="S27" s="433"/>
      <c r="T27" s="433"/>
      <c r="U27" s="434"/>
      <c r="V27" s="432">
        <v>45046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21.9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27.2</v>
      </c>
      <c r="W31" s="455">
        <v>26.1</v>
      </c>
      <c r="X31" s="457">
        <v>-1.0999999999999979</v>
      </c>
      <c r="Y31" s="459" t="s">
        <v>146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41.3</v>
      </c>
      <c r="G33" s="199">
        <v>19.399999999999999</v>
      </c>
      <c r="H33" s="457">
        <v>-21.9</v>
      </c>
      <c r="I33" s="459" t="s">
        <v>146</v>
      </c>
      <c r="J33" s="200">
        <v>41.3</v>
      </c>
      <c r="K33" s="199">
        <v>29.8</v>
      </c>
      <c r="L33" s="457">
        <v>-11.499999999999996</v>
      </c>
      <c r="M33" s="459" t="s">
        <v>146</v>
      </c>
      <c r="N33" s="200">
        <v>41.3</v>
      </c>
      <c r="O33" s="199">
        <v>29.8</v>
      </c>
      <c r="P33" s="457">
        <v>-11.499999999999996</v>
      </c>
      <c r="Q33" s="459" t="s">
        <v>154</v>
      </c>
      <c r="R33" s="200">
        <v>41.3</v>
      </c>
      <c r="S33" s="199">
        <v>29.7</v>
      </c>
      <c r="T33" s="457">
        <v>-11.599999999999998</v>
      </c>
      <c r="U33" s="459" t="s">
        <v>154</v>
      </c>
      <c r="V33" s="200">
        <v>41.3</v>
      </c>
      <c r="W33" s="199">
        <v>19.399999999999999</v>
      </c>
      <c r="X33" s="457">
        <v>-21.9</v>
      </c>
      <c r="Y33" s="459" t="s">
        <v>154</v>
      </c>
    </row>
    <row r="34" spans="3:25" ht="16">
      <c r="C34" s="451"/>
      <c r="D34" s="467"/>
      <c r="E34" s="463" t="s">
        <v>104</v>
      </c>
      <c r="F34" s="198">
        <v>0.24</v>
      </c>
      <c r="G34" s="197">
        <v>0.11</v>
      </c>
      <c r="H34" s="458"/>
      <c r="I34" s="460"/>
      <c r="J34" s="198">
        <v>0.24</v>
      </c>
      <c r="K34" s="197">
        <v>0.17</v>
      </c>
      <c r="L34" s="458"/>
      <c r="M34" s="460"/>
      <c r="N34" s="198">
        <v>0.24</v>
      </c>
      <c r="O34" s="197">
        <v>0.17</v>
      </c>
      <c r="P34" s="458"/>
      <c r="Q34" s="460"/>
      <c r="R34" s="198">
        <v>0.24</v>
      </c>
      <c r="S34" s="197">
        <v>0.17</v>
      </c>
      <c r="T34" s="458"/>
      <c r="U34" s="460"/>
      <c r="V34" s="198">
        <v>0.24</v>
      </c>
      <c r="W34" s="197">
        <v>0.11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0.8</v>
      </c>
      <c r="H37" s="164">
        <v>-12.2</v>
      </c>
      <c r="I37" s="189" t="s">
        <v>147</v>
      </c>
      <c r="J37" s="166">
        <v>13</v>
      </c>
      <c r="K37" s="165">
        <v>1</v>
      </c>
      <c r="L37" s="164">
        <v>-12</v>
      </c>
      <c r="M37" s="189" t="s">
        <v>147</v>
      </c>
      <c r="N37" s="166">
        <v>13</v>
      </c>
      <c r="O37" s="165">
        <v>1</v>
      </c>
      <c r="P37" s="164">
        <v>-12</v>
      </c>
      <c r="Q37" s="189" t="s">
        <v>170</v>
      </c>
      <c r="R37" s="166">
        <v>13</v>
      </c>
      <c r="S37" s="165">
        <v>1.1000000000000014</v>
      </c>
      <c r="T37" s="164">
        <v>-11.899999999999999</v>
      </c>
      <c r="U37" s="189" t="s">
        <v>170</v>
      </c>
      <c r="V37" s="166">
        <v>13</v>
      </c>
      <c r="W37" s="165">
        <v>0.8</v>
      </c>
      <c r="X37" s="164">
        <v>-12.2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130.6</v>
      </c>
      <c r="G38" s="187">
        <v>96.499999999999986</v>
      </c>
      <c r="H38" s="187">
        <v>-34.099999999999994</v>
      </c>
      <c r="I38" s="186"/>
      <c r="J38" s="188">
        <v>130.6</v>
      </c>
      <c r="K38" s="187">
        <v>107.1</v>
      </c>
      <c r="L38" s="187">
        <v>-23.499999999999996</v>
      </c>
      <c r="M38" s="186"/>
      <c r="N38" s="188">
        <v>130.6</v>
      </c>
      <c r="O38" s="187">
        <v>107.1</v>
      </c>
      <c r="P38" s="187">
        <v>-23.499999999999996</v>
      </c>
      <c r="Q38" s="186"/>
      <c r="R38" s="188">
        <v>108.69999999999999</v>
      </c>
      <c r="S38" s="187">
        <v>85.199999999999989</v>
      </c>
      <c r="T38" s="187">
        <v>-23.499999999999996</v>
      </c>
      <c r="U38" s="186"/>
      <c r="V38" s="188">
        <v>81.5</v>
      </c>
      <c r="W38" s="187">
        <v>46.3</v>
      </c>
      <c r="X38" s="187">
        <v>-35.199999999999996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45039</v>
      </c>
      <c r="G40" s="470"/>
      <c r="H40" s="470"/>
      <c r="I40" s="471"/>
      <c r="J40" s="469">
        <v>45042</v>
      </c>
      <c r="K40" s="470"/>
      <c r="L40" s="470"/>
      <c r="M40" s="471"/>
      <c r="N40" s="469">
        <v>45043</v>
      </c>
      <c r="O40" s="470"/>
      <c r="P40" s="470"/>
      <c r="Q40" s="471"/>
      <c r="R40" s="469">
        <v>45044</v>
      </c>
      <c r="S40" s="470"/>
      <c r="T40" s="470"/>
      <c r="U40" s="471"/>
      <c r="V40" s="469">
        <v>45046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36.799999999999997</v>
      </c>
      <c r="G42" s="478">
        <v>0</v>
      </c>
      <c r="H42" s="457">
        <v>-36.799999999999997</v>
      </c>
      <c r="I42" s="459" t="s">
        <v>151</v>
      </c>
      <c r="J42" s="178">
        <v>0.6</v>
      </c>
      <c r="K42" s="478">
        <v>0.6</v>
      </c>
      <c r="L42" s="457">
        <v>0</v>
      </c>
      <c r="M42" s="459"/>
      <c r="N42" s="178">
        <v>30</v>
      </c>
      <c r="O42" s="478">
        <v>0.3</v>
      </c>
      <c r="P42" s="457">
        <v>-29.7</v>
      </c>
      <c r="Q42" s="459" t="s">
        <v>183</v>
      </c>
      <c r="R42" s="178">
        <v>60.4</v>
      </c>
      <c r="S42" s="478">
        <v>0</v>
      </c>
      <c r="T42" s="457">
        <v>-60.4</v>
      </c>
      <c r="U42" s="459" t="s">
        <v>183</v>
      </c>
      <c r="V42" s="178">
        <v>3.5</v>
      </c>
      <c r="W42" s="478">
        <v>0</v>
      </c>
      <c r="X42" s="457">
        <v>-3.5</v>
      </c>
      <c r="Y42" s="459" t="s">
        <v>183</v>
      </c>
    </row>
    <row r="43" spans="3:25" ht="16.5" thickBot="1">
      <c r="C43" s="474"/>
      <c r="D43" s="475"/>
      <c r="E43" s="477"/>
      <c r="F43" s="183">
        <v>190</v>
      </c>
      <c r="G43" s="479"/>
      <c r="H43" s="480"/>
      <c r="I43" s="481"/>
      <c r="J43" s="183">
        <v>215.6</v>
      </c>
      <c r="K43" s="479"/>
      <c r="L43" s="480"/>
      <c r="M43" s="481"/>
      <c r="N43" s="183">
        <v>237.3</v>
      </c>
      <c r="O43" s="479"/>
      <c r="P43" s="480"/>
      <c r="Q43" s="481"/>
      <c r="R43" s="183">
        <v>211.4</v>
      </c>
      <c r="S43" s="479"/>
      <c r="T43" s="480"/>
      <c r="U43" s="481"/>
      <c r="V43" s="183">
        <v>157.5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45039</v>
      </c>
      <c r="G45" s="470"/>
      <c r="H45" s="470"/>
      <c r="I45" s="471"/>
      <c r="J45" s="469">
        <v>45042</v>
      </c>
      <c r="K45" s="470"/>
      <c r="L45" s="470"/>
      <c r="M45" s="471"/>
      <c r="N45" s="469">
        <v>45043</v>
      </c>
      <c r="O45" s="470"/>
      <c r="P45" s="470"/>
      <c r="Q45" s="471"/>
      <c r="R45" s="469">
        <v>45044</v>
      </c>
      <c r="S45" s="470"/>
      <c r="T45" s="470"/>
      <c r="U45" s="471"/>
      <c r="V45" s="469">
        <v>45046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21.2</v>
      </c>
      <c r="G47" s="478">
        <v>21.4</v>
      </c>
      <c r="H47" s="457">
        <v>0.19999999999999929</v>
      </c>
      <c r="I47" s="459" t="s">
        <v>149</v>
      </c>
      <c r="J47" s="178">
        <v>21.2</v>
      </c>
      <c r="K47" s="478">
        <v>22.1</v>
      </c>
      <c r="L47" s="457">
        <v>0.90000000000000213</v>
      </c>
      <c r="M47" s="459" t="s">
        <v>149</v>
      </c>
      <c r="N47" s="178">
        <v>21.2</v>
      </c>
      <c r="O47" s="478">
        <v>19.399999999999999</v>
      </c>
      <c r="P47" s="457">
        <v>-1.8000000000000007</v>
      </c>
      <c r="Q47" s="459" t="s">
        <v>145</v>
      </c>
      <c r="R47" s="178">
        <v>19.399999999999999</v>
      </c>
      <c r="S47" s="478">
        <v>20.3</v>
      </c>
      <c r="T47" s="457">
        <v>0.90000000000000213</v>
      </c>
      <c r="U47" s="459"/>
      <c r="V47" s="178">
        <v>19.399999999999999</v>
      </c>
      <c r="W47" s="478">
        <v>19.399999999999999</v>
      </c>
      <c r="X47" s="457">
        <v>0</v>
      </c>
      <c r="Y47" s="459"/>
    </row>
    <row r="48" spans="3:25" ht="16.5" thickBot="1">
      <c r="C48" s="486"/>
      <c r="D48" s="487"/>
      <c r="E48" s="489"/>
      <c r="F48" s="177">
        <v>0.69</v>
      </c>
      <c r="G48" s="479"/>
      <c r="H48" s="480"/>
      <c r="I48" s="481"/>
      <c r="J48" s="177">
        <v>0.69</v>
      </c>
      <c r="K48" s="479"/>
      <c r="L48" s="480"/>
      <c r="M48" s="481"/>
      <c r="N48" s="177">
        <v>0.69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45039</v>
      </c>
      <c r="G50" s="470"/>
      <c r="H50" s="470"/>
      <c r="I50" s="471"/>
      <c r="J50" s="469">
        <v>45042</v>
      </c>
      <c r="K50" s="470"/>
      <c r="L50" s="470"/>
      <c r="M50" s="471"/>
      <c r="N50" s="469">
        <v>45043</v>
      </c>
      <c r="O50" s="470"/>
      <c r="P50" s="470"/>
      <c r="Q50" s="471"/>
      <c r="R50" s="469">
        <v>45044</v>
      </c>
      <c r="S50" s="470"/>
      <c r="T50" s="470"/>
      <c r="U50" s="471"/>
      <c r="V50" s="469">
        <v>45046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21.8</v>
      </c>
      <c r="H53" s="223" t="s">
        <v>81</v>
      </c>
      <c r="I53" s="222" t="s">
        <v>201</v>
      </c>
      <c r="J53" s="225">
        <v>0</v>
      </c>
      <c r="K53" s="224">
        <v>22.599999999999998</v>
      </c>
      <c r="L53" s="223" t="s">
        <v>81</v>
      </c>
      <c r="M53" s="222" t="s">
        <v>201</v>
      </c>
      <c r="N53" s="225">
        <v>0</v>
      </c>
      <c r="O53" s="224">
        <v>22.5</v>
      </c>
      <c r="P53" s="223" t="s">
        <v>81</v>
      </c>
      <c r="Q53" s="222" t="s">
        <v>201</v>
      </c>
      <c r="R53" s="225">
        <v>0</v>
      </c>
      <c r="S53" s="224">
        <v>22.8</v>
      </c>
      <c r="T53" s="223" t="s">
        <v>81</v>
      </c>
      <c r="U53" s="222" t="s">
        <v>201</v>
      </c>
      <c r="V53" s="225">
        <v>0</v>
      </c>
      <c r="W53" s="224">
        <v>23.4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FC46-B553-4D56-AB4C-E43B58974188}">
  <dimension ref="B1:O64"/>
  <sheetViews>
    <sheetView showGridLines="0" view="pageBreakPreview" topLeftCell="E1" zoomScale="85" zoomScaleNormal="70" zoomScaleSheetLayoutView="85" zoomScalePageLayoutView="85" workbookViewId="0">
      <selection activeCell="E63" sqref="E6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45784</v>
      </c>
      <c r="G3" s="96" t="s">
        <v>67</v>
      </c>
      <c r="H3" s="25">
        <v>45785</v>
      </c>
      <c r="I3" s="96" t="s">
        <v>67</v>
      </c>
      <c r="J3" s="25">
        <v>45787</v>
      </c>
      <c r="K3" s="96" t="s">
        <v>215</v>
      </c>
      <c r="L3" s="25">
        <v>45789</v>
      </c>
      <c r="M3" s="26" t="s">
        <v>48</v>
      </c>
      <c r="N3" s="25">
        <v>45790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78</v>
      </c>
      <c r="G5" s="384" t="s">
        <v>45</v>
      </c>
      <c r="H5" s="9">
        <v>79</v>
      </c>
      <c r="I5" s="384" t="s">
        <v>45</v>
      </c>
      <c r="J5" s="9">
        <v>77.900000000000006</v>
      </c>
      <c r="K5" s="384" t="s">
        <v>45</v>
      </c>
      <c r="L5" s="9">
        <v>98.4</v>
      </c>
      <c r="M5" s="384" t="s">
        <v>45</v>
      </c>
      <c r="N5" s="9">
        <v>76.3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63.1</v>
      </c>
      <c r="G6" s="385"/>
      <c r="H6" s="10">
        <v>72.599999999999994</v>
      </c>
      <c r="I6" s="385"/>
      <c r="J6" s="10">
        <v>42.1</v>
      </c>
      <c r="K6" s="385"/>
      <c r="L6" s="10">
        <v>67.5</v>
      </c>
      <c r="M6" s="385"/>
      <c r="N6" s="10">
        <v>66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295.10000000000002</v>
      </c>
      <c r="G7" s="385"/>
      <c r="H7" s="28">
        <v>298.10000000000002</v>
      </c>
      <c r="I7" s="385"/>
      <c r="J7" s="28">
        <v>297.8</v>
      </c>
      <c r="K7" s="385"/>
      <c r="L7" s="28">
        <v>297.60000000000002</v>
      </c>
      <c r="M7" s="385"/>
      <c r="N7" s="28">
        <v>297.60000000000002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27.199999999999751</v>
      </c>
      <c r="G8" s="385"/>
      <c r="H8" s="29">
        <v>30.7</v>
      </c>
      <c r="I8" s="385"/>
      <c r="J8" s="29">
        <v>34.700000000000202</v>
      </c>
      <c r="K8" s="385"/>
      <c r="L8" s="29">
        <v>59.3</v>
      </c>
      <c r="M8" s="385"/>
      <c r="N8" s="29">
        <v>43.799999999999969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16.8</v>
      </c>
      <c r="G9" s="385"/>
      <c r="H9" s="30">
        <v>16.8</v>
      </c>
      <c r="I9" s="385"/>
      <c r="J9" s="30">
        <v>16.8</v>
      </c>
      <c r="K9" s="385"/>
      <c r="L9" s="30">
        <v>14.9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31.5</v>
      </c>
      <c r="G10" s="385"/>
      <c r="H10" s="11">
        <v>32</v>
      </c>
      <c r="I10" s="385"/>
      <c r="J10" s="11">
        <v>29</v>
      </c>
      <c r="K10" s="385"/>
      <c r="L10" s="11">
        <v>29.1</v>
      </c>
      <c r="M10" s="385"/>
      <c r="N10" s="11">
        <v>29.1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27.6</v>
      </c>
      <c r="G11" s="385"/>
      <c r="H11" s="12">
        <v>27.1</v>
      </c>
      <c r="I11" s="385"/>
      <c r="J11" s="12">
        <v>27.8</v>
      </c>
      <c r="K11" s="385"/>
      <c r="L11" s="12">
        <v>25.8</v>
      </c>
      <c r="M11" s="385"/>
      <c r="N11" s="12">
        <v>25.8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925.9</v>
      </c>
      <c r="G12" s="385"/>
      <c r="H12" s="13">
        <v>948.4</v>
      </c>
      <c r="I12" s="385"/>
      <c r="J12" s="13">
        <v>950.7</v>
      </c>
      <c r="K12" s="385"/>
      <c r="L12" s="13">
        <v>740.4</v>
      </c>
      <c r="M12" s="385"/>
      <c r="N12" s="13">
        <v>961.1</v>
      </c>
      <c r="O12" s="385"/>
    </row>
    <row r="13" spans="2:15" ht="16">
      <c r="B13" s="376"/>
      <c r="C13" s="379"/>
      <c r="D13" s="388"/>
      <c r="E13" s="45" t="s">
        <v>27</v>
      </c>
      <c r="F13" s="13">
        <v>8.4</v>
      </c>
      <c r="G13" s="385"/>
      <c r="H13" s="13">
        <v>9.4</v>
      </c>
      <c r="I13" s="385"/>
      <c r="J13" s="13">
        <v>19.100000000000001</v>
      </c>
      <c r="K13" s="385"/>
      <c r="L13" s="13">
        <v>7</v>
      </c>
      <c r="M13" s="385"/>
      <c r="N13" s="13">
        <v>7.8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69</v>
      </c>
      <c r="G14" s="385"/>
      <c r="H14" s="14">
        <v>69</v>
      </c>
      <c r="I14" s="385"/>
      <c r="J14" s="14">
        <v>69</v>
      </c>
      <c r="K14" s="385"/>
      <c r="L14" s="14">
        <v>169</v>
      </c>
      <c r="M14" s="385"/>
      <c r="N14" s="14">
        <v>61.7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1542.6</v>
      </c>
      <c r="G15" s="385"/>
      <c r="H15" s="15">
        <v>1583.1000000000001</v>
      </c>
      <c r="I15" s="385"/>
      <c r="J15" s="15">
        <v>1564.9</v>
      </c>
      <c r="K15" s="385"/>
      <c r="L15" s="15">
        <v>1509</v>
      </c>
      <c r="M15" s="385"/>
      <c r="N15" s="15">
        <v>1585.9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815</v>
      </c>
      <c r="G16" s="385"/>
      <c r="H16" s="8">
        <v>865</v>
      </c>
      <c r="I16" s="385"/>
      <c r="J16" s="8">
        <v>810.1</v>
      </c>
      <c r="K16" s="385"/>
      <c r="L16" s="8">
        <v>855</v>
      </c>
      <c r="M16" s="385"/>
      <c r="N16" s="8">
        <v>895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-91.1</v>
      </c>
      <c r="M17" s="385"/>
      <c r="N17" s="16">
        <v>-91.1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-4.4000000000000004</v>
      </c>
      <c r="I18" s="385"/>
      <c r="J18" s="17">
        <v>-4.4000000000000004</v>
      </c>
      <c r="K18" s="385"/>
      <c r="L18" s="17">
        <v>-4.4000000000000004</v>
      </c>
      <c r="M18" s="385"/>
      <c r="N18" s="17">
        <v>-4.4000000000000004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-170.4</v>
      </c>
      <c r="G19" s="385"/>
      <c r="H19" s="18">
        <v>-170.4</v>
      </c>
      <c r="I19" s="385"/>
      <c r="J19" s="18">
        <v>-133.4</v>
      </c>
      <c r="K19" s="385"/>
      <c r="L19" s="18">
        <v>-147.19999999999999</v>
      </c>
      <c r="M19" s="385"/>
      <c r="N19" s="18">
        <v>-150.6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6.2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1217</v>
      </c>
      <c r="G21" s="386"/>
      <c r="H21" s="27">
        <v>1266.9000000000001</v>
      </c>
      <c r="I21" s="386"/>
      <c r="J21" s="27">
        <v>1168.8000000000002</v>
      </c>
      <c r="K21" s="386"/>
      <c r="L21" s="27">
        <v>1097.7</v>
      </c>
      <c r="M21" s="386"/>
      <c r="N21" s="27">
        <v>1141.0999999999999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1542.6</v>
      </c>
      <c r="G23" s="400"/>
      <c r="H23" s="20">
        <v>1583.1000000000001</v>
      </c>
      <c r="I23" s="400"/>
      <c r="J23" s="20">
        <v>1564.9</v>
      </c>
      <c r="K23" s="400"/>
      <c r="L23" s="20">
        <v>1509</v>
      </c>
      <c r="M23" s="400"/>
      <c r="N23" s="20">
        <v>1585.9</v>
      </c>
      <c r="O23" s="400"/>
    </row>
    <row r="24" spans="2:15" ht="16">
      <c r="B24" s="409"/>
      <c r="C24" s="403" t="s">
        <v>37</v>
      </c>
      <c r="D24" s="404"/>
      <c r="E24" s="405"/>
      <c r="F24" s="21">
        <v>1217</v>
      </c>
      <c r="G24" s="401"/>
      <c r="H24" s="21">
        <v>1266.9000000000001</v>
      </c>
      <c r="I24" s="401"/>
      <c r="J24" s="21">
        <v>1168.8000000000002</v>
      </c>
      <c r="K24" s="401"/>
      <c r="L24" s="21">
        <v>1097.7</v>
      </c>
      <c r="M24" s="401"/>
      <c r="N24" s="21">
        <v>1141.0999999999999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325.59999999999991</v>
      </c>
      <c r="G25" s="402"/>
      <c r="H25" s="67">
        <v>316.20000000000005</v>
      </c>
      <c r="I25" s="402"/>
      <c r="J25" s="67">
        <v>396.09999999999991</v>
      </c>
      <c r="K25" s="402"/>
      <c r="L25" s="67">
        <v>411.29999999999995</v>
      </c>
      <c r="M25" s="402"/>
      <c r="N25" s="67">
        <v>444.80000000000018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5515-6DB2-4303-ADBC-D903FBDA4EE8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550" t="s">
        <v>42</v>
      </c>
      <c r="G2" s="573"/>
      <c r="H2" s="550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45047</v>
      </c>
      <c r="G3" s="317" t="s">
        <v>48</v>
      </c>
      <c r="H3" s="115">
        <v>45048</v>
      </c>
      <c r="I3" s="26" t="s">
        <v>49</v>
      </c>
      <c r="J3" s="25">
        <v>45049</v>
      </c>
      <c r="K3" s="26" t="s">
        <v>50</v>
      </c>
      <c r="L3" s="25">
        <v>45050</v>
      </c>
      <c r="M3" s="26" t="s">
        <v>50</v>
      </c>
      <c r="N3" s="25">
        <v>45051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120">
        <v>73.099999999999994</v>
      </c>
      <c r="G5" s="574" t="s">
        <v>45</v>
      </c>
      <c r="H5" s="120">
        <v>73.8</v>
      </c>
      <c r="I5" s="384" t="s">
        <v>45</v>
      </c>
      <c r="J5" s="9">
        <v>71.7</v>
      </c>
      <c r="K5" s="384" t="s">
        <v>45</v>
      </c>
      <c r="L5" s="9">
        <v>55.6</v>
      </c>
      <c r="M5" s="384" t="s">
        <v>45</v>
      </c>
      <c r="N5" s="9">
        <v>56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23">
        <v>51.2</v>
      </c>
      <c r="G6" s="575"/>
      <c r="H6" s="123">
        <v>46.1</v>
      </c>
      <c r="I6" s="385"/>
      <c r="J6" s="10">
        <v>46.3</v>
      </c>
      <c r="K6" s="385"/>
      <c r="L6" s="10">
        <v>78.8</v>
      </c>
      <c r="M6" s="385"/>
      <c r="N6" s="10">
        <v>84.1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410.9</v>
      </c>
      <c r="G7" s="575"/>
      <c r="H7" s="126">
        <v>411.9</v>
      </c>
      <c r="I7" s="385"/>
      <c r="J7" s="28">
        <v>413.7</v>
      </c>
      <c r="K7" s="385"/>
      <c r="L7" s="28">
        <v>413.8</v>
      </c>
      <c r="M7" s="385"/>
      <c r="N7" s="28">
        <v>413.8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57.500000000000021</v>
      </c>
      <c r="G8" s="575"/>
      <c r="H8" s="129">
        <v>30.599999999999795</v>
      </c>
      <c r="I8" s="385"/>
      <c r="J8" s="29">
        <v>38.5</v>
      </c>
      <c r="K8" s="385"/>
      <c r="L8" s="29">
        <v>39.6</v>
      </c>
      <c r="M8" s="385"/>
      <c r="N8" s="29">
        <v>43.6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16.3</v>
      </c>
      <c r="G9" s="575"/>
      <c r="H9" s="131">
        <v>16.2</v>
      </c>
      <c r="I9" s="385"/>
      <c r="J9" s="30">
        <v>16.3</v>
      </c>
      <c r="K9" s="385"/>
      <c r="L9" s="30">
        <v>16.5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21.6</v>
      </c>
      <c r="G10" s="575"/>
      <c r="H10" s="133">
        <v>19.399999999999999</v>
      </c>
      <c r="I10" s="385"/>
      <c r="J10" s="11">
        <v>21.6</v>
      </c>
      <c r="K10" s="385"/>
      <c r="L10" s="11">
        <v>21.6</v>
      </c>
      <c r="M10" s="385"/>
      <c r="N10" s="11">
        <v>21.6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22.2</v>
      </c>
      <c r="G11" s="575"/>
      <c r="H11" s="135">
        <v>23.9</v>
      </c>
      <c r="I11" s="385"/>
      <c r="J11" s="12">
        <v>22.6</v>
      </c>
      <c r="K11" s="385"/>
      <c r="L11" s="12">
        <v>22.6</v>
      </c>
      <c r="M11" s="385"/>
      <c r="N11" s="12">
        <v>22.5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971.3</v>
      </c>
      <c r="G12" s="575"/>
      <c r="H12" s="137">
        <v>982.3</v>
      </c>
      <c r="I12" s="385"/>
      <c r="J12" s="13">
        <v>811.8</v>
      </c>
      <c r="K12" s="385"/>
      <c r="L12" s="13">
        <v>316.39999999999998</v>
      </c>
      <c r="M12" s="385"/>
      <c r="N12" s="13">
        <v>307</v>
      </c>
      <c r="O12" s="385"/>
    </row>
    <row r="13" spans="2:15" ht="16">
      <c r="B13" s="376"/>
      <c r="C13" s="379"/>
      <c r="D13" s="388"/>
      <c r="E13" s="45" t="s">
        <v>27</v>
      </c>
      <c r="F13" s="137">
        <v>16.899999999999999</v>
      </c>
      <c r="G13" s="575"/>
      <c r="H13" s="137">
        <v>4.7</v>
      </c>
      <c r="I13" s="385"/>
      <c r="J13" s="13">
        <v>11.8</v>
      </c>
      <c r="K13" s="385"/>
      <c r="L13" s="13">
        <v>10.5</v>
      </c>
      <c r="M13" s="385"/>
      <c r="N13" s="13">
        <v>18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88</v>
      </c>
      <c r="G14" s="575"/>
      <c r="H14" s="139">
        <v>82.7</v>
      </c>
      <c r="I14" s="385"/>
      <c r="J14" s="14">
        <v>255</v>
      </c>
      <c r="K14" s="385"/>
      <c r="L14" s="14">
        <v>394</v>
      </c>
      <c r="M14" s="385"/>
      <c r="N14" s="14">
        <v>394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1729</v>
      </c>
      <c r="G15" s="575"/>
      <c r="H15" s="108">
        <v>1691.6</v>
      </c>
      <c r="I15" s="385"/>
      <c r="J15" s="15">
        <v>1709.3</v>
      </c>
      <c r="K15" s="385"/>
      <c r="L15" s="15">
        <v>1369.4</v>
      </c>
      <c r="M15" s="385"/>
      <c r="N15" s="15">
        <v>1376.9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774</v>
      </c>
      <c r="G16" s="575"/>
      <c r="H16" s="142">
        <v>810.1</v>
      </c>
      <c r="I16" s="385"/>
      <c r="J16" s="8">
        <v>706.1</v>
      </c>
      <c r="K16" s="385"/>
      <c r="L16" s="8">
        <v>685.5</v>
      </c>
      <c r="M16" s="385"/>
      <c r="N16" s="8">
        <v>705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-219.2</v>
      </c>
      <c r="G17" s="575"/>
      <c r="H17" s="145">
        <v>-219.2</v>
      </c>
      <c r="I17" s="385"/>
      <c r="J17" s="16">
        <v>-219.2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575"/>
      <c r="H18" s="111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-104.7</v>
      </c>
      <c r="G19" s="575"/>
      <c r="H19" s="148">
        <v>-80.599999999999994</v>
      </c>
      <c r="I19" s="385"/>
      <c r="J19" s="18">
        <v>-79.599999999999994</v>
      </c>
      <c r="K19" s="385"/>
      <c r="L19" s="18">
        <v>-38.299999999999997</v>
      </c>
      <c r="M19" s="385"/>
      <c r="N19" s="18">
        <v>-118.3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-10.5</v>
      </c>
      <c r="G20" s="575"/>
      <c r="H20" s="150">
        <v>-36.1</v>
      </c>
      <c r="I20" s="385"/>
      <c r="J20" s="19">
        <v>10</v>
      </c>
      <c r="K20" s="385"/>
      <c r="L20" s="19">
        <v>0</v>
      </c>
      <c r="M20" s="385"/>
      <c r="N20" s="19">
        <v>20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1113.4000000000001</v>
      </c>
      <c r="G21" s="576"/>
      <c r="H21" s="151">
        <v>1150.9999999999998</v>
      </c>
      <c r="I21" s="386"/>
      <c r="J21" s="27">
        <v>999.9</v>
      </c>
      <c r="K21" s="386"/>
      <c r="L21" s="27">
        <v>948</v>
      </c>
      <c r="M21" s="386"/>
      <c r="N21" s="27">
        <v>1027.5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321" t="s">
        <v>44</v>
      </c>
      <c r="H22" s="5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1729</v>
      </c>
      <c r="G23" s="577"/>
      <c r="H23" s="152">
        <v>1691.6</v>
      </c>
      <c r="I23" s="400"/>
      <c r="J23" s="20">
        <v>1709.3</v>
      </c>
      <c r="K23" s="400"/>
      <c r="L23" s="20">
        <v>1369.4</v>
      </c>
      <c r="M23" s="400"/>
      <c r="N23" s="20">
        <v>1376.9</v>
      </c>
      <c r="O23" s="400"/>
    </row>
    <row r="24" spans="2:15" ht="16">
      <c r="B24" s="409"/>
      <c r="C24" s="403" t="s">
        <v>37</v>
      </c>
      <c r="D24" s="404"/>
      <c r="E24" s="405"/>
      <c r="F24" s="153">
        <v>1113.4000000000001</v>
      </c>
      <c r="G24" s="578"/>
      <c r="H24" s="153">
        <v>1150.9999999999998</v>
      </c>
      <c r="I24" s="401"/>
      <c r="J24" s="21">
        <v>999.9</v>
      </c>
      <c r="K24" s="401"/>
      <c r="L24" s="21">
        <v>948</v>
      </c>
      <c r="M24" s="401"/>
      <c r="N24" s="21">
        <v>1027.5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615.59999999999991</v>
      </c>
      <c r="G25" s="579"/>
      <c r="H25" s="154">
        <v>540.60000000000014</v>
      </c>
      <c r="I25" s="402"/>
      <c r="J25" s="67">
        <v>709.4</v>
      </c>
      <c r="K25" s="402"/>
      <c r="L25" s="67">
        <v>421.40000000000009</v>
      </c>
      <c r="M25" s="402"/>
      <c r="N25" s="67">
        <v>349.40000000000009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日別の需給状況・再エネ出力抑制の必要性（2023年5月）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C8F7-C6E7-4F09-8C1D-68A1E7035A74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45054</v>
      </c>
      <c r="G3" s="26" t="s">
        <v>48</v>
      </c>
      <c r="H3" s="25">
        <v>45055</v>
      </c>
      <c r="I3" s="26" t="s">
        <v>48</v>
      </c>
      <c r="J3" s="25">
        <v>45056</v>
      </c>
      <c r="K3" s="26" t="s">
        <v>48</v>
      </c>
      <c r="L3" s="25">
        <v>45057</v>
      </c>
      <c r="M3" s="26" t="s">
        <v>48</v>
      </c>
      <c r="N3" s="25">
        <v>45058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85.4</v>
      </c>
      <c r="G5" s="384" t="s">
        <v>45</v>
      </c>
      <c r="H5" s="9">
        <v>97.5</v>
      </c>
      <c r="I5" s="384" t="s">
        <v>45</v>
      </c>
      <c r="J5" s="9">
        <v>94.4</v>
      </c>
      <c r="K5" s="384" t="s">
        <v>45</v>
      </c>
      <c r="L5" s="9">
        <v>84.1</v>
      </c>
      <c r="M5" s="384" t="s">
        <v>45</v>
      </c>
      <c r="N5" s="9">
        <v>86.6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111.2</v>
      </c>
      <c r="G6" s="385"/>
      <c r="H6" s="10">
        <v>105.7</v>
      </c>
      <c r="I6" s="385"/>
      <c r="J6" s="10">
        <v>111.3</v>
      </c>
      <c r="K6" s="385"/>
      <c r="L6" s="10">
        <v>114.9</v>
      </c>
      <c r="M6" s="385"/>
      <c r="N6" s="10">
        <v>106.4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413.8</v>
      </c>
      <c r="G7" s="385"/>
      <c r="H7" s="28">
        <v>410.7</v>
      </c>
      <c r="I7" s="385"/>
      <c r="J7" s="28">
        <v>414</v>
      </c>
      <c r="K7" s="385"/>
      <c r="L7" s="28">
        <v>414.1</v>
      </c>
      <c r="M7" s="385"/>
      <c r="N7" s="28">
        <v>414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50.1</v>
      </c>
      <c r="G8" s="385"/>
      <c r="H8" s="29">
        <v>61.3</v>
      </c>
      <c r="I8" s="385"/>
      <c r="J8" s="29">
        <v>60.000000000000021</v>
      </c>
      <c r="K8" s="385"/>
      <c r="L8" s="29">
        <v>64.999999999999858</v>
      </c>
      <c r="M8" s="385"/>
      <c r="N8" s="29">
        <v>62.000000000000213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14.7</v>
      </c>
      <c r="I9" s="385"/>
      <c r="J9" s="30">
        <v>16</v>
      </c>
      <c r="K9" s="385"/>
      <c r="L9" s="30">
        <v>15.2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19.399999999999999</v>
      </c>
      <c r="G10" s="385"/>
      <c r="H10" s="11">
        <v>19.399999999999999</v>
      </c>
      <c r="I10" s="385"/>
      <c r="J10" s="11">
        <v>19.399999999999999</v>
      </c>
      <c r="K10" s="385"/>
      <c r="L10" s="11">
        <v>19.399999999999999</v>
      </c>
      <c r="M10" s="385"/>
      <c r="N10" s="11">
        <v>19.399999999999999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22.2</v>
      </c>
      <c r="G11" s="385"/>
      <c r="H11" s="12">
        <v>21.2</v>
      </c>
      <c r="I11" s="385"/>
      <c r="J11" s="12">
        <v>21.5</v>
      </c>
      <c r="K11" s="385"/>
      <c r="L11" s="12">
        <v>21.2</v>
      </c>
      <c r="M11" s="385"/>
      <c r="N11" s="12">
        <v>21.3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847.7</v>
      </c>
      <c r="G12" s="385"/>
      <c r="H12" s="13">
        <v>978.8</v>
      </c>
      <c r="I12" s="385"/>
      <c r="J12" s="13">
        <v>971.1</v>
      </c>
      <c r="K12" s="385"/>
      <c r="L12" s="13">
        <v>827.6</v>
      </c>
      <c r="M12" s="385"/>
      <c r="N12" s="13">
        <v>620.20000000000005</v>
      </c>
      <c r="O12" s="385"/>
    </row>
    <row r="13" spans="2:15" ht="16">
      <c r="B13" s="376"/>
      <c r="C13" s="379"/>
      <c r="D13" s="388"/>
      <c r="E13" s="45" t="s">
        <v>27</v>
      </c>
      <c r="F13" s="13">
        <v>18.7</v>
      </c>
      <c r="G13" s="385"/>
      <c r="H13" s="13">
        <v>10.7</v>
      </c>
      <c r="I13" s="385"/>
      <c r="J13" s="13">
        <v>4.4000000000000004</v>
      </c>
      <c r="K13" s="385"/>
      <c r="L13" s="13">
        <v>5.2</v>
      </c>
      <c r="M13" s="385"/>
      <c r="N13" s="13">
        <v>3.8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240.9</v>
      </c>
      <c r="G14" s="385"/>
      <c r="H14" s="14">
        <v>81.8</v>
      </c>
      <c r="I14" s="385"/>
      <c r="J14" s="14">
        <v>88</v>
      </c>
      <c r="K14" s="385"/>
      <c r="L14" s="14">
        <v>255</v>
      </c>
      <c r="M14" s="385"/>
      <c r="N14" s="14">
        <v>374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1825.7000000000003</v>
      </c>
      <c r="G15" s="385"/>
      <c r="H15" s="15">
        <v>1801.8</v>
      </c>
      <c r="I15" s="385"/>
      <c r="J15" s="15">
        <v>1800.1000000000001</v>
      </c>
      <c r="K15" s="385"/>
      <c r="L15" s="15">
        <v>1821.7</v>
      </c>
      <c r="M15" s="385"/>
      <c r="N15" s="15">
        <v>1724.0000000000002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839.7</v>
      </c>
      <c r="G16" s="385"/>
      <c r="H16" s="8">
        <v>865</v>
      </c>
      <c r="I16" s="385"/>
      <c r="J16" s="8">
        <v>875</v>
      </c>
      <c r="K16" s="385"/>
      <c r="L16" s="8">
        <v>885</v>
      </c>
      <c r="M16" s="385"/>
      <c r="N16" s="8">
        <v>855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J17" s="16">
        <v>-186.7</v>
      </c>
      <c r="K17" s="385"/>
      <c r="L17" s="16">
        <v>-186.7</v>
      </c>
      <c r="M17" s="385"/>
      <c r="N17" s="16">
        <v>-186.7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-219</v>
      </c>
      <c r="G19" s="385"/>
      <c r="H19" s="18">
        <v>-219</v>
      </c>
      <c r="I19" s="385"/>
      <c r="J19" s="18">
        <v>-219</v>
      </c>
      <c r="K19" s="385"/>
      <c r="L19" s="18">
        <v>-219</v>
      </c>
      <c r="M19" s="385"/>
      <c r="N19" s="18">
        <v>-176.4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-7.7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1250.4000000000001</v>
      </c>
      <c r="G21" s="386"/>
      <c r="H21" s="27">
        <v>1275.7</v>
      </c>
      <c r="I21" s="386"/>
      <c r="J21" s="27">
        <v>1285.7</v>
      </c>
      <c r="K21" s="386"/>
      <c r="L21" s="27">
        <v>1295.7</v>
      </c>
      <c r="M21" s="386"/>
      <c r="N21" s="27">
        <v>1230.8000000000002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1825.7000000000003</v>
      </c>
      <c r="G23" s="400"/>
      <c r="H23" s="20">
        <v>1801.8</v>
      </c>
      <c r="I23" s="400"/>
      <c r="J23" s="20">
        <v>1800.1000000000001</v>
      </c>
      <c r="K23" s="400"/>
      <c r="L23" s="20">
        <v>1821.7</v>
      </c>
      <c r="M23" s="400"/>
      <c r="N23" s="20">
        <v>1724.0000000000002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1250.4000000000001</v>
      </c>
      <c r="G24" s="401"/>
      <c r="H24" s="21">
        <v>1275.7</v>
      </c>
      <c r="I24" s="401"/>
      <c r="J24" s="21">
        <v>1285.7</v>
      </c>
      <c r="K24" s="401"/>
      <c r="L24" s="21">
        <v>1295.7</v>
      </c>
      <c r="M24" s="401"/>
      <c r="N24" s="21">
        <v>1230.8000000000002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575.30000000000018</v>
      </c>
      <c r="G25" s="402"/>
      <c r="H25" s="67">
        <v>526.09999999999991</v>
      </c>
      <c r="I25" s="402"/>
      <c r="J25" s="67">
        <v>514.40000000000009</v>
      </c>
      <c r="K25" s="402"/>
      <c r="L25" s="67">
        <v>526</v>
      </c>
      <c r="M25" s="402"/>
      <c r="N25" s="67">
        <v>493.20000000000005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日別の需給状況・再エネ出力抑制の必要性（2023年5月）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21A2-F80B-4486-BF51-FDE627ABD9B3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45060</v>
      </c>
      <c r="G3" s="26" t="s">
        <v>49</v>
      </c>
      <c r="H3" s="25">
        <v>45061</v>
      </c>
      <c r="I3" s="26" t="s">
        <v>48</v>
      </c>
      <c r="J3" s="25">
        <v>45062</v>
      </c>
      <c r="K3" s="26" t="s">
        <v>48</v>
      </c>
      <c r="L3" s="25">
        <v>45063</v>
      </c>
      <c r="M3" s="26" t="s">
        <v>48</v>
      </c>
      <c r="N3" s="25">
        <v>45066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85.7</v>
      </c>
      <c r="G5" s="384" t="s">
        <v>45</v>
      </c>
      <c r="H5" s="9">
        <v>92.8</v>
      </c>
      <c r="I5" s="384" t="s">
        <v>45</v>
      </c>
      <c r="J5" s="9">
        <v>93.9</v>
      </c>
      <c r="K5" s="384" t="s">
        <v>45</v>
      </c>
      <c r="L5" s="9">
        <v>99.3</v>
      </c>
      <c r="M5" s="384" t="s">
        <v>45</v>
      </c>
      <c r="N5" s="9">
        <v>87.6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99.3</v>
      </c>
      <c r="G6" s="385"/>
      <c r="H6" s="10">
        <v>121.5</v>
      </c>
      <c r="I6" s="385"/>
      <c r="J6" s="10">
        <v>116.9</v>
      </c>
      <c r="K6" s="385"/>
      <c r="L6" s="10">
        <v>119.3</v>
      </c>
      <c r="M6" s="385"/>
      <c r="N6" s="10">
        <v>103.6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322.3</v>
      </c>
      <c r="G7" s="385"/>
      <c r="H7" s="28">
        <v>322.2</v>
      </c>
      <c r="I7" s="385"/>
      <c r="J7" s="28">
        <v>322.10000000000002</v>
      </c>
      <c r="K7" s="385"/>
      <c r="L7" s="28">
        <v>322.10000000000002</v>
      </c>
      <c r="M7" s="385"/>
      <c r="N7" s="28">
        <v>322.10000000000002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61.900000000000361</v>
      </c>
      <c r="G8" s="385"/>
      <c r="H8" s="29">
        <v>50.300000000000033</v>
      </c>
      <c r="I8" s="385"/>
      <c r="J8" s="29">
        <v>36.600000000000037</v>
      </c>
      <c r="K8" s="385"/>
      <c r="L8" s="29">
        <v>35.5</v>
      </c>
      <c r="M8" s="385"/>
      <c r="N8" s="29">
        <v>30.8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15.3</v>
      </c>
      <c r="I9" s="385"/>
      <c r="J9" s="30">
        <v>14</v>
      </c>
      <c r="K9" s="385"/>
      <c r="L9" s="30">
        <v>16.3</v>
      </c>
      <c r="M9" s="385"/>
      <c r="N9" s="30">
        <v>13.9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19.3</v>
      </c>
      <c r="G10" s="385"/>
      <c r="H10" s="11">
        <v>17.100000000000001</v>
      </c>
      <c r="I10" s="385"/>
      <c r="J10" s="11">
        <v>17.100000000000001</v>
      </c>
      <c r="K10" s="385"/>
      <c r="L10" s="11">
        <v>17.100000000000001</v>
      </c>
      <c r="M10" s="385"/>
      <c r="N10" s="11">
        <v>19.3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20.3</v>
      </c>
      <c r="G11" s="385"/>
      <c r="H11" s="12">
        <v>19.899999999999999</v>
      </c>
      <c r="I11" s="385"/>
      <c r="J11" s="12">
        <v>19.8</v>
      </c>
      <c r="K11" s="385"/>
      <c r="L11" s="12">
        <v>19.399999999999999</v>
      </c>
      <c r="M11" s="385"/>
      <c r="N11" s="12">
        <v>18.8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920.3</v>
      </c>
      <c r="G12" s="385"/>
      <c r="H12" s="13">
        <v>972.8</v>
      </c>
      <c r="I12" s="385"/>
      <c r="J12" s="13">
        <v>978.5</v>
      </c>
      <c r="K12" s="385"/>
      <c r="L12" s="13">
        <v>956.9</v>
      </c>
      <c r="M12" s="385"/>
      <c r="N12" s="13">
        <v>842.9</v>
      </c>
      <c r="O12" s="385"/>
    </row>
    <row r="13" spans="2:15" ht="16">
      <c r="B13" s="376"/>
      <c r="C13" s="379"/>
      <c r="D13" s="388"/>
      <c r="E13" s="45" t="s">
        <v>27</v>
      </c>
      <c r="F13" s="13">
        <v>3.3</v>
      </c>
      <c r="G13" s="385"/>
      <c r="H13" s="13">
        <v>6.2</v>
      </c>
      <c r="I13" s="385"/>
      <c r="J13" s="13">
        <v>6.5</v>
      </c>
      <c r="K13" s="385"/>
      <c r="L13" s="13">
        <v>4.9000000000000004</v>
      </c>
      <c r="M13" s="385"/>
      <c r="N13" s="13">
        <v>7.7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172.7</v>
      </c>
      <c r="G14" s="385"/>
      <c r="H14" s="14">
        <v>87.8</v>
      </c>
      <c r="I14" s="385"/>
      <c r="J14" s="14">
        <v>82.1</v>
      </c>
      <c r="K14" s="385"/>
      <c r="L14" s="14">
        <v>88</v>
      </c>
      <c r="M14" s="385"/>
      <c r="N14" s="14">
        <v>250.1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1721.4</v>
      </c>
      <c r="G15" s="385"/>
      <c r="H15" s="15">
        <v>1705.9</v>
      </c>
      <c r="I15" s="385"/>
      <c r="J15" s="15">
        <v>1687.5</v>
      </c>
      <c r="K15" s="385"/>
      <c r="L15" s="15">
        <v>1678.8000000000002</v>
      </c>
      <c r="M15" s="385"/>
      <c r="N15" s="15">
        <v>1696.7999999999997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736</v>
      </c>
      <c r="G16" s="385"/>
      <c r="H16" s="8">
        <v>875</v>
      </c>
      <c r="I16" s="385"/>
      <c r="J16" s="8">
        <v>936.1</v>
      </c>
      <c r="K16" s="385"/>
      <c r="L16" s="8">
        <v>955</v>
      </c>
      <c r="M16" s="385"/>
      <c r="N16" s="8">
        <v>830.8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J17" s="16">
        <v>-186.7</v>
      </c>
      <c r="K17" s="385"/>
      <c r="L17" s="16">
        <v>-160.6</v>
      </c>
      <c r="M17" s="385"/>
      <c r="N17" s="16">
        <v>-186.7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-182</v>
      </c>
      <c r="G19" s="385"/>
      <c r="H19" s="18">
        <v>-219</v>
      </c>
      <c r="I19" s="385"/>
      <c r="J19" s="18">
        <v>-219</v>
      </c>
      <c r="K19" s="385"/>
      <c r="L19" s="18">
        <v>-219</v>
      </c>
      <c r="M19" s="385"/>
      <c r="N19" s="18">
        <v>-161.30000000000001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-7.5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1109.7</v>
      </c>
      <c r="G21" s="386"/>
      <c r="H21" s="27">
        <v>1285.7</v>
      </c>
      <c r="I21" s="386"/>
      <c r="J21" s="27">
        <v>1346.8</v>
      </c>
      <c r="K21" s="386"/>
      <c r="L21" s="27">
        <v>1339.6</v>
      </c>
      <c r="M21" s="386"/>
      <c r="N21" s="27">
        <v>1191.3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1721.4</v>
      </c>
      <c r="G23" s="400"/>
      <c r="H23" s="20">
        <v>1705.9</v>
      </c>
      <c r="I23" s="400"/>
      <c r="J23" s="20">
        <v>1687.5</v>
      </c>
      <c r="K23" s="400"/>
      <c r="L23" s="20">
        <v>1678.8000000000002</v>
      </c>
      <c r="M23" s="400"/>
      <c r="N23" s="20">
        <v>1696.7999999999997</v>
      </c>
      <c r="O23" s="400"/>
    </row>
    <row r="24" spans="2:15" ht="16">
      <c r="B24" s="409"/>
      <c r="C24" s="403" t="s">
        <v>37</v>
      </c>
      <c r="D24" s="404"/>
      <c r="E24" s="405"/>
      <c r="F24" s="21">
        <v>1109.7</v>
      </c>
      <c r="G24" s="401"/>
      <c r="H24" s="21">
        <v>1285.7</v>
      </c>
      <c r="I24" s="401"/>
      <c r="J24" s="21">
        <v>1346.8</v>
      </c>
      <c r="K24" s="401"/>
      <c r="L24" s="21">
        <v>1339.6</v>
      </c>
      <c r="M24" s="401"/>
      <c r="N24" s="21">
        <v>1191.3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611.70000000000005</v>
      </c>
      <c r="G25" s="402"/>
      <c r="H25" s="67">
        <v>420.20000000000005</v>
      </c>
      <c r="I25" s="402"/>
      <c r="J25" s="67">
        <v>340.70000000000005</v>
      </c>
      <c r="K25" s="402"/>
      <c r="L25" s="67">
        <v>339.20000000000027</v>
      </c>
      <c r="M25" s="402"/>
      <c r="N25" s="67">
        <v>505.49999999999977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日別の需給状況・再エネ出力抑制の必要性（2023年5月）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EB90-9061-41BA-A7EE-4371B9CE990A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45067</v>
      </c>
      <c r="G3" s="26" t="s">
        <v>49</v>
      </c>
      <c r="H3" s="25">
        <v>45068</v>
      </c>
      <c r="I3" s="26" t="s">
        <v>49</v>
      </c>
      <c r="J3" s="25">
        <v>45069</v>
      </c>
      <c r="K3" s="26" t="s">
        <v>48</v>
      </c>
      <c r="L3" s="25">
        <v>45070</v>
      </c>
      <c r="M3" s="26" t="s">
        <v>48</v>
      </c>
      <c r="N3" s="25">
        <v>45071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86.7</v>
      </c>
      <c r="G5" s="384" t="s">
        <v>45</v>
      </c>
      <c r="H5" s="9">
        <v>88.7</v>
      </c>
      <c r="I5" s="384" t="s">
        <v>45</v>
      </c>
      <c r="J5" s="9">
        <v>89.5</v>
      </c>
      <c r="K5" s="384" t="s">
        <v>45</v>
      </c>
      <c r="L5" s="9">
        <v>113.7</v>
      </c>
      <c r="M5" s="384" t="s">
        <v>45</v>
      </c>
      <c r="N5" s="9">
        <v>85.3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102.6</v>
      </c>
      <c r="G6" s="385"/>
      <c r="H6" s="10">
        <v>122.4</v>
      </c>
      <c r="I6" s="385"/>
      <c r="J6" s="10">
        <v>120.9</v>
      </c>
      <c r="K6" s="385"/>
      <c r="L6" s="10">
        <v>163.30000000000001</v>
      </c>
      <c r="M6" s="385"/>
      <c r="N6" s="10">
        <v>145.6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</v>
      </c>
      <c r="G7" s="385"/>
      <c r="H7" s="28">
        <v>318.3</v>
      </c>
      <c r="I7" s="385"/>
      <c r="J7" s="28">
        <v>322.10000000000002</v>
      </c>
      <c r="K7" s="385"/>
      <c r="L7" s="28">
        <v>322.10000000000002</v>
      </c>
      <c r="M7" s="385"/>
      <c r="N7" s="28">
        <v>321.89999999999998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32.199999999999861</v>
      </c>
      <c r="G8" s="385"/>
      <c r="H8" s="29">
        <v>34.700000000000003</v>
      </c>
      <c r="I8" s="385"/>
      <c r="J8" s="29">
        <v>28.800000000000033</v>
      </c>
      <c r="K8" s="385"/>
      <c r="L8" s="29">
        <v>23.2</v>
      </c>
      <c r="M8" s="385"/>
      <c r="N8" s="29">
        <v>18.900000000000034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13.9</v>
      </c>
      <c r="G9" s="385"/>
      <c r="H9" s="30">
        <v>13.9</v>
      </c>
      <c r="I9" s="385"/>
      <c r="J9" s="30">
        <v>13.9</v>
      </c>
      <c r="K9" s="385"/>
      <c r="L9" s="30">
        <v>13.6</v>
      </c>
      <c r="M9" s="385"/>
      <c r="N9" s="30">
        <v>9.6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19.3</v>
      </c>
      <c r="G10" s="385"/>
      <c r="H10" s="11">
        <v>23.4</v>
      </c>
      <c r="I10" s="385"/>
      <c r="J10" s="11">
        <v>28.1</v>
      </c>
      <c r="K10" s="385"/>
      <c r="L10" s="11">
        <v>26.8</v>
      </c>
      <c r="M10" s="385"/>
      <c r="N10" s="11">
        <v>26.8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18.899999999999999</v>
      </c>
      <c r="G11" s="385"/>
      <c r="H11" s="12">
        <v>17.5</v>
      </c>
      <c r="I11" s="385"/>
      <c r="J11" s="12">
        <v>16.600000000000001</v>
      </c>
      <c r="K11" s="385"/>
      <c r="L11" s="12">
        <v>16.7</v>
      </c>
      <c r="M11" s="385"/>
      <c r="N11" s="12">
        <v>18.899999999999999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981.1</v>
      </c>
      <c r="G12" s="385"/>
      <c r="H12" s="13">
        <v>537.6</v>
      </c>
      <c r="I12" s="385"/>
      <c r="J12" s="13">
        <v>972.6</v>
      </c>
      <c r="K12" s="385"/>
      <c r="L12" s="13">
        <v>958.6</v>
      </c>
      <c r="M12" s="385"/>
      <c r="N12" s="13">
        <v>951.9</v>
      </c>
      <c r="O12" s="385"/>
    </row>
    <row r="13" spans="2:15" ht="16">
      <c r="B13" s="376"/>
      <c r="C13" s="379"/>
      <c r="D13" s="388"/>
      <c r="E13" s="45" t="s">
        <v>27</v>
      </c>
      <c r="F13" s="13">
        <v>3.5</v>
      </c>
      <c r="G13" s="385"/>
      <c r="H13" s="13">
        <v>2.8</v>
      </c>
      <c r="I13" s="385"/>
      <c r="J13" s="13">
        <v>16.399999999999999</v>
      </c>
      <c r="K13" s="385"/>
      <c r="L13" s="13">
        <v>5.7</v>
      </c>
      <c r="M13" s="385"/>
      <c r="N13" s="13">
        <v>5.5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83.9</v>
      </c>
      <c r="G14" s="385"/>
      <c r="H14" s="14">
        <v>374</v>
      </c>
      <c r="I14" s="385"/>
      <c r="J14" s="14">
        <v>88</v>
      </c>
      <c r="K14" s="385"/>
      <c r="L14" s="14">
        <v>88</v>
      </c>
      <c r="M14" s="385"/>
      <c r="N14" s="14">
        <v>88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1664.1</v>
      </c>
      <c r="G15" s="385"/>
      <c r="H15" s="15">
        <v>1533.3</v>
      </c>
      <c r="I15" s="385"/>
      <c r="J15" s="15">
        <v>1696.9</v>
      </c>
      <c r="K15" s="385"/>
      <c r="L15" s="15">
        <v>1731.7</v>
      </c>
      <c r="M15" s="385"/>
      <c r="N15" s="15">
        <v>1672.4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787.4</v>
      </c>
      <c r="G16" s="385"/>
      <c r="H16" s="8">
        <v>886.8</v>
      </c>
      <c r="I16" s="385"/>
      <c r="J16" s="8">
        <v>925</v>
      </c>
      <c r="K16" s="385"/>
      <c r="L16" s="8">
        <v>934.2</v>
      </c>
      <c r="M16" s="385"/>
      <c r="N16" s="8">
        <v>945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J17" s="16">
        <v>-186.7</v>
      </c>
      <c r="K17" s="385"/>
      <c r="L17" s="16">
        <v>-186.7</v>
      </c>
      <c r="M17" s="385"/>
      <c r="N17" s="16">
        <v>-186.7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-167.8</v>
      </c>
      <c r="G19" s="385"/>
      <c r="H19" s="18">
        <v>-165.6</v>
      </c>
      <c r="I19" s="385"/>
      <c r="J19" s="18">
        <v>-219</v>
      </c>
      <c r="K19" s="385"/>
      <c r="L19" s="18">
        <v>-219</v>
      </c>
      <c r="M19" s="385"/>
      <c r="N19" s="18">
        <v>-219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-18.7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1146.8999999999999</v>
      </c>
      <c r="G21" s="386"/>
      <c r="H21" s="27">
        <v>1262.8</v>
      </c>
      <c r="I21" s="386"/>
      <c r="J21" s="27">
        <v>1335.7</v>
      </c>
      <c r="K21" s="386"/>
      <c r="L21" s="27">
        <v>1344.9</v>
      </c>
      <c r="M21" s="386"/>
      <c r="N21" s="27">
        <v>1355.7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1664.1</v>
      </c>
      <c r="G23" s="400"/>
      <c r="H23" s="20">
        <v>1533.3</v>
      </c>
      <c r="I23" s="400"/>
      <c r="J23" s="20">
        <v>1696.9</v>
      </c>
      <c r="K23" s="400"/>
      <c r="L23" s="20">
        <v>1731.7</v>
      </c>
      <c r="M23" s="400"/>
      <c r="N23" s="20">
        <v>1672.4</v>
      </c>
      <c r="O23" s="400"/>
    </row>
    <row r="24" spans="2:15" ht="16">
      <c r="B24" s="409"/>
      <c r="C24" s="403" t="s">
        <v>37</v>
      </c>
      <c r="D24" s="404"/>
      <c r="E24" s="405"/>
      <c r="F24" s="21">
        <v>1146.8999999999999</v>
      </c>
      <c r="G24" s="401"/>
      <c r="H24" s="21">
        <v>1262.8</v>
      </c>
      <c r="I24" s="401"/>
      <c r="J24" s="21">
        <v>1335.7</v>
      </c>
      <c r="K24" s="401"/>
      <c r="L24" s="21">
        <v>1344.9</v>
      </c>
      <c r="M24" s="401"/>
      <c r="N24" s="21">
        <v>1355.7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517.20000000000005</v>
      </c>
      <c r="G25" s="402"/>
      <c r="H25" s="67">
        <v>270.5</v>
      </c>
      <c r="I25" s="402"/>
      <c r="J25" s="67">
        <v>361.20000000000005</v>
      </c>
      <c r="K25" s="402"/>
      <c r="L25" s="67">
        <v>386.79999999999995</v>
      </c>
      <c r="M25" s="402"/>
      <c r="N25" s="67">
        <v>316.70000000000005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日別の需給状況・再エネ出力抑制の必要性（2023年5月）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CB84-A6A0-48F3-970A-271877487CDC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45072</v>
      </c>
      <c r="G3" s="26" t="s">
        <v>48</v>
      </c>
      <c r="H3" s="25">
        <v>45073</v>
      </c>
      <c r="I3" s="26" t="s">
        <v>48</v>
      </c>
      <c r="J3" s="25">
        <v>45074</v>
      </c>
      <c r="K3" s="26" t="s">
        <v>56</v>
      </c>
      <c r="L3" s="25">
        <v>45077</v>
      </c>
      <c r="M3" s="26" t="s">
        <v>48</v>
      </c>
      <c r="N3" s="25"/>
      <c r="O3" s="26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85.5</v>
      </c>
      <c r="G5" s="384" t="s">
        <v>45</v>
      </c>
      <c r="H5" s="9">
        <v>83.7</v>
      </c>
      <c r="I5" s="384" t="s">
        <v>45</v>
      </c>
      <c r="J5" s="9">
        <v>82.3</v>
      </c>
      <c r="K5" s="384" t="s">
        <v>45</v>
      </c>
      <c r="L5" s="9">
        <v>77.2</v>
      </c>
      <c r="M5" s="384" t="s">
        <v>45</v>
      </c>
      <c r="N5" s="9"/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136.80000000000001</v>
      </c>
      <c r="G6" s="385"/>
      <c r="H6" s="10">
        <v>117.5</v>
      </c>
      <c r="I6" s="385"/>
      <c r="J6" s="10">
        <v>117.2</v>
      </c>
      <c r="K6" s="385"/>
      <c r="L6" s="10">
        <v>137.69999999999999</v>
      </c>
      <c r="M6" s="385"/>
      <c r="N6" s="10"/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322.10000000000002</v>
      </c>
      <c r="G7" s="385"/>
      <c r="H7" s="28">
        <v>322</v>
      </c>
      <c r="I7" s="385"/>
      <c r="J7" s="28">
        <v>321.89999999999998</v>
      </c>
      <c r="K7" s="385"/>
      <c r="L7" s="28">
        <v>321.7</v>
      </c>
      <c r="M7" s="385"/>
      <c r="N7" s="28"/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21.799999999999795</v>
      </c>
      <c r="G8" s="385"/>
      <c r="H8" s="29">
        <v>17.600000000000136</v>
      </c>
      <c r="I8" s="385"/>
      <c r="J8" s="29">
        <v>18.099999999999795</v>
      </c>
      <c r="K8" s="385"/>
      <c r="L8" s="29">
        <v>27.000000000000135</v>
      </c>
      <c r="M8" s="385"/>
      <c r="N8" s="29"/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9.6</v>
      </c>
      <c r="G9" s="385"/>
      <c r="H9" s="30">
        <v>9.6</v>
      </c>
      <c r="I9" s="385"/>
      <c r="J9" s="30">
        <v>9.6</v>
      </c>
      <c r="K9" s="385"/>
      <c r="L9" s="30">
        <v>13.9</v>
      </c>
      <c r="M9" s="385"/>
      <c r="N9" s="30"/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24.7</v>
      </c>
      <c r="G10" s="385"/>
      <c r="H10" s="11">
        <v>27</v>
      </c>
      <c r="I10" s="385"/>
      <c r="J10" s="11">
        <v>27</v>
      </c>
      <c r="K10" s="385"/>
      <c r="L10" s="11">
        <v>27</v>
      </c>
      <c r="M10" s="385"/>
      <c r="N10" s="11"/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19.399999999999999</v>
      </c>
      <c r="G11" s="385"/>
      <c r="H11" s="12">
        <v>18.899999999999999</v>
      </c>
      <c r="I11" s="385"/>
      <c r="J11" s="12">
        <v>19.100000000000001</v>
      </c>
      <c r="K11" s="385"/>
      <c r="L11" s="12">
        <v>21.4</v>
      </c>
      <c r="M11" s="385"/>
      <c r="N11" s="12"/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658.9</v>
      </c>
      <c r="G12" s="385"/>
      <c r="H12" s="13">
        <v>761.9</v>
      </c>
      <c r="I12" s="385"/>
      <c r="J12" s="13">
        <v>513.20000000000005</v>
      </c>
      <c r="K12" s="385"/>
      <c r="L12" s="13">
        <v>379.5</v>
      </c>
      <c r="M12" s="385"/>
      <c r="N12" s="13"/>
      <c r="O12" s="385"/>
    </row>
    <row r="13" spans="2:15" ht="16">
      <c r="B13" s="376"/>
      <c r="C13" s="379"/>
      <c r="D13" s="388"/>
      <c r="E13" s="45" t="s">
        <v>27</v>
      </c>
      <c r="F13" s="13">
        <v>7.3</v>
      </c>
      <c r="G13" s="385"/>
      <c r="H13" s="13">
        <v>15.3</v>
      </c>
      <c r="I13" s="385"/>
      <c r="J13" s="13">
        <v>7.9</v>
      </c>
      <c r="K13" s="385"/>
      <c r="L13" s="13">
        <v>7.8</v>
      </c>
      <c r="M13" s="385"/>
      <c r="N13" s="13"/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374</v>
      </c>
      <c r="G14" s="385"/>
      <c r="H14" s="14">
        <v>255</v>
      </c>
      <c r="I14" s="385"/>
      <c r="J14" s="14">
        <v>374</v>
      </c>
      <c r="K14" s="385"/>
      <c r="L14" s="14">
        <v>394</v>
      </c>
      <c r="M14" s="385"/>
      <c r="N14" s="14"/>
      <c r="O14" s="385"/>
    </row>
    <row r="15" spans="2:15" ht="16.5" thickBot="1">
      <c r="B15" s="376"/>
      <c r="C15" s="380"/>
      <c r="D15" s="389" t="s">
        <v>28</v>
      </c>
      <c r="E15" s="390"/>
      <c r="F15" s="15">
        <v>1660.1</v>
      </c>
      <c r="G15" s="385"/>
      <c r="H15" s="15">
        <v>1628.5000000000002</v>
      </c>
      <c r="I15" s="385"/>
      <c r="J15" s="15">
        <v>1490.3</v>
      </c>
      <c r="K15" s="385"/>
      <c r="L15" s="15">
        <v>1407.1999999999998</v>
      </c>
      <c r="M15" s="385"/>
      <c r="N15" s="15">
        <v>0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956.5</v>
      </c>
      <c r="G16" s="385"/>
      <c r="H16" s="8">
        <v>865.8</v>
      </c>
      <c r="I16" s="385"/>
      <c r="J16" s="8">
        <v>797.5</v>
      </c>
      <c r="K16" s="385"/>
      <c r="L16" s="8">
        <v>975</v>
      </c>
      <c r="M16" s="385"/>
      <c r="N16" s="8"/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J17" s="16">
        <v>-186.7</v>
      </c>
      <c r="K17" s="385"/>
      <c r="L17" s="16">
        <v>-118.7</v>
      </c>
      <c r="M17" s="385"/>
      <c r="N17" s="16"/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/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-219</v>
      </c>
      <c r="G19" s="385"/>
      <c r="H19" s="18">
        <v>-181</v>
      </c>
      <c r="I19" s="385"/>
      <c r="J19" s="18">
        <v>-181</v>
      </c>
      <c r="K19" s="385"/>
      <c r="L19" s="18">
        <v>-108.3</v>
      </c>
      <c r="M19" s="385"/>
      <c r="N19" s="18"/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-64.7</v>
      </c>
      <c r="M20" s="385"/>
      <c r="N20" s="19"/>
      <c r="O20" s="385"/>
    </row>
    <row r="21" spans="2:15" ht="16.5" thickBot="1">
      <c r="B21" s="377"/>
      <c r="C21" s="393"/>
      <c r="D21" s="398" t="s">
        <v>34</v>
      </c>
      <c r="E21" s="399"/>
      <c r="F21" s="27">
        <v>1367.2</v>
      </c>
      <c r="G21" s="386"/>
      <c r="H21" s="27">
        <v>1238.5</v>
      </c>
      <c r="I21" s="386"/>
      <c r="J21" s="27">
        <v>1170.2</v>
      </c>
      <c r="K21" s="386"/>
      <c r="L21" s="27">
        <v>1271.7</v>
      </c>
      <c r="M21" s="386"/>
      <c r="N21" s="27">
        <v>0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1660.1</v>
      </c>
      <c r="G23" s="400"/>
      <c r="H23" s="20">
        <v>1628.5000000000002</v>
      </c>
      <c r="I23" s="400"/>
      <c r="J23" s="20">
        <v>1490.3</v>
      </c>
      <c r="K23" s="400"/>
      <c r="L23" s="20">
        <v>1407.1999999999998</v>
      </c>
      <c r="M23" s="400"/>
      <c r="N23" s="20">
        <v>0</v>
      </c>
      <c r="O23" s="400"/>
    </row>
    <row r="24" spans="2:15" ht="16">
      <c r="B24" s="409"/>
      <c r="C24" s="403" t="s">
        <v>37</v>
      </c>
      <c r="D24" s="404"/>
      <c r="E24" s="405"/>
      <c r="F24" s="21">
        <v>1367.2</v>
      </c>
      <c r="G24" s="401"/>
      <c r="H24" s="21">
        <v>1238.5</v>
      </c>
      <c r="I24" s="401"/>
      <c r="J24" s="21">
        <v>1170.2</v>
      </c>
      <c r="K24" s="401"/>
      <c r="L24" s="21">
        <v>1271.7</v>
      </c>
      <c r="M24" s="401"/>
      <c r="N24" s="21">
        <v>0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292.89999999999986</v>
      </c>
      <c r="G25" s="402"/>
      <c r="H25" s="67">
        <v>390.00000000000023</v>
      </c>
      <c r="I25" s="402"/>
      <c r="J25" s="67">
        <v>320.09999999999991</v>
      </c>
      <c r="K25" s="402"/>
      <c r="L25" s="67">
        <v>135.49999999999977</v>
      </c>
      <c r="M25" s="402"/>
      <c r="N25" s="67">
        <v>0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日別の需給状況・再エネ出力抑制の必要性（2023年5月）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9207-6E42-478B-B3D1-EB8DDA2D74B5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45047</v>
      </c>
      <c r="G3" s="418"/>
      <c r="H3" s="418"/>
      <c r="I3" s="419"/>
      <c r="J3" s="417">
        <v>45048</v>
      </c>
      <c r="K3" s="418"/>
      <c r="L3" s="418"/>
      <c r="M3" s="419"/>
      <c r="N3" s="417">
        <v>45049</v>
      </c>
      <c r="O3" s="418"/>
      <c r="P3" s="418"/>
      <c r="Q3" s="419"/>
      <c r="R3" s="417">
        <v>45050</v>
      </c>
      <c r="S3" s="418"/>
      <c r="T3" s="418"/>
      <c r="U3" s="419"/>
      <c r="V3" s="417">
        <v>45051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v>0</v>
      </c>
      <c r="I5" s="219"/>
      <c r="J5" s="166">
        <v>15.7</v>
      </c>
      <c r="K5" s="165">
        <v>15.7</v>
      </c>
      <c r="L5" s="164">
        <v>0</v>
      </c>
      <c r="M5" s="219"/>
      <c r="N5" s="166">
        <v>15.7</v>
      </c>
      <c r="O5" s="165">
        <v>15.7</v>
      </c>
      <c r="P5" s="164">
        <v>0</v>
      </c>
      <c r="Q5" s="219"/>
      <c r="R5" s="166">
        <v>0</v>
      </c>
      <c r="S5" s="165">
        <v>0</v>
      </c>
      <c r="T5" s="164">
        <v>0</v>
      </c>
      <c r="U5" s="219"/>
      <c r="V5" s="166">
        <v>0</v>
      </c>
      <c r="W5" s="165">
        <v>0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34.4</v>
      </c>
      <c r="G8" s="216">
        <v>48.7</v>
      </c>
      <c r="H8" s="215">
        <v>14.300000000000004</v>
      </c>
      <c r="I8" s="214" t="s">
        <v>150</v>
      </c>
      <c r="J8" s="217">
        <v>35.099999999999994</v>
      </c>
      <c r="K8" s="216">
        <v>49.400000000000006</v>
      </c>
      <c r="L8" s="215">
        <v>14.300000000000011</v>
      </c>
      <c r="M8" s="214" t="s">
        <v>173</v>
      </c>
      <c r="N8" s="217">
        <v>33</v>
      </c>
      <c r="O8" s="216">
        <v>47.300000000000004</v>
      </c>
      <c r="P8" s="215">
        <v>14.300000000000004</v>
      </c>
      <c r="Q8" s="214" t="s">
        <v>173</v>
      </c>
      <c r="R8" s="217">
        <v>32.599999999999994</v>
      </c>
      <c r="S8" s="216">
        <v>46.900000000000006</v>
      </c>
      <c r="T8" s="215">
        <v>14.300000000000011</v>
      </c>
      <c r="U8" s="214" t="s">
        <v>173</v>
      </c>
      <c r="V8" s="217">
        <v>33</v>
      </c>
      <c r="W8" s="216">
        <v>47.300000000000004</v>
      </c>
      <c r="X8" s="215">
        <v>14.300000000000004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58.8</v>
      </c>
      <c r="G9" s="187">
        <v>73.099999999999994</v>
      </c>
      <c r="H9" s="187">
        <v>14.300000000000004</v>
      </c>
      <c r="I9" s="213" t="s">
        <v>81</v>
      </c>
      <c r="J9" s="188">
        <v>59.499999999999993</v>
      </c>
      <c r="K9" s="187">
        <v>73.800000000000011</v>
      </c>
      <c r="L9" s="187">
        <v>14.300000000000011</v>
      </c>
      <c r="M9" s="213" t="s">
        <v>81</v>
      </c>
      <c r="N9" s="188">
        <v>57.4</v>
      </c>
      <c r="O9" s="187">
        <v>71.7</v>
      </c>
      <c r="P9" s="187">
        <v>14.300000000000004</v>
      </c>
      <c r="Q9" s="213" t="s">
        <v>81</v>
      </c>
      <c r="R9" s="188">
        <v>41.3</v>
      </c>
      <c r="S9" s="187">
        <v>55.600000000000009</v>
      </c>
      <c r="T9" s="187">
        <v>14.300000000000011</v>
      </c>
      <c r="U9" s="213" t="s">
        <v>81</v>
      </c>
      <c r="V9" s="188">
        <v>41.7</v>
      </c>
      <c r="W9" s="187">
        <v>56</v>
      </c>
      <c r="X9" s="187">
        <v>14.300000000000004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45047</v>
      </c>
      <c r="G11" s="433"/>
      <c r="H11" s="433"/>
      <c r="I11" s="434"/>
      <c r="J11" s="432">
        <v>45048</v>
      </c>
      <c r="K11" s="433"/>
      <c r="L11" s="433"/>
      <c r="M11" s="434"/>
      <c r="N11" s="432">
        <v>45049</v>
      </c>
      <c r="O11" s="433"/>
      <c r="P11" s="433"/>
      <c r="Q11" s="434"/>
      <c r="R11" s="432">
        <v>45050</v>
      </c>
      <c r="S11" s="433"/>
      <c r="T11" s="433"/>
      <c r="U11" s="434"/>
      <c r="V11" s="432">
        <v>45051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45047</v>
      </c>
      <c r="G23" s="433"/>
      <c r="H23" s="433"/>
      <c r="I23" s="434"/>
      <c r="J23" s="432">
        <v>45048</v>
      </c>
      <c r="K23" s="433"/>
      <c r="L23" s="433"/>
      <c r="M23" s="434"/>
      <c r="N23" s="432">
        <v>45049</v>
      </c>
      <c r="O23" s="433"/>
      <c r="P23" s="433"/>
      <c r="Q23" s="434"/>
      <c r="R23" s="432">
        <v>45050</v>
      </c>
      <c r="S23" s="433"/>
      <c r="T23" s="433"/>
      <c r="U23" s="434"/>
      <c r="V23" s="432">
        <v>45051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45047</v>
      </c>
      <c r="G27" s="433"/>
      <c r="H27" s="433"/>
      <c r="I27" s="434"/>
      <c r="J27" s="432">
        <v>45048</v>
      </c>
      <c r="K27" s="433"/>
      <c r="L27" s="433"/>
      <c r="M27" s="434"/>
      <c r="N27" s="432">
        <v>45049</v>
      </c>
      <c r="O27" s="433"/>
      <c r="P27" s="433"/>
      <c r="Q27" s="434"/>
      <c r="R27" s="432">
        <v>45050</v>
      </c>
      <c r="S27" s="433"/>
      <c r="T27" s="433"/>
      <c r="U27" s="434"/>
      <c r="V27" s="432">
        <v>45051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21.9</v>
      </c>
      <c r="S29" s="455">
        <v>32.5</v>
      </c>
      <c r="T29" s="457">
        <v>10.600000000000001</v>
      </c>
      <c r="U29" s="459" t="s">
        <v>149</v>
      </c>
      <c r="V29" s="200">
        <v>21.9</v>
      </c>
      <c r="W29" s="455">
        <v>21.9</v>
      </c>
      <c r="X29" s="457">
        <v>0</v>
      </c>
      <c r="Y29" s="459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27.2</v>
      </c>
      <c r="G31" s="455">
        <v>26.1</v>
      </c>
      <c r="H31" s="457">
        <v>-1.0999999999999979</v>
      </c>
      <c r="I31" s="459" t="s">
        <v>146</v>
      </c>
      <c r="J31" s="200">
        <v>27.2</v>
      </c>
      <c r="K31" s="455">
        <v>26.1</v>
      </c>
      <c r="L31" s="457">
        <v>-1.0999999999999979</v>
      </c>
      <c r="M31" s="459" t="s">
        <v>154</v>
      </c>
      <c r="N31" s="200">
        <v>27.2</v>
      </c>
      <c r="O31" s="455">
        <v>26.1</v>
      </c>
      <c r="P31" s="457">
        <v>-1.0999999999999979</v>
      </c>
      <c r="Q31" s="459" t="s">
        <v>154</v>
      </c>
      <c r="R31" s="200">
        <v>27.2</v>
      </c>
      <c r="S31" s="455">
        <v>26.1</v>
      </c>
      <c r="T31" s="457">
        <v>-1.0999999999999979</v>
      </c>
      <c r="U31" s="459" t="s">
        <v>154</v>
      </c>
      <c r="V31" s="200">
        <v>54.4</v>
      </c>
      <c r="W31" s="455">
        <v>42.1</v>
      </c>
      <c r="X31" s="457">
        <v>-12.299999999999997</v>
      </c>
      <c r="Y31" s="459" t="s">
        <v>149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41.3</v>
      </c>
      <c r="G33" s="199">
        <v>24.3</v>
      </c>
      <c r="H33" s="457">
        <v>-16.999999999999996</v>
      </c>
      <c r="I33" s="459" t="s">
        <v>146</v>
      </c>
      <c r="J33" s="200">
        <v>41.3</v>
      </c>
      <c r="K33" s="199">
        <v>19</v>
      </c>
      <c r="L33" s="457">
        <v>-22.299999999999997</v>
      </c>
      <c r="M33" s="459" t="s">
        <v>154</v>
      </c>
      <c r="N33" s="200">
        <v>41.3</v>
      </c>
      <c r="O33" s="199">
        <v>19.3</v>
      </c>
      <c r="P33" s="457">
        <v>-21.999999999999996</v>
      </c>
      <c r="Q33" s="459" t="s">
        <v>154</v>
      </c>
      <c r="R33" s="200">
        <v>41.3</v>
      </c>
      <c r="S33" s="199">
        <v>19.3</v>
      </c>
      <c r="T33" s="457">
        <v>-21.999999999999996</v>
      </c>
      <c r="U33" s="459" t="s">
        <v>154</v>
      </c>
      <c r="V33" s="200">
        <v>41.3</v>
      </c>
      <c r="W33" s="199">
        <v>19.3</v>
      </c>
      <c r="X33" s="457">
        <v>-21.999999999999996</v>
      </c>
      <c r="Y33" s="459" t="s">
        <v>154</v>
      </c>
    </row>
    <row r="34" spans="3:25" ht="16">
      <c r="C34" s="451"/>
      <c r="D34" s="467"/>
      <c r="E34" s="463" t="s">
        <v>104</v>
      </c>
      <c r="F34" s="198">
        <v>0.24</v>
      </c>
      <c r="G34" s="197">
        <v>0.14000000000000001</v>
      </c>
      <c r="H34" s="458"/>
      <c r="I34" s="460"/>
      <c r="J34" s="198">
        <v>0.24</v>
      </c>
      <c r="K34" s="197">
        <v>0.11</v>
      </c>
      <c r="L34" s="458"/>
      <c r="M34" s="460"/>
      <c r="N34" s="198">
        <v>0.24</v>
      </c>
      <c r="O34" s="197">
        <v>0.11</v>
      </c>
      <c r="P34" s="458"/>
      <c r="Q34" s="460"/>
      <c r="R34" s="198">
        <v>0.24</v>
      </c>
      <c r="S34" s="197">
        <v>0.11</v>
      </c>
      <c r="T34" s="458"/>
      <c r="U34" s="460"/>
      <c r="V34" s="198">
        <v>0.24</v>
      </c>
      <c r="W34" s="197">
        <v>0.11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0.8</v>
      </c>
      <c r="H37" s="164">
        <v>-12.2</v>
      </c>
      <c r="I37" s="189" t="s">
        <v>147</v>
      </c>
      <c r="J37" s="166">
        <v>13</v>
      </c>
      <c r="K37" s="165">
        <v>1</v>
      </c>
      <c r="L37" s="164">
        <v>-12</v>
      </c>
      <c r="M37" s="189" t="s">
        <v>170</v>
      </c>
      <c r="N37" s="166">
        <v>13</v>
      </c>
      <c r="O37" s="165">
        <v>0.89999999999999791</v>
      </c>
      <c r="P37" s="164">
        <v>-12.100000000000001</v>
      </c>
      <c r="Q37" s="189" t="s">
        <v>170</v>
      </c>
      <c r="R37" s="166">
        <v>13</v>
      </c>
      <c r="S37" s="165">
        <v>0.89999999999999791</v>
      </c>
      <c r="T37" s="164">
        <v>-12.100000000000001</v>
      </c>
      <c r="U37" s="189" t="s">
        <v>170</v>
      </c>
      <c r="V37" s="166">
        <v>13</v>
      </c>
      <c r="W37" s="165">
        <v>0.8</v>
      </c>
      <c r="X37" s="164">
        <v>-12.2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81.5</v>
      </c>
      <c r="G38" s="187">
        <v>51.2</v>
      </c>
      <c r="H38" s="187">
        <v>-30.299999999999994</v>
      </c>
      <c r="I38" s="186"/>
      <c r="J38" s="188">
        <v>81.5</v>
      </c>
      <c r="K38" s="187">
        <v>46.1</v>
      </c>
      <c r="L38" s="187">
        <v>-35.399999999999991</v>
      </c>
      <c r="M38" s="186"/>
      <c r="N38" s="188">
        <v>81.5</v>
      </c>
      <c r="O38" s="187">
        <v>46.300000000000004</v>
      </c>
      <c r="P38" s="187">
        <v>-35.199999999999996</v>
      </c>
      <c r="Q38" s="186"/>
      <c r="R38" s="188">
        <v>103.39999999999999</v>
      </c>
      <c r="S38" s="187">
        <v>78.8</v>
      </c>
      <c r="T38" s="187">
        <v>-24.599999999999994</v>
      </c>
      <c r="U38" s="186"/>
      <c r="V38" s="188">
        <v>130.6</v>
      </c>
      <c r="W38" s="187">
        <v>84.1</v>
      </c>
      <c r="X38" s="187">
        <v>-46.5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32">
        <v>45047</v>
      </c>
      <c r="G40" s="433"/>
      <c r="H40" s="433"/>
      <c r="I40" s="434"/>
      <c r="J40" s="432">
        <v>45048</v>
      </c>
      <c r="K40" s="433"/>
      <c r="L40" s="433"/>
      <c r="M40" s="434"/>
      <c r="N40" s="432">
        <v>45049</v>
      </c>
      <c r="O40" s="433"/>
      <c r="P40" s="433"/>
      <c r="Q40" s="434"/>
      <c r="R40" s="469">
        <v>45050</v>
      </c>
      <c r="S40" s="470"/>
      <c r="T40" s="470"/>
      <c r="U40" s="471"/>
      <c r="V40" s="469">
        <v>45051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55.8</v>
      </c>
      <c r="G42" s="478">
        <v>33.5</v>
      </c>
      <c r="H42" s="457">
        <f>G42-F42</f>
        <v>-22.299999999999997</v>
      </c>
      <c r="I42" s="459" t="s">
        <v>151</v>
      </c>
      <c r="J42" s="178">
        <v>83.9</v>
      </c>
      <c r="K42" s="478">
        <v>36.1</v>
      </c>
      <c r="L42" s="457">
        <v>-47.800000000000004</v>
      </c>
      <c r="M42" s="459" t="s">
        <v>183</v>
      </c>
      <c r="N42" s="178">
        <v>90.9</v>
      </c>
      <c r="O42" s="478">
        <v>0</v>
      </c>
      <c r="P42" s="457">
        <f>O42-N42</f>
        <v>-90.9</v>
      </c>
      <c r="Q42" s="459" t="s">
        <v>183</v>
      </c>
      <c r="R42" s="178">
        <v>137.69999999999999</v>
      </c>
      <c r="S42" s="478">
        <v>0</v>
      </c>
      <c r="T42" s="457">
        <v>-137.69999999999999</v>
      </c>
      <c r="U42" s="459" t="s">
        <v>183</v>
      </c>
      <c r="V42" s="178">
        <v>57.7</v>
      </c>
      <c r="W42" s="478">
        <v>0</v>
      </c>
      <c r="X42" s="457">
        <v>-57.7</v>
      </c>
      <c r="Y42" s="459" t="s">
        <v>183</v>
      </c>
    </row>
    <row r="43" spans="3:25" ht="16.5" thickBot="1">
      <c r="C43" s="474"/>
      <c r="D43" s="475"/>
      <c r="E43" s="477"/>
      <c r="F43" s="183">
        <v>160.5</v>
      </c>
      <c r="G43" s="479"/>
      <c r="H43" s="509"/>
      <c r="I43" s="481"/>
      <c r="J43" s="183">
        <v>164.5</v>
      </c>
      <c r="K43" s="479"/>
      <c r="L43" s="509"/>
      <c r="M43" s="481"/>
      <c r="N43" s="183">
        <v>170.5</v>
      </c>
      <c r="O43" s="479"/>
      <c r="P43" s="509"/>
      <c r="Q43" s="481"/>
      <c r="R43" s="183">
        <v>176</v>
      </c>
      <c r="S43" s="479"/>
      <c r="T43" s="480"/>
      <c r="U43" s="481"/>
      <c r="V43" s="183">
        <v>176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32">
        <v>45047</v>
      </c>
      <c r="G45" s="433"/>
      <c r="H45" s="433"/>
      <c r="I45" s="434"/>
      <c r="J45" s="432">
        <v>45048</v>
      </c>
      <c r="K45" s="433"/>
      <c r="L45" s="433"/>
      <c r="M45" s="434"/>
      <c r="N45" s="432">
        <v>45049</v>
      </c>
      <c r="O45" s="433"/>
      <c r="P45" s="433"/>
      <c r="Q45" s="434"/>
      <c r="R45" s="469">
        <v>45050</v>
      </c>
      <c r="S45" s="470"/>
      <c r="T45" s="470"/>
      <c r="U45" s="471"/>
      <c r="V45" s="469">
        <v>45051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21.6</v>
      </c>
      <c r="G47" s="478">
        <v>21.6</v>
      </c>
      <c r="H47" s="457">
        <v>0</v>
      </c>
      <c r="I47" s="459"/>
      <c r="J47" s="178">
        <v>19.399999999999999</v>
      </c>
      <c r="K47" s="478">
        <v>19.399999999999999</v>
      </c>
      <c r="L47" s="457">
        <v>0</v>
      </c>
      <c r="M47" s="459"/>
      <c r="N47" s="178">
        <v>21.6</v>
      </c>
      <c r="O47" s="478">
        <v>21.6</v>
      </c>
      <c r="P47" s="457">
        <v>0</v>
      </c>
      <c r="Q47" s="459"/>
      <c r="R47" s="178">
        <v>21.6</v>
      </c>
      <c r="S47" s="478">
        <v>21.6</v>
      </c>
      <c r="T47" s="457">
        <v>0</v>
      </c>
      <c r="U47" s="459"/>
      <c r="V47" s="178">
        <v>21.6</v>
      </c>
      <c r="W47" s="478">
        <v>21.6</v>
      </c>
      <c r="X47" s="457">
        <v>0</v>
      </c>
      <c r="Y47" s="459"/>
    </row>
    <row r="48" spans="3:25" ht="16.5" thickBot="1">
      <c r="C48" s="486"/>
      <c r="D48" s="487"/>
      <c r="E48" s="489"/>
      <c r="F48" s="177">
        <v>0.64</v>
      </c>
      <c r="G48" s="479"/>
      <c r="H48" s="509"/>
      <c r="I48" s="481"/>
      <c r="J48" s="177">
        <v>0.68</v>
      </c>
      <c r="K48" s="479"/>
      <c r="L48" s="509"/>
      <c r="M48" s="481"/>
      <c r="N48" s="177">
        <v>0.64</v>
      </c>
      <c r="O48" s="479"/>
      <c r="P48" s="509"/>
      <c r="Q48" s="481"/>
      <c r="R48" s="177">
        <v>0.64</v>
      </c>
      <c r="S48" s="479"/>
      <c r="T48" s="480"/>
      <c r="U48" s="481"/>
      <c r="V48" s="177">
        <v>0.64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32">
        <v>45047</v>
      </c>
      <c r="G50" s="433"/>
      <c r="H50" s="433"/>
      <c r="I50" s="434"/>
      <c r="J50" s="432">
        <v>45048</v>
      </c>
      <c r="K50" s="433"/>
      <c r="L50" s="433"/>
      <c r="M50" s="434"/>
      <c r="N50" s="432">
        <v>45049</v>
      </c>
      <c r="O50" s="433"/>
      <c r="P50" s="433"/>
      <c r="Q50" s="434"/>
      <c r="R50" s="469">
        <v>45050</v>
      </c>
      <c r="S50" s="470"/>
      <c r="T50" s="470"/>
      <c r="U50" s="471"/>
      <c r="V50" s="469">
        <v>45051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22.2</v>
      </c>
      <c r="H53" s="223" t="s">
        <v>81</v>
      </c>
      <c r="I53" s="222" t="s">
        <v>201</v>
      </c>
      <c r="J53" s="225">
        <v>0</v>
      </c>
      <c r="K53" s="224">
        <v>23.9</v>
      </c>
      <c r="L53" s="223" t="s">
        <v>81</v>
      </c>
      <c r="M53" s="222" t="s">
        <v>201</v>
      </c>
      <c r="N53" s="225">
        <v>0</v>
      </c>
      <c r="O53" s="224">
        <v>22.6</v>
      </c>
      <c r="P53" s="223" t="s">
        <v>81</v>
      </c>
      <c r="Q53" s="222" t="s">
        <v>201</v>
      </c>
      <c r="R53" s="225">
        <v>0</v>
      </c>
      <c r="S53" s="224">
        <v>22.6</v>
      </c>
      <c r="T53" s="223" t="s">
        <v>81</v>
      </c>
      <c r="U53" s="222" t="s">
        <v>201</v>
      </c>
      <c r="V53" s="225">
        <v>0</v>
      </c>
      <c r="W53" s="224">
        <v>22.5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346A-045A-4719-9517-B76253604BFA}">
  <sheetPr>
    <pageSetUpPr fitToPage="1"/>
  </sheetPr>
  <dimension ref="A1:Y57"/>
  <sheetViews>
    <sheetView showGridLines="0" view="pageBreakPreview" topLeftCell="A16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45054</v>
      </c>
      <c r="G3" s="418"/>
      <c r="H3" s="418"/>
      <c r="I3" s="419"/>
      <c r="J3" s="417">
        <v>45055</v>
      </c>
      <c r="K3" s="418"/>
      <c r="L3" s="418"/>
      <c r="M3" s="419"/>
      <c r="N3" s="417">
        <v>45056</v>
      </c>
      <c r="O3" s="418"/>
      <c r="P3" s="418"/>
      <c r="Q3" s="419"/>
      <c r="R3" s="417">
        <v>45057</v>
      </c>
      <c r="S3" s="418"/>
      <c r="T3" s="418"/>
      <c r="U3" s="419"/>
      <c r="V3" s="417">
        <v>45058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v>0</v>
      </c>
      <c r="I5" s="219"/>
      <c r="J5" s="166">
        <v>20.3</v>
      </c>
      <c r="K5" s="165">
        <v>20.3</v>
      </c>
      <c r="L5" s="164">
        <v>0</v>
      </c>
      <c r="M5" s="219"/>
      <c r="N5" s="166">
        <v>15.7</v>
      </c>
      <c r="O5" s="165">
        <v>26.2</v>
      </c>
      <c r="P5" s="164">
        <v>10.5</v>
      </c>
      <c r="Q5" s="219" t="s">
        <v>151</v>
      </c>
      <c r="R5" s="166">
        <v>15.7</v>
      </c>
      <c r="S5" s="165">
        <v>15.7</v>
      </c>
      <c r="T5" s="164">
        <v>0</v>
      </c>
      <c r="U5" s="219"/>
      <c r="V5" s="166">
        <v>15.7</v>
      </c>
      <c r="W5" s="165">
        <v>18.8</v>
      </c>
      <c r="X5" s="164">
        <v>3.1000000000000014</v>
      </c>
      <c r="Y5" s="219" t="s">
        <v>151</v>
      </c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17.5</v>
      </c>
      <c r="K6" s="165">
        <v>15.7</v>
      </c>
      <c r="L6" s="164">
        <v>-1.8000000000000007</v>
      </c>
      <c r="M6" s="219" t="s">
        <v>149</v>
      </c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11</v>
      </c>
      <c r="G7" s="165">
        <v>11</v>
      </c>
      <c r="H7" s="164">
        <v>0</v>
      </c>
      <c r="I7" s="219"/>
      <c r="J7" s="166">
        <v>11</v>
      </c>
      <c r="K7" s="165">
        <v>11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35.700000000000003</v>
      </c>
      <c r="G8" s="216">
        <v>50</v>
      </c>
      <c r="H8" s="215">
        <v>14.299999999999997</v>
      </c>
      <c r="I8" s="214" t="s">
        <v>173</v>
      </c>
      <c r="J8" s="217">
        <v>36.200000000000003</v>
      </c>
      <c r="K8" s="216">
        <v>50.5</v>
      </c>
      <c r="L8" s="215">
        <v>14.299999999999997</v>
      </c>
      <c r="M8" s="214" t="s">
        <v>173</v>
      </c>
      <c r="N8" s="217">
        <v>36.4</v>
      </c>
      <c r="O8" s="216">
        <v>50.7</v>
      </c>
      <c r="P8" s="215">
        <v>14.300000000000004</v>
      </c>
      <c r="Q8" s="214" t="s">
        <v>173</v>
      </c>
      <c r="R8" s="217">
        <v>36.599999999999994</v>
      </c>
      <c r="S8" s="216">
        <v>50.900000000000006</v>
      </c>
      <c r="T8" s="215">
        <v>14.300000000000011</v>
      </c>
      <c r="U8" s="214" t="s">
        <v>173</v>
      </c>
      <c r="V8" s="217">
        <v>36</v>
      </c>
      <c r="W8" s="216">
        <v>50.300000000000004</v>
      </c>
      <c r="X8" s="215">
        <v>14.300000000000004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71.099999999999994</v>
      </c>
      <c r="G9" s="187">
        <v>85.4</v>
      </c>
      <c r="H9" s="187">
        <v>14.299999999999997</v>
      </c>
      <c r="I9" s="213" t="s">
        <v>81</v>
      </c>
      <c r="J9" s="188">
        <v>85</v>
      </c>
      <c r="K9" s="187">
        <v>97.5</v>
      </c>
      <c r="L9" s="187">
        <v>12.499999999999996</v>
      </c>
      <c r="M9" s="213" t="s">
        <v>81</v>
      </c>
      <c r="N9" s="188">
        <v>69.599999999999994</v>
      </c>
      <c r="O9" s="187">
        <v>94.4</v>
      </c>
      <c r="P9" s="187">
        <v>24.800000000000004</v>
      </c>
      <c r="Q9" s="213" t="s">
        <v>81</v>
      </c>
      <c r="R9" s="188">
        <v>69.8</v>
      </c>
      <c r="S9" s="187">
        <v>84.100000000000009</v>
      </c>
      <c r="T9" s="187">
        <v>14.300000000000011</v>
      </c>
      <c r="U9" s="213" t="s">
        <v>81</v>
      </c>
      <c r="V9" s="188">
        <v>69.2</v>
      </c>
      <c r="W9" s="187">
        <v>86.6</v>
      </c>
      <c r="X9" s="187">
        <v>17.400000000000006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45054</v>
      </c>
      <c r="G11" s="433"/>
      <c r="H11" s="433"/>
      <c r="I11" s="434"/>
      <c r="J11" s="432">
        <v>45055</v>
      </c>
      <c r="K11" s="433"/>
      <c r="L11" s="433"/>
      <c r="M11" s="434"/>
      <c r="N11" s="432">
        <v>45056</v>
      </c>
      <c r="O11" s="433"/>
      <c r="P11" s="433"/>
      <c r="Q11" s="434"/>
      <c r="R11" s="432">
        <v>45057</v>
      </c>
      <c r="S11" s="433"/>
      <c r="T11" s="433"/>
      <c r="U11" s="434"/>
      <c r="V11" s="432">
        <v>45058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149</v>
      </c>
      <c r="J16" s="166">
        <v>-32.5</v>
      </c>
      <c r="K16" s="165">
        <v>0</v>
      </c>
      <c r="L16" s="164">
        <v>32.5</v>
      </c>
      <c r="M16" s="189" t="s">
        <v>145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>
        <v>-32.5</v>
      </c>
      <c r="W16" s="165">
        <v>0</v>
      </c>
      <c r="X16" s="164">
        <v>32.5</v>
      </c>
      <c r="Y16" s="189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v>-253.2</v>
      </c>
      <c r="W21" s="187">
        <v>-186.7</v>
      </c>
      <c r="X21" s="187">
        <v>66.5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45054</v>
      </c>
      <c r="G23" s="433"/>
      <c r="H23" s="433"/>
      <c r="I23" s="434"/>
      <c r="J23" s="432">
        <v>45055</v>
      </c>
      <c r="K23" s="433"/>
      <c r="L23" s="433"/>
      <c r="M23" s="434"/>
      <c r="N23" s="432">
        <v>45056</v>
      </c>
      <c r="O23" s="433"/>
      <c r="P23" s="433"/>
      <c r="Q23" s="434"/>
      <c r="R23" s="432">
        <v>45057</v>
      </c>
      <c r="S23" s="433"/>
      <c r="T23" s="433"/>
      <c r="U23" s="434"/>
      <c r="V23" s="432">
        <v>45058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45054</v>
      </c>
      <c r="G27" s="433"/>
      <c r="H27" s="433"/>
      <c r="I27" s="434"/>
      <c r="J27" s="432">
        <v>45055</v>
      </c>
      <c r="K27" s="433"/>
      <c r="L27" s="433"/>
      <c r="M27" s="434"/>
      <c r="N27" s="432">
        <v>45056</v>
      </c>
      <c r="O27" s="433"/>
      <c r="P27" s="433"/>
      <c r="Q27" s="434"/>
      <c r="R27" s="432">
        <v>45057</v>
      </c>
      <c r="S27" s="433"/>
      <c r="T27" s="433"/>
      <c r="U27" s="434"/>
      <c r="V27" s="432">
        <v>45058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57</v>
      </c>
      <c r="P31" s="457">
        <v>2.6000000000000014</v>
      </c>
      <c r="Q31" s="459" t="s">
        <v>151</v>
      </c>
      <c r="R31" s="200">
        <v>54.4</v>
      </c>
      <c r="S31" s="455">
        <v>64.099999999999994</v>
      </c>
      <c r="T31" s="457">
        <v>9.6999999999999957</v>
      </c>
      <c r="U31" s="459" t="s">
        <v>149</v>
      </c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41.3</v>
      </c>
      <c r="G33" s="199">
        <v>34</v>
      </c>
      <c r="H33" s="457">
        <v>-7.2999999999999972</v>
      </c>
      <c r="I33" s="459" t="s">
        <v>146</v>
      </c>
      <c r="J33" s="200">
        <v>41.3</v>
      </c>
      <c r="K33" s="199">
        <v>28.5</v>
      </c>
      <c r="L33" s="457">
        <v>-12.799999999999997</v>
      </c>
      <c r="M33" s="459" t="s">
        <v>154</v>
      </c>
      <c r="N33" s="200">
        <v>41.3</v>
      </c>
      <c r="O33" s="199">
        <v>31.5</v>
      </c>
      <c r="P33" s="457">
        <v>-9.7999999999999972</v>
      </c>
      <c r="Q33" s="459" t="s">
        <v>154</v>
      </c>
      <c r="R33" s="200">
        <v>41.3</v>
      </c>
      <c r="S33" s="199">
        <v>28.5</v>
      </c>
      <c r="T33" s="457">
        <v>-12.799999999999997</v>
      </c>
      <c r="U33" s="459" t="s">
        <v>154</v>
      </c>
      <c r="V33" s="200">
        <v>41.3</v>
      </c>
      <c r="W33" s="199">
        <v>29.8</v>
      </c>
      <c r="X33" s="457">
        <v>-11.499999999999996</v>
      </c>
      <c r="Y33" s="459" t="s">
        <v>154</v>
      </c>
    </row>
    <row r="34" spans="3:25" ht="16">
      <c r="C34" s="451"/>
      <c r="D34" s="467"/>
      <c r="E34" s="463" t="s">
        <v>104</v>
      </c>
      <c r="F34" s="198">
        <v>0.24</v>
      </c>
      <c r="G34" s="197">
        <v>0.2</v>
      </c>
      <c r="H34" s="458"/>
      <c r="I34" s="460"/>
      <c r="J34" s="198">
        <v>0.24</v>
      </c>
      <c r="K34" s="197">
        <v>0.16</v>
      </c>
      <c r="L34" s="458"/>
      <c r="M34" s="460"/>
      <c r="N34" s="198">
        <v>0.24</v>
      </c>
      <c r="O34" s="197">
        <v>0.18</v>
      </c>
      <c r="P34" s="458"/>
      <c r="Q34" s="460"/>
      <c r="R34" s="198">
        <v>0.24</v>
      </c>
      <c r="S34" s="197">
        <v>0.16</v>
      </c>
      <c r="T34" s="458"/>
      <c r="U34" s="460"/>
      <c r="V34" s="198">
        <v>0.24</v>
      </c>
      <c r="W34" s="197">
        <v>0.17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0.9</v>
      </c>
      <c r="H37" s="164">
        <v>-12.1</v>
      </c>
      <c r="I37" s="189" t="s">
        <v>147</v>
      </c>
      <c r="J37" s="166">
        <v>13</v>
      </c>
      <c r="K37" s="165">
        <v>0.9</v>
      </c>
      <c r="L37" s="164">
        <v>-12.1</v>
      </c>
      <c r="M37" s="189" t="s">
        <v>170</v>
      </c>
      <c r="N37" s="166">
        <v>13</v>
      </c>
      <c r="O37" s="165">
        <v>0.89999999999999858</v>
      </c>
      <c r="P37" s="164">
        <v>-12.100000000000001</v>
      </c>
      <c r="Q37" s="189" t="s">
        <v>170</v>
      </c>
      <c r="R37" s="166">
        <v>13</v>
      </c>
      <c r="S37" s="165">
        <v>0.39999999999999858</v>
      </c>
      <c r="T37" s="164">
        <v>-12.600000000000001</v>
      </c>
      <c r="U37" s="189" t="s">
        <v>170</v>
      </c>
      <c r="V37" s="166">
        <v>13</v>
      </c>
      <c r="W37" s="165">
        <v>0.30000000000000215</v>
      </c>
      <c r="X37" s="164">
        <v>-12.699999999999998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130.6</v>
      </c>
      <c r="G38" s="187">
        <v>111.2</v>
      </c>
      <c r="H38" s="187">
        <v>-19.399999999999999</v>
      </c>
      <c r="I38" s="186"/>
      <c r="J38" s="188">
        <v>130.6</v>
      </c>
      <c r="K38" s="187">
        <v>105.7</v>
      </c>
      <c r="L38" s="187">
        <v>-24.9</v>
      </c>
      <c r="M38" s="186"/>
      <c r="N38" s="188">
        <v>130.6</v>
      </c>
      <c r="O38" s="187">
        <v>111.30000000000001</v>
      </c>
      <c r="P38" s="187">
        <v>-19.299999999999997</v>
      </c>
      <c r="Q38" s="186"/>
      <c r="R38" s="188">
        <v>130.6</v>
      </c>
      <c r="S38" s="187">
        <v>114.9</v>
      </c>
      <c r="T38" s="187">
        <v>-15.700000000000003</v>
      </c>
      <c r="U38" s="186"/>
      <c r="V38" s="188">
        <v>130.6</v>
      </c>
      <c r="W38" s="187">
        <v>106.39999999999999</v>
      </c>
      <c r="X38" s="187">
        <v>-24.199999999999996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45054</v>
      </c>
      <c r="G40" s="470"/>
      <c r="H40" s="470"/>
      <c r="I40" s="471"/>
      <c r="J40" s="469">
        <v>45055</v>
      </c>
      <c r="K40" s="470"/>
      <c r="L40" s="470"/>
      <c r="M40" s="471"/>
      <c r="N40" s="469">
        <v>45056</v>
      </c>
      <c r="O40" s="470"/>
      <c r="P40" s="470"/>
      <c r="Q40" s="471"/>
      <c r="R40" s="469">
        <v>45057</v>
      </c>
      <c r="S40" s="470"/>
      <c r="T40" s="470"/>
      <c r="U40" s="471"/>
      <c r="V40" s="469">
        <v>45058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42.6</v>
      </c>
      <c r="W42" s="478">
        <v>17.7</v>
      </c>
      <c r="X42" s="457">
        <v>-24.900000000000002</v>
      </c>
      <c r="Y42" s="459" t="s">
        <v>151</v>
      </c>
    </row>
    <row r="43" spans="3:25" ht="16.5" thickBot="1">
      <c r="C43" s="474"/>
      <c r="D43" s="475"/>
      <c r="E43" s="477"/>
      <c r="F43" s="183">
        <v>219</v>
      </c>
      <c r="G43" s="479"/>
      <c r="H43" s="480"/>
      <c r="I43" s="481"/>
      <c r="J43" s="183">
        <v>219</v>
      </c>
      <c r="K43" s="479"/>
      <c r="L43" s="480"/>
      <c r="M43" s="481"/>
      <c r="N43" s="183">
        <v>219</v>
      </c>
      <c r="O43" s="479"/>
      <c r="P43" s="480"/>
      <c r="Q43" s="481"/>
      <c r="R43" s="183">
        <v>219</v>
      </c>
      <c r="S43" s="479"/>
      <c r="T43" s="480"/>
      <c r="U43" s="481"/>
      <c r="V43" s="183">
        <v>219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45054</v>
      </c>
      <c r="G45" s="470"/>
      <c r="H45" s="470"/>
      <c r="I45" s="471"/>
      <c r="J45" s="469">
        <v>45055</v>
      </c>
      <c r="K45" s="470"/>
      <c r="L45" s="470"/>
      <c r="M45" s="471"/>
      <c r="N45" s="469">
        <v>45056</v>
      </c>
      <c r="O45" s="470"/>
      <c r="P45" s="470"/>
      <c r="Q45" s="471"/>
      <c r="R45" s="469">
        <v>45057</v>
      </c>
      <c r="S45" s="470"/>
      <c r="T45" s="470"/>
      <c r="U45" s="471"/>
      <c r="V45" s="469">
        <v>45058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19.399999999999999</v>
      </c>
      <c r="G47" s="478">
        <v>19.399999999999999</v>
      </c>
      <c r="H47" s="457">
        <v>0</v>
      </c>
      <c r="I47" s="459"/>
      <c r="J47" s="178">
        <v>19.399999999999999</v>
      </c>
      <c r="K47" s="478">
        <v>19.399999999999999</v>
      </c>
      <c r="L47" s="457">
        <v>0</v>
      </c>
      <c r="M47" s="459"/>
      <c r="N47" s="178">
        <v>19.399999999999999</v>
      </c>
      <c r="O47" s="478">
        <v>19.399999999999999</v>
      </c>
      <c r="P47" s="457">
        <v>0</v>
      </c>
      <c r="Q47" s="459"/>
      <c r="R47" s="178">
        <v>19.399999999999999</v>
      </c>
      <c r="S47" s="478">
        <v>19.399999999999999</v>
      </c>
      <c r="T47" s="457">
        <v>0</v>
      </c>
      <c r="U47" s="459"/>
      <c r="V47" s="178">
        <v>19.399999999999999</v>
      </c>
      <c r="W47" s="478">
        <v>19.399999999999999</v>
      </c>
      <c r="X47" s="457">
        <v>0</v>
      </c>
      <c r="Y47" s="459"/>
    </row>
    <row r="48" spans="3:25" ht="16.5" thickBot="1">
      <c r="C48" s="486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45054</v>
      </c>
      <c r="G50" s="470"/>
      <c r="H50" s="470"/>
      <c r="I50" s="471"/>
      <c r="J50" s="469">
        <v>45055</v>
      </c>
      <c r="K50" s="470"/>
      <c r="L50" s="470"/>
      <c r="M50" s="471"/>
      <c r="N50" s="469">
        <v>45056</v>
      </c>
      <c r="O50" s="470"/>
      <c r="P50" s="470"/>
      <c r="Q50" s="471"/>
      <c r="R50" s="469">
        <v>45057</v>
      </c>
      <c r="S50" s="470"/>
      <c r="T50" s="470"/>
      <c r="U50" s="471"/>
      <c r="V50" s="469">
        <v>45058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22.2</v>
      </c>
      <c r="H53" s="223" t="s">
        <v>81</v>
      </c>
      <c r="I53" s="222" t="s">
        <v>201</v>
      </c>
      <c r="J53" s="225">
        <v>0</v>
      </c>
      <c r="K53" s="224">
        <v>21.2</v>
      </c>
      <c r="L53" s="223" t="s">
        <v>81</v>
      </c>
      <c r="M53" s="222" t="s">
        <v>201</v>
      </c>
      <c r="N53" s="225">
        <v>0</v>
      </c>
      <c r="O53" s="224">
        <v>21.5</v>
      </c>
      <c r="P53" s="223" t="s">
        <v>81</v>
      </c>
      <c r="Q53" s="222" t="s">
        <v>201</v>
      </c>
      <c r="R53" s="225">
        <v>0</v>
      </c>
      <c r="S53" s="224">
        <v>21.2</v>
      </c>
      <c r="T53" s="223" t="s">
        <v>81</v>
      </c>
      <c r="U53" s="222" t="s">
        <v>201</v>
      </c>
      <c r="V53" s="225">
        <v>0</v>
      </c>
      <c r="W53" s="224">
        <v>21.3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943E-DE67-42FB-84B3-12F093216B4E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45060</v>
      </c>
      <c r="G3" s="418"/>
      <c r="H3" s="418"/>
      <c r="I3" s="419"/>
      <c r="J3" s="417">
        <v>45061</v>
      </c>
      <c r="K3" s="418"/>
      <c r="L3" s="418"/>
      <c r="M3" s="419"/>
      <c r="N3" s="417">
        <v>45062</v>
      </c>
      <c r="O3" s="418"/>
      <c r="P3" s="418"/>
      <c r="Q3" s="419"/>
      <c r="R3" s="417">
        <v>45063</v>
      </c>
      <c r="S3" s="418"/>
      <c r="T3" s="418"/>
      <c r="U3" s="419"/>
      <c r="V3" s="417">
        <v>45066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20.3</v>
      </c>
      <c r="G5" s="165">
        <v>20.3</v>
      </c>
      <c r="H5" s="164">
        <v>0</v>
      </c>
      <c r="I5" s="219"/>
      <c r="J5" s="166">
        <v>20.3</v>
      </c>
      <c r="K5" s="165">
        <v>24.6</v>
      </c>
      <c r="L5" s="164">
        <v>4.3000000000000007</v>
      </c>
      <c r="M5" s="219" t="s">
        <v>151</v>
      </c>
      <c r="N5" s="166">
        <v>20.3</v>
      </c>
      <c r="O5" s="165">
        <v>24.5</v>
      </c>
      <c r="P5" s="164">
        <v>4.1999999999999993</v>
      </c>
      <c r="Q5" s="219" t="s">
        <v>183</v>
      </c>
      <c r="R5" s="166">
        <v>20.3</v>
      </c>
      <c r="S5" s="165">
        <v>29.5</v>
      </c>
      <c r="T5" s="164">
        <v>9.1999999999999993</v>
      </c>
      <c r="U5" s="219" t="s">
        <v>183</v>
      </c>
      <c r="V5" s="166">
        <v>20.3</v>
      </c>
      <c r="W5" s="165">
        <v>20.3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33.599999999999994</v>
      </c>
      <c r="G8" s="216">
        <v>47.900000000000006</v>
      </c>
      <c r="H8" s="215">
        <v>14.300000000000011</v>
      </c>
      <c r="I8" s="214" t="s">
        <v>173</v>
      </c>
      <c r="J8" s="217">
        <v>36.4</v>
      </c>
      <c r="K8" s="216">
        <v>50.7</v>
      </c>
      <c r="L8" s="215">
        <v>14.300000000000004</v>
      </c>
      <c r="M8" s="214" t="s">
        <v>173</v>
      </c>
      <c r="N8" s="217">
        <v>37.599999999999994</v>
      </c>
      <c r="O8" s="216">
        <v>51.900000000000006</v>
      </c>
      <c r="P8" s="215">
        <v>14.300000000000011</v>
      </c>
      <c r="Q8" s="214" t="s">
        <v>173</v>
      </c>
      <c r="R8" s="217">
        <v>38</v>
      </c>
      <c r="S8" s="216">
        <v>52.300000000000004</v>
      </c>
      <c r="T8" s="215">
        <v>14.300000000000004</v>
      </c>
      <c r="U8" s="214" t="s">
        <v>173</v>
      </c>
      <c r="V8" s="217">
        <v>35.5</v>
      </c>
      <c r="W8" s="216">
        <v>49.800000000000004</v>
      </c>
      <c r="X8" s="215">
        <v>14.300000000000004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71.399999999999991</v>
      </c>
      <c r="G9" s="187">
        <v>85.7</v>
      </c>
      <c r="H9" s="187">
        <v>14.300000000000011</v>
      </c>
      <c r="I9" s="213" t="s">
        <v>81</v>
      </c>
      <c r="J9" s="188">
        <v>74.199999999999989</v>
      </c>
      <c r="K9" s="187">
        <v>92.800000000000011</v>
      </c>
      <c r="L9" s="187">
        <v>18.600000000000005</v>
      </c>
      <c r="M9" s="213" t="s">
        <v>81</v>
      </c>
      <c r="N9" s="188">
        <v>75.399999999999991</v>
      </c>
      <c r="O9" s="187">
        <v>93.9</v>
      </c>
      <c r="P9" s="187">
        <v>18.500000000000011</v>
      </c>
      <c r="Q9" s="213" t="s">
        <v>81</v>
      </c>
      <c r="R9" s="188">
        <v>75.8</v>
      </c>
      <c r="S9" s="187">
        <v>99.300000000000011</v>
      </c>
      <c r="T9" s="187">
        <v>23.500000000000004</v>
      </c>
      <c r="U9" s="213" t="s">
        <v>81</v>
      </c>
      <c r="V9" s="188">
        <v>73.3</v>
      </c>
      <c r="W9" s="187">
        <v>87.6</v>
      </c>
      <c r="X9" s="187">
        <v>14.300000000000004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45060</v>
      </c>
      <c r="G11" s="433"/>
      <c r="H11" s="433"/>
      <c r="I11" s="434"/>
      <c r="J11" s="432">
        <v>45061</v>
      </c>
      <c r="K11" s="433"/>
      <c r="L11" s="433"/>
      <c r="M11" s="434"/>
      <c r="N11" s="432">
        <v>45062</v>
      </c>
      <c r="O11" s="433"/>
      <c r="P11" s="433"/>
      <c r="Q11" s="434"/>
      <c r="R11" s="432">
        <v>45063</v>
      </c>
      <c r="S11" s="433"/>
      <c r="T11" s="433"/>
      <c r="U11" s="434"/>
      <c r="V11" s="432">
        <v>45066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0</v>
      </c>
      <c r="T13" s="164">
        <v>26.1</v>
      </c>
      <c r="U13" s="189" t="s">
        <v>145</v>
      </c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149</v>
      </c>
      <c r="J16" s="166">
        <v>-32.5</v>
      </c>
      <c r="K16" s="165">
        <v>0</v>
      </c>
      <c r="L16" s="164">
        <v>32.5</v>
      </c>
      <c r="M16" s="189" t="s">
        <v>145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>
        <v>-32.5</v>
      </c>
      <c r="W16" s="165">
        <v>0</v>
      </c>
      <c r="X16" s="164">
        <v>32.5</v>
      </c>
      <c r="Y16" s="189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-160.6</v>
      </c>
      <c r="T21" s="187">
        <v>92.6</v>
      </c>
      <c r="U21" s="186" t="s">
        <v>81</v>
      </c>
      <c r="V21" s="188">
        <v>-253.2</v>
      </c>
      <c r="W21" s="187">
        <v>-186.7</v>
      </c>
      <c r="X21" s="187">
        <v>66.5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45060</v>
      </c>
      <c r="G23" s="433"/>
      <c r="H23" s="433"/>
      <c r="I23" s="434"/>
      <c r="J23" s="432">
        <v>45061</v>
      </c>
      <c r="K23" s="433"/>
      <c r="L23" s="433"/>
      <c r="M23" s="434"/>
      <c r="N23" s="432">
        <v>45062</v>
      </c>
      <c r="O23" s="433"/>
      <c r="P23" s="433"/>
      <c r="Q23" s="434"/>
      <c r="R23" s="432">
        <v>45063</v>
      </c>
      <c r="S23" s="433"/>
      <c r="T23" s="433"/>
      <c r="U23" s="434"/>
      <c r="V23" s="432">
        <v>45066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45060</v>
      </c>
      <c r="G27" s="433"/>
      <c r="H27" s="433"/>
      <c r="I27" s="434"/>
      <c r="J27" s="432">
        <v>45061</v>
      </c>
      <c r="K27" s="433"/>
      <c r="L27" s="433"/>
      <c r="M27" s="434"/>
      <c r="N27" s="432">
        <v>45062</v>
      </c>
      <c r="O27" s="433"/>
      <c r="P27" s="433"/>
      <c r="Q27" s="434"/>
      <c r="R27" s="432">
        <v>45063</v>
      </c>
      <c r="S27" s="433"/>
      <c r="T27" s="433"/>
      <c r="U27" s="434"/>
      <c r="V27" s="432">
        <v>45066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21.2</v>
      </c>
      <c r="H29" s="457">
        <v>-0.69999999999999929</v>
      </c>
      <c r="I29" s="459" t="s">
        <v>146</v>
      </c>
      <c r="J29" s="200">
        <v>21.9</v>
      </c>
      <c r="K29" s="455">
        <v>21.2</v>
      </c>
      <c r="L29" s="457">
        <v>-0.69999999999999929</v>
      </c>
      <c r="M29" s="459" t="s">
        <v>154</v>
      </c>
      <c r="N29" s="200">
        <v>21.9</v>
      </c>
      <c r="O29" s="455">
        <v>21.2</v>
      </c>
      <c r="P29" s="457">
        <v>-0.69999999999999929</v>
      </c>
      <c r="Q29" s="459" t="s">
        <v>154</v>
      </c>
      <c r="R29" s="200">
        <v>21.9</v>
      </c>
      <c r="S29" s="455">
        <v>21.2</v>
      </c>
      <c r="T29" s="457">
        <v>-0.69999999999999929</v>
      </c>
      <c r="U29" s="459" t="s">
        <v>154</v>
      </c>
      <c r="V29" s="200">
        <v>21.9</v>
      </c>
      <c r="W29" s="455">
        <v>21.2</v>
      </c>
      <c r="X29" s="457">
        <v>-0.69999999999999929</v>
      </c>
      <c r="Y29" s="459" t="s">
        <v>154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59.3</v>
      </c>
      <c r="L31" s="457">
        <v>4.8999999999999986</v>
      </c>
      <c r="M31" s="459" t="s">
        <v>149</v>
      </c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41.3</v>
      </c>
      <c r="G33" s="199">
        <v>23.3</v>
      </c>
      <c r="H33" s="457">
        <v>-17.999999999999996</v>
      </c>
      <c r="I33" s="459" t="s">
        <v>154</v>
      </c>
      <c r="J33" s="200">
        <v>41.3</v>
      </c>
      <c r="K33" s="199">
        <v>40.6</v>
      </c>
      <c r="L33" s="457">
        <v>-0.69999999999999574</v>
      </c>
      <c r="M33" s="459" t="s">
        <v>154</v>
      </c>
      <c r="N33" s="200">
        <v>41.3</v>
      </c>
      <c r="O33" s="199">
        <v>40.9</v>
      </c>
      <c r="P33" s="457">
        <v>-0.39999999999999858</v>
      </c>
      <c r="Q33" s="459" t="s">
        <v>154</v>
      </c>
      <c r="R33" s="200">
        <v>41.3</v>
      </c>
      <c r="S33" s="199">
        <v>43.1</v>
      </c>
      <c r="T33" s="457">
        <v>1.8000000000000043</v>
      </c>
      <c r="U33" s="459" t="s">
        <v>148</v>
      </c>
      <c r="V33" s="200">
        <v>41.3</v>
      </c>
      <c r="W33" s="199">
        <v>27.6</v>
      </c>
      <c r="X33" s="457">
        <v>-13.699999999999996</v>
      </c>
      <c r="Y33" s="459" t="s">
        <v>154</v>
      </c>
    </row>
    <row r="34" spans="3:25" ht="16">
      <c r="C34" s="451"/>
      <c r="D34" s="467"/>
      <c r="E34" s="463" t="s">
        <v>104</v>
      </c>
      <c r="F34" s="198">
        <v>0.24</v>
      </c>
      <c r="G34" s="197">
        <v>0.13</v>
      </c>
      <c r="H34" s="458"/>
      <c r="I34" s="460"/>
      <c r="J34" s="198">
        <v>0.24</v>
      </c>
      <c r="K34" s="197">
        <v>0.23</v>
      </c>
      <c r="L34" s="458"/>
      <c r="M34" s="460"/>
      <c r="N34" s="198">
        <v>0.24</v>
      </c>
      <c r="O34" s="197">
        <v>0.24</v>
      </c>
      <c r="P34" s="458"/>
      <c r="Q34" s="460"/>
      <c r="R34" s="198">
        <v>0.24</v>
      </c>
      <c r="S34" s="197">
        <v>0.25</v>
      </c>
      <c r="T34" s="458"/>
      <c r="U34" s="460"/>
      <c r="V34" s="198">
        <v>0.24</v>
      </c>
      <c r="W34" s="197">
        <v>0.16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170</v>
      </c>
      <c r="N37" s="166">
        <v>13</v>
      </c>
      <c r="O37" s="165">
        <v>0.4</v>
      </c>
      <c r="P37" s="164">
        <v>-12.6</v>
      </c>
      <c r="Q37" s="189" t="s">
        <v>170</v>
      </c>
      <c r="R37" s="166">
        <v>13</v>
      </c>
      <c r="S37" s="165">
        <v>0.59999999999999853</v>
      </c>
      <c r="T37" s="164">
        <v>-12.400000000000002</v>
      </c>
      <c r="U37" s="189" t="s">
        <v>170</v>
      </c>
      <c r="V37" s="166">
        <v>13</v>
      </c>
      <c r="W37" s="165">
        <v>0.4</v>
      </c>
      <c r="X37" s="164">
        <v>-12.6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130.6</v>
      </c>
      <c r="G38" s="187">
        <v>99.3</v>
      </c>
      <c r="H38" s="187">
        <v>-31.299999999999997</v>
      </c>
      <c r="I38" s="186"/>
      <c r="J38" s="188">
        <v>130.6</v>
      </c>
      <c r="K38" s="187">
        <v>121.5</v>
      </c>
      <c r="L38" s="187">
        <v>-9.0999999999999961</v>
      </c>
      <c r="M38" s="186"/>
      <c r="N38" s="188">
        <v>130.6</v>
      </c>
      <c r="O38" s="187">
        <v>116.9</v>
      </c>
      <c r="P38" s="187">
        <v>-13.699999999999998</v>
      </c>
      <c r="Q38" s="186"/>
      <c r="R38" s="188">
        <v>130.6</v>
      </c>
      <c r="S38" s="187">
        <v>119.29999999999998</v>
      </c>
      <c r="T38" s="187">
        <v>-11.299999999999997</v>
      </c>
      <c r="U38" s="186"/>
      <c r="V38" s="188">
        <v>130.6</v>
      </c>
      <c r="W38" s="187">
        <v>103.6</v>
      </c>
      <c r="X38" s="187">
        <v>-26.999999999999993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45060</v>
      </c>
      <c r="G40" s="470"/>
      <c r="H40" s="470"/>
      <c r="I40" s="471"/>
      <c r="J40" s="469">
        <v>45061</v>
      </c>
      <c r="K40" s="470"/>
      <c r="L40" s="470"/>
      <c r="M40" s="471"/>
      <c r="N40" s="469">
        <v>45062</v>
      </c>
      <c r="O40" s="470"/>
      <c r="P40" s="470"/>
      <c r="Q40" s="471"/>
      <c r="R40" s="469">
        <v>45063</v>
      </c>
      <c r="S40" s="470"/>
      <c r="T40" s="470"/>
      <c r="U40" s="471"/>
      <c r="V40" s="469">
        <v>45066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20.7</v>
      </c>
      <c r="W42" s="478">
        <v>7.5</v>
      </c>
      <c r="X42" s="457">
        <v>-13.2</v>
      </c>
      <c r="Y42" s="459" t="s">
        <v>151</v>
      </c>
    </row>
    <row r="43" spans="3:25" ht="16.5" thickBot="1">
      <c r="C43" s="474"/>
      <c r="D43" s="475"/>
      <c r="E43" s="477"/>
      <c r="F43" s="183">
        <v>182</v>
      </c>
      <c r="G43" s="479"/>
      <c r="H43" s="480"/>
      <c r="I43" s="481"/>
      <c r="J43" s="183">
        <v>219</v>
      </c>
      <c r="K43" s="479"/>
      <c r="L43" s="480"/>
      <c r="M43" s="481"/>
      <c r="N43" s="183">
        <v>219</v>
      </c>
      <c r="O43" s="479"/>
      <c r="P43" s="480"/>
      <c r="Q43" s="481"/>
      <c r="R43" s="183">
        <v>219</v>
      </c>
      <c r="S43" s="479"/>
      <c r="T43" s="480"/>
      <c r="U43" s="481"/>
      <c r="V43" s="183">
        <v>182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45060</v>
      </c>
      <c r="G45" s="470"/>
      <c r="H45" s="470"/>
      <c r="I45" s="471"/>
      <c r="J45" s="469">
        <v>45061</v>
      </c>
      <c r="K45" s="470"/>
      <c r="L45" s="470"/>
      <c r="M45" s="471"/>
      <c r="N45" s="469">
        <v>45062</v>
      </c>
      <c r="O45" s="470"/>
      <c r="P45" s="470"/>
      <c r="Q45" s="471"/>
      <c r="R45" s="469">
        <v>45063</v>
      </c>
      <c r="S45" s="470"/>
      <c r="T45" s="470"/>
      <c r="U45" s="471"/>
      <c r="V45" s="469">
        <v>45066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19.399999999999999</v>
      </c>
      <c r="G47" s="478">
        <v>19.3</v>
      </c>
      <c r="H47" s="457">
        <v>-9.9999999999997868E-2</v>
      </c>
      <c r="I47" s="459" t="s">
        <v>146</v>
      </c>
      <c r="J47" s="178">
        <v>19.399999999999999</v>
      </c>
      <c r="K47" s="478">
        <v>17.100000000000001</v>
      </c>
      <c r="L47" s="457">
        <v>-2.2999999999999972</v>
      </c>
      <c r="M47" s="459" t="s">
        <v>154</v>
      </c>
      <c r="N47" s="178">
        <v>19.399999999999999</v>
      </c>
      <c r="O47" s="478">
        <v>17.100000000000001</v>
      </c>
      <c r="P47" s="457">
        <v>-2.2999999999999972</v>
      </c>
      <c r="Q47" s="459" t="s">
        <v>154</v>
      </c>
      <c r="R47" s="178">
        <v>19.399999999999999</v>
      </c>
      <c r="S47" s="478">
        <v>17.100000000000001</v>
      </c>
      <c r="T47" s="457">
        <v>-2.2999999999999972</v>
      </c>
      <c r="U47" s="459" t="s">
        <v>154</v>
      </c>
      <c r="V47" s="178">
        <v>23.4</v>
      </c>
      <c r="W47" s="478">
        <v>19.3</v>
      </c>
      <c r="X47" s="457">
        <v>-4.0999999999999979</v>
      </c>
      <c r="Y47" s="459" t="s">
        <v>154</v>
      </c>
    </row>
    <row r="48" spans="3:25" ht="16.5" thickBot="1">
      <c r="C48" s="486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0.66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45060</v>
      </c>
      <c r="G50" s="470"/>
      <c r="H50" s="470"/>
      <c r="I50" s="471"/>
      <c r="J50" s="469">
        <v>45061</v>
      </c>
      <c r="K50" s="470"/>
      <c r="L50" s="470"/>
      <c r="M50" s="471"/>
      <c r="N50" s="469">
        <v>45062</v>
      </c>
      <c r="O50" s="470"/>
      <c r="P50" s="470"/>
      <c r="Q50" s="471"/>
      <c r="R50" s="469">
        <v>45063</v>
      </c>
      <c r="S50" s="470"/>
      <c r="T50" s="470"/>
      <c r="U50" s="471"/>
      <c r="V50" s="469">
        <v>45066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20.3</v>
      </c>
      <c r="H53" s="223" t="s">
        <v>81</v>
      </c>
      <c r="I53" s="222" t="s">
        <v>201</v>
      </c>
      <c r="J53" s="225">
        <v>0</v>
      </c>
      <c r="K53" s="224">
        <v>19.899999999999999</v>
      </c>
      <c r="L53" s="223" t="s">
        <v>81</v>
      </c>
      <c r="M53" s="222" t="s">
        <v>201</v>
      </c>
      <c r="N53" s="225">
        <v>0</v>
      </c>
      <c r="O53" s="224">
        <v>19.8</v>
      </c>
      <c r="P53" s="223" t="s">
        <v>81</v>
      </c>
      <c r="Q53" s="222" t="s">
        <v>201</v>
      </c>
      <c r="R53" s="225">
        <v>0</v>
      </c>
      <c r="S53" s="224">
        <v>19.399999999999999</v>
      </c>
      <c r="T53" s="223" t="s">
        <v>81</v>
      </c>
      <c r="U53" s="222" t="s">
        <v>201</v>
      </c>
      <c r="V53" s="225">
        <v>0</v>
      </c>
      <c r="W53" s="224">
        <v>18.8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39BF-C0D4-49EA-AAA5-D0B944BEFF8B}">
  <sheetPr>
    <pageSetUpPr fitToPage="1"/>
  </sheetPr>
  <dimension ref="A1:Y57"/>
  <sheetViews>
    <sheetView showGridLines="0" view="pageBreakPreview" topLeftCell="A4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45067</v>
      </c>
      <c r="G3" s="418"/>
      <c r="H3" s="418"/>
      <c r="I3" s="419"/>
      <c r="J3" s="417">
        <v>45068</v>
      </c>
      <c r="K3" s="418"/>
      <c r="L3" s="418"/>
      <c r="M3" s="419"/>
      <c r="N3" s="417">
        <v>45069</v>
      </c>
      <c r="O3" s="418"/>
      <c r="P3" s="418"/>
      <c r="Q3" s="419"/>
      <c r="R3" s="417">
        <v>45070</v>
      </c>
      <c r="S3" s="418"/>
      <c r="T3" s="418"/>
      <c r="U3" s="419"/>
      <c r="V3" s="417">
        <v>45071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20.3</v>
      </c>
      <c r="G5" s="165">
        <v>20.3</v>
      </c>
      <c r="H5" s="164">
        <v>0</v>
      </c>
      <c r="I5" s="219"/>
      <c r="J5" s="166">
        <v>20.3</v>
      </c>
      <c r="K5" s="165">
        <v>20.3</v>
      </c>
      <c r="L5" s="164">
        <v>0</v>
      </c>
      <c r="M5" s="219"/>
      <c r="N5" s="166">
        <v>20.3</v>
      </c>
      <c r="O5" s="165">
        <v>20.3</v>
      </c>
      <c r="P5" s="164">
        <v>0</v>
      </c>
      <c r="Q5" s="219"/>
      <c r="R5" s="166">
        <v>15.7</v>
      </c>
      <c r="S5" s="165">
        <v>15.7</v>
      </c>
      <c r="T5" s="164">
        <v>0</v>
      </c>
      <c r="U5" s="219"/>
      <c r="V5" s="166">
        <v>15.7</v>
      </c>
      <c r="W5" s="165">
        <v>15.7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34.599999999999994</v>
      </c>
      <c r="G8" s="216">
        <v>48.900000000000006</v>
      </c>
      <c r="H8" s="215">
        <v>14.300000000000011</v>
      </c>
      <c r="I8" s="214" t="s">
        <v>173</v>
      </c>
      <c r="J8" s="217">
        <v>36.599999999999994</v>
      </c>
      <c r="K8" s="216">
        <v>50.900000000000006</v>
      </c>
      <c r="L8" s="215">
        <v>14.300000000000011</v>
      </c>
      <c r="M8" s="214" t="s">
        <v>173</v>
      </c>
      <c r="N8" s="217">
        <v>37.4</v>
      </c>
      <c r="O8" s="216">
        <v>51.7</v>
      </c>
      <c r="P8" s="215">
        <v>14.300000000000004</v>
      </c>
      <c r="Q8" s="214" t="s">
        <v>173</v>
      </c>
      <c r="R8" s="217">
        <v>37.599999999999994</v>
      </c>
      <c r="S8" s="216">
        <v>80.5</v>
      </c>
      <c r="T8" s="215">
        <v>42.900000000000006</v>
      </c>
      <c r="U8" s="214" t="s">
        <v>173</v>
      </c>
      <c r="V8" s="217">
        <v>37.799999999999997</v>
      </c>
      <c r="W8" s="216">
        <v>52.1</v>
      </c>
      <c r="X8" s="215">
        <v>14.300000000000004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72.399999999999991</v>
      </c>
      <c r="G9" s="187">
        <v>86.7</v>
      </c>
      <c r="H9" s="187">
        <v>14.300000000000011</v>
      </c>
      <c r="I9" s="213" t="s">
        <v>81</v>
      </c>
      <c r="J9" s="188">
        <v>74.399999999999991</v>
      </c>
      <c r="K9" s="187">
        <v>88.7</v>
      </c>
      <c r="L9" s="187">
        <v>14.300000000000011</v>
      </c>
      <c r="M9" s="213" t="s">
        <v>81</v>
      </c>
      <c r="N9" s="188">
        <v>75.199999999999989</v>
      </c>
      <c r="O9" s="187">
        <v>89.5</v>
      </c>
      <c r="P9" s="187">
        <v>14.300000000000004</v>
      </c>
      <c r="Q9" s="213" t="s">
        <v>81</v>
      </c>
      <c r="R9" s="188">
        <v>70.8</v>
      </c>
      <c r="S9" s="187">
        <v>113.7</v>
      </c>
      <c r="T9" s="187">
        <v>42.900000000000006</v>
      </c>
      <c r="U9" s="213" t="s">
        <v>81</v>
      </c>
      <c r="V9" s="188">
        <v>71</v>
      </c>
      <c r="W9" s="187">
        <v>85.300000000000011</v>
      </c>
      <c r="X9" s="187">
        <v>14.300000000000004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45067</v>
      </c>
      <c r="G11" s="433"/>
      <c r="H11" s="433"/>
      <c r="I11" s="434"/>
      <c r="J11" s="432">
        <v>45068</v>
      </c>
      <c r="K11" s="433"/>
      <c r="L11" s="433"/>
      <c r="M11" s="434"/>
      <c r="N11" s="432">
        <v>45069</v>
      </c>
      <c r="O11" s="433"/>
      <c r="P11" s="433"/>
      <c r="Q11" s="434"/>
      <c r="R11" s="432">
        <v>45070</v>
      </c>
      <c r="S11" s="433"/>
      <c r="T11" s="433"/>
      <c r="U11" s="434"/>
      <c r="V11" s="432">
        <v>45071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149</v>
      </c>
      <c r="J16" s="166">
        <v>-32.5</v>
      </c>
      <c r="K16" s="165">
        <v>0</v>
      </c>
      <c r="L16" s="164">
        <v>32.5</v>
      </c>
      <c r="M16" s="189" t="s">
        <v>145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>
        <v>-32.5</v>
      </c>
      <c r="W16" s="165">
        <v>0</v>
      </c>
      <c r="X16" s="164">
        <v>32.5</v>
      </c>
      <c r="Y16" s="189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v>-253.2</v>
      </c>
      <c r="W21" s="187">
        <v>-186.7</v>
      </c>
      <c r="X21" s="187">
        <v>66.5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45067</v>
      </c>
      <c r="G23" s="433"/>
      <c r="H23" s="433"/>
      <c r="I23" s="434"/>
      <c r="J23" s="432">
        <v>45068</v>
      </c>
      <c r="K23" s="433"/>
      <c r="L23" s="433"/>
      <c r="M23" s="434"/>
      <c r="N23" s="432">
        <v>45069</v>
      </c>
      <c r="O23" s="433"/>
      <c r="P23" s="433"/>
      <c r="Q23" s="434"/>
      <c r="R23" s="432">
        <v>45070</v>
      </c>
      <c r="S23" s="433"/>
      <c r="T23" s="433"/>
      <c r="U23" s="434"/>
      <c r="V23" s="432">
        <v>45071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45067</v>
      </c>
      <c r="G27" s="433"/>
      <c r="H27" s="433"/>
      <c r="I27" s="434"/>
      <c r="J27" s="432">
        <v>45068</v>
      </c>
      <c r="K27" s="433"/>
      <c r="L27" s="433"/>
      <c r="M27" s="434"/>
      <c r="N27" s="432">
        <v>45069</v>
      </c>
      <c r="O27" s="433"/>
      <c r="P27" s="433"/>
      <c r="Q27" s="434"/>
      <c r="R27" s="432">
        <v>45070</v>
      </c>
      <c r="S27" s="433"/>
      <c r="T27" s="433"/>
      <c r="U27" s="434"/>
      <c r="V27" s="432">
        <v>45071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21.2</v>
      </c>
      <c r="H29" s="457">
        <v>-0.69999999999999929</v>
      </c>
      <c r="I29" s="459" t="s">
        <v>146</v>
      </c>
      <c r="J29" s="200">
        <v>21.9</v>
      </c>
      <c r="K29" s="455">
        <v>21.2</v>
      </c>
      <c r="L29" s="457">
        <v>-0.69999999999999929</v>
      </c>
      <c r="M29" s="459" t="s">
        <v>154</v>
      </c>
      <c r="N29" s="200">
        <v>21.9</v>
      </c>
      <c r="O29" s="455">
        <v>21.2</v>
      </c>
      <c r="P29" s="457">
        <v>-0.69999999999999929</v>
      </c>
      <c r="Q29" s="459" t="s">
        <v>154</v>
      </c>
      <c r="R29" s="200">
        <v>43.8</v>
      </c>
      <c r="S29" s="455">
        <v>68.900000000000006</v>
      </c>
      <c r="T29" s="457">
        <v>25.100000000000009</v>
      </c>
      <c r="U29" s="459" t="s">
        <v>149</v>
      </c>
      <c r="V29" s="200">
        <v>43.8</v>
      </c>
      <c r="W29" s="455">
        <v>43.8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41.3</v>
      </c>
      <c r="G33" s="199">
        <v>26.6</v>
      </c>
      <c r="H33" s="457">
        <v>-14.699999999999996</v>
      </c>
      <c r="I33" s="459" t="s">
        <v>146</v>
      </c>
      <c r="J33" s="200">
        <v>41.3</v>
      </c>
      <c r="K33" s="199">
        <v>46.4</v>
      </c>
      <c r="L33" s="457">
        <v>5.1000000000000014</v>
      </c>
      <c r="M33" s="459" t="s">
        <v>148</v>
      </c>
      <c r="N33" s="200">
        <v>41.3</v>
      </c>
      <c r="O33" s="199">
        <v>44.8</v>
      </c>
      <c r="P33" s="457">
        <v>3.5</v>
      </c>
      <c r="Q33" s="459" t="s">
        <v>184</v>
      </c>
      <c r="R33" s="200">
        <v>41.3</v>
      </c>
      <c r="S33" s="199">
        <v>39.4</v>
      </c>
      <c r="T33" s="457">
        <v>-1.8999999999999986</v>
      </c>
      <c r="U33" s="459" t="s">
        <v>154</v>
      </c>
      <c r="V33" s="200">
        <v>41.3</v>
      </c>
      <c r="W33" s="199">
        <v>47</v>
      </c>
      <c r="X33" s="457">
        <v>5.7000000000000028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0.24</v>
      </c>
      <c r="G34" s="197">
        <v>0.15</v>
      </c>
      <c r="H34" s="458"/>
      <c r="I34" s="460"/>
      <c r="J34" s="198">
        <v>0.24</v>
      </c>
      <c r="K34" s="197">
        <v>0.27</v>
      </c>
      <c r="L34" s="458"/>
      <c r="M34" s="460"/>
      <c r="N34" s="198">
        <v>0.24</v>
      </c>
      <c r="O34" s="197">
        <v>0.26</v>
      </c>
      <c r="P34" s="458"/>
      <c r="Q34" s="460"/>
      <c r="R34" s="198">
        <v>0.24</v>
      </c>
      <c r="S34" s="197">
        <v>0.23</v>
      </c>
      <c r="T34" s="458"/>
      <c r="U34" s="460"/>
      <c r="V34" s="198">
        <v>0.24</v>
      </c>
      <c r="W34" s="197">
        <v>0.27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170</v>
      </c>
      <c r="N37" s="166">
        <v>13</v>
      </c>
      <c r="O37" s="165">
        <v>0.50000000000000144</v>
      </c>
      <c r="P37" s="164">
        <v>-12.499999999999998</v>
      </c>
      <c r="Q37" s="189" t="s">
        <v>170</v>
      </c>
      <c r="R37" s="166">
        <v>13</v>
      </c>
      <c r="S37" s="165">
        <v>0.6</v>
      </c>
      <c r="T37" s="164">
        <v>-12.4</v>
      </c>
      <c r="U37" s="189" t="s">
        <v>170</v>
      </c>
      <c r="V37" s="166">
        <v>13</v>
      </c>
      <c r="W37" s="165">
        <v>0.4</v>
      </c>
      <c r="X37" s="164">
        <v>-12.6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130.6</v>
      </c>
      <c r="G38" s="187">
        <v>102.6</v>
      </c>
      <c r="H38" s="187">
        <v>-27.999999999999993</v>
      </c>
      <c r="I38" s="186"/>
      <c r="J38" s="188">
        <v>130.6</v>
      </c>
      <c r="K38" s="187">
        <v>122.4</v>
      </c>
      <c r="L38" s="187">
        <v>-8.1999999999999975</v>
      </c>
      <c r="M38" s="186"/>
      <c r="N38" s="188">
        <v>130.6</v>
      </c>
      <c r="O38" s="187">
        <v>120.89999999999999</v>
      </c>
      <c r="P38" s="187">
        <v>-9.6999999999999975</v>
      </c>
      <c r="Q38" s="186"/>
      <c r="R38" s="188">
        <v>152.5</v>
      </c>
      <c r="S38" s="187">
        <v>163.30000000000001</v>
      </c>
      <c r="T38" s="187">
        <v>10.80000000000001</v>
      </c>
      <c r="U38" s="186"/>
      <c r="V38" s="188">
        <v>152.5</v>
      </c>
      <c r="W38" s="187">
        <v>145.6</v>
      </c>
      <c r="X38" s="187">
        <v>-6.8999999999999968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45067</v>
      </c>
      <c r="G40" s="470"/>
      <c r="H40" s="470"/>
      <c r="I40" s="471"/>
      <c r="J40" s="469">
        <v>45068</v>
      </c>
      <c r="K40" s="470"/>
      <c r="L40" s="470"/>
      <c r="M40" s="471"/>
      <c r="N40" s="469">
        <v>45069</v>
      </c>
      <c r="O40" s="470"/>
      <c r="P40" s="470"/>
      <c r="Q40" s="471"/>
      <c r="R40" s="469">
        <v>45070</v>
      </c>
      <c r="S40" s="470"/>
      <c r="T40" s="470"/>
      <c r="U40" s="471"/>
      <c r="V40" s="469">
        <v>45071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14.2</v>
      </c>
      <c r="G42" s="478">
        <v>0</v>
      </c>
      <c r="H42" s="457">
        <v>-14.2</v>
      </c>
      <c r="I42" s="459" t="s">
        <v>151</v>
      </c>
      <c r="J42" s="178">
        <v>53.4</v>
      </c>
      <c r="K42" s="478">
        <v>18.7</v>
      </c>
      <c r="L42" s="457">
        <v>-34.700000000000003</v>
      </c>
      <c r="M42" s="459" t="s">
        <v>183</v>
      </c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474"/>
      <c r="D43" s="475"/>
      <c r="E43" s="477"/>
      <c r="F43" s="183">
        <v>182</v>
      </c>
      <c r="G43" s="479"/>
      <c r="H43" s="480"/>
      <c r="I43" s="481"/>
      <c r="J43" s="183">
        <v>219</v>
      </c>
      <c r="K43" s="479"/>
      <c r="L43" s="480"/>
      <c r="M43" s="481"/>
      <c r="N43" s="183">
        <v>219</v>
      </c>
      <c r="O43" s="479"/>
      <c r="P43" s="480"/>
      <c r="Q43" s="481"/>
      <c r="R43" s="183">
        <v>219</v>
      </c>
      <c r="S43" s="479"/>
      <c r="T43" s="480"/>
      <c r="U43" s="481"/>
      <c r="V43" s="183">
        <v>219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45067</v>
      </c>
      <c r="G45" s="470"/>
      <c r="H45" s="470"/>
      <c r="I45" s="471"/>
      <c r="J45" s="469">
        <v>45068</v>
      </c>
      <c r="K45" s="470"/>
      <c r="L45" s="470"/>
      <c r="M45" s="471"/>
      <c r="N45" s="469">
        <v>45069</v>
      </c>
      <c r="O45" s="470"/>
      <c r="P45" s="470"/>
      <c r="Q45" s="471"/>
      <c r="R45" s="469">
        <v>45070</v>
      </c>
      <c r="S45" s="470"/>
      <c r="T45" s="470"/>
      <c r="U45" s="471"/>
      <c r="V45" s="469">
        <v>45071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23.4</v>
      </c>
      <c r="G47" s="478">
        <v>19.3</v>
      </c>
      <c r="H47" s="457">
        <v>-4.0999999999999979</v>
      </c>
      <c r="I47" s="459" t="s">
        <v>146</v>
      </c>
      <c r="J47" s="178">
        <v>26.8</v>
      </c>
      <c r="K47" s="478">
        <v>23.4</v>
      </c>
      <c r="L47" s="457">
        <v>-3.4000000000000021</v>
      </c>
      <c r="M47" s="459" t="s">
        <v>154</v>
      </c>
      <c r="N47" s="178">
        <v>26.8</v>
      </c>
      <c r="O47" s="478">
        <v>28.1</v>
      </c>
      <c r="P47" s="457">
        <v>1.3000000000000007</v>
      </c>
      <c r="Q47" s="459" t="s">
        <v>149</v>
      </c>
      <c r="R47" s="178">
        <v>26.8</v>
      </c>
      <c r="S47" s="478">
        <v>26.8</v>
      </c>
      <c r="T47" s="457">
        <v>0</v>
      </c>
      <c r="U47" s="459"/>
      <c r="V47" s="178">
        <v>26.8</v>
      </c>
      <c r="W47" s="478">
        <v>26.8</v>
      </c>
      <c r="X47" s="457">
        <v>0</v>
      </c>
      <c r="Y47" s="459"/>
    </row>
    <row r="48" spans="3:25" ht="16.5" thickBot="1">
      <c r="C48" s="486"/>
      <c r="D48" s="487"/>
      <c r="E48" s="489"/>
      <c r="F48" s="177">
        <v>0.66</v>
      </c>
      <c r="G48" s="479"/>
      <c r="H48" s="480"/>
      <c r="I48" s="481"/>
      <c r="J48" s="177">
        <v>0.62</v>
      </c>
      <c r="K48" s="479"/>
      <c r="L48" s="480"/>
      <c r="M48" s="481"/>
      <c r="N48" s="177">
        <v>0.62</v>
      </c>
      <c r="O48" s="479"/>
      <c r="P48" s="480"/>
      <c r="Q48" s="481"/>
      <c r="R48" s="177">
        <v>0.62</v>
      </c>
      <c r="S48" s="479"/>
      <c r="T48" s="480"/>
      <c r="U48" s="481"/>
      <c r="V48" s="177">
        <v>0.62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45067</v>
      </c>
      <c r="G50" s="470"/>
      <c r="H50" s="470"/>
      <c r="I50" s="471"/>
      <c r="J50" s="469">
        <v>45068</v>
      </c>
      <c r="K50" s="470"/>
      <c r="L50" s="470"/>
      <c r="M50" s="471"/>
      <c r="N50" s="469">
        <v>45069</v>
      </c>
      <c r="O50" s="470"/>
      <c r="P50" s="470"/>
      <c r="Q50" s="471"/>
      <c r="R50" s="469">
        <v>45070</v>
      </c>
      <c r="S50" s="470"/>
      <c r="T50" s="470"/>
      <c r="U50" s="471"/>
      <c r="V50" s="469">
        <v>45071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18.899999999999999</v>
      </c>
      <c r="H53" s="223" t="s">
        <v>81</v>
      </c>
      <c r="I53" s="222" t="s">
        <v>201</v>
      </c>
      <c r="J53" s="225">
        <v>0</v>
      </c>
      <c r="K53" s="224">
        <v>17.5</v>
      </c>
      <c r="L53" s="223" t="s">
        <v>81</v>
      </c>
      <c r="M53" s="222" t="s">
        <v>201</v>
      </c>
      <c r="N53" s="225">
        <v>0</v>
      </c>
      <c r="O53" s="224">
        <v>16.600000000000001</v>
      </c>
      <c r="P53" s="223" t="s">
        <v>81</v>
      </c>
      <c r="Q53" s="222" t="s">
        <v>201</v>
      </c>
      <c r="R53" s="225">
        <v>0</v>
      </c>
      <c r="S53" s="224">
        <v>16.7</v>
      </c>
      <c r="T53" s="223" t="s">
        <v>81</v>
      </c>
      <c r="U53" s="222" t="s">
        <v>201</v>
      </c>
      <c r="V53" s="225">
        <v>0</v>
      </c>
      <c r="W53" s="224">
        <v>18.899999999999999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4EBC-CF82-42B5-A137-2DA653B67EB6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45072</v>
      </c>
      <c r="G3" s="418"/>
      <c r="H3" s="418"/>
      <c r="I3" s="419"/>
      <c r="J3" s="417">
        <v>45073</v>
      </c>
      <c r="K3" s="418"/>
      <c r="L3" s="418"/>
      <c r="M3" s="419"/>
      <c r="N3" s="417">
        <v>45074</v>
      </c>
      <c r="O3" s="418"/>
      <c r="P3" s="418"/>
      <c r="Q3" s="419"/>
      <c r="R3" s="417">
        <v>45077</v>
      </c>
      <c r="S3" s="418"/>
      <c r="T3" s="418"/>
      <c r="U3" s="419"/>
      <c r="V3" s="417"/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v>0</v>
      </c>
      <c r="I5" s="219"/>
      <c r="J5" s="166">
        <v>15.7</v>
      </c>
      <c r="K5" s="165">
        <v>15.7</v>
      </c>
      <c r="L5" s="164">
        <v>0</v>
      </c>
      <c r="M5" s="219"/>
      <c r="N5" s="166">
        <v>15.7</v>
      </c>
      <c r="O5" s="165">
        <v>15.7</v>
      </c>
      <c r="P5" s="164">
        <v>0</v>
      </c>
      <c r="Q5" s="219"/>
      <c r="R5" s="166">
        <v>15.7</v>
      </c>
      <c r="S5" s="165">
        <v>15.7</v>
      </c>
      <c r="T5" s="164">
        <v>0</v>
      </c>
      <c r="U5" s="219"/>
      <c r="V5" s="166"/>
      <c r="W5" s="165"/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V6" s="166"/>
      <c r="W6" s="165"/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/>
      <c r="W7" s="165"/>
      <c r="X7" s="164">
        <v>0</v>
      </c>
      <c r="Y7" s="219"/>
    </row>
    <row r="8" spans="3:25" ht="16">
      <c r="C8" s="423"/>
      <c r="D8" s="426"/>
      <c r="E8" s="218" t="s">
        <v>133</v>
      </c>
      <c r="F8" s="217">
        <v>38</v>
      </c>
      <c r="G8" s="216">
        <v>52.300000000000004</v>
      </c>
      <c r="H8" s="215">
        <v>14.300000000000004</v>
      </c>
      <c r="I8" s="214" t="s">
        <v>173</v>
      </c>
      <c r="J8" s="217">
        <v>36.200000000000003</v>
      </c>
      <c r="K8" s="216">
        <v>50.5</v>
      </c>
      <c r="L8" s="215">
        <v>14.299999999999997</v>
      </c>
      <c r="M8" s="214" t="s">
        <v>173</v>
      </c>
      <c r="N8" s="217">
        <v>34.799999999999997</v>
      </c>
      <c r="O8" s="216">
        <v>49.1</v>
      </c>
      <c r="P8" s="215">
        <v>14.300000000000004</v>
      </c>
      <c r="Q8" s="214" t="s">
        <v>173</v>
      </c>
      <c r="R8" s="217">
        <v>38.4</v>
      </c>
      <c r="S8" s="216">
        <v>52.7</v>
      </c>
      <c r="T8" s="215">
        <v>14.300000000000004</v>
      </c>
      <c r="U8" s="214" t="s">
        <v>173</v>
      </c>
      <c r="V8" s="217"/>
      <c r="W8" s="216"/>
      <c r="X8" s="215">
        <v>0</v>
      </c>
      <c r="Y8" s="214"/>
    </row>
    <row r="9" spans="3:25" ht="16.5" thickBot="1">
      <c r="C9" s="424"/>
      <c r="D9" s="427" t="s">
        <v>101</v>
      </c>
      <c r="E9" s="428"/>
      <c r="F9" s="188">
        <v>71.2</v>
      </c>
      <c r="G9" s="187">
        <v>85.5</v>
      </c>
      <c r="H9" s="187">
        <v>14.300000000000004</v>
      </c>
      <c r="I9" s="213" t="s">
        <v>81</v>
      </c>
      <c r="J9" s="188">
        <v>69.400000000000006</v>
      </c>
      <c r="K9" s="187">
        <v>83.7</v>
      </c>
      <c r="L9" s="187">
        <v>14.299999999999997</v>
      </c>
      <c r="M9" s="213" t="s">
        <v>81</v>
      </c>
      <c r="N9" s="188">
        <v>68</v>
      </c>
      <c r="O9" s="187">
        <v>82.300000000000011</v>
      </c>
      <c r="P9" s="187">
        <v>14.300000000000004</v>
      </c>
      <c r="Q9" s="213" t="s">
        <v>81</v>
      </c>
      <c r="R9" s="188">
        <v>62.9</v>
      </c>
      <c r="S9" s="187">
        <v>77.2</v>
      </c>
      <c r="T9" s="187">
        <v>14.300000000000004</v>
      </c>
      <c r="U9" s="213" t="s">
        <v>81</v>
      </c>
      <c r="V9" s="188">
        <v>0</v>
      </c>
      <c r="W9" s="187">
        <v>0</v>
      </c>
      <c r="X9" s="187">
        <v>0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45072</v>
      </c>
      <c r="G11" s="433"/>
      <c r="H11" s="433"/>
      <c r="I11" s="434"/>
      <c r="J11" s="432">
        <v>45073</v>
      </c>
      <c r="K11" s="433"/>
      <c r="L11" s="433"/>
      <c r="M11" s="434"/>
      <c r="N11" s="432">
        <v>45074</v>
      </c>
      <c r="O11" s="433"/>
      <c r="P11" s="433"/>
      <c r="Q11" s="434"/>
      <c r="R11" s="432">
        <v>45077</v>
      </c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/>
      <c r="W13" s="165"/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/>
      <c r="W14" s="165"/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/>
      <c r="W15" s="165"/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145</v>
      </c>
      <c r="J16" s="166">
        <v>-32.5</v>
      </c>
      <c r="K16" s="165">
        <v>0</v>
      </c>
      <c r="L16" s="164">
        <v>32.5</v>
      </c>
      <c r="M16" s="189" t="s">
        <v>145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/>
      <c r="W16" s="165"/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/>
      <c r="W17" s="165"/>
      <c r="X17" s="164">
        <v>0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/>
      <c r="W18" s="165"/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0</v>
      </c>
      <c r="T19" s="164">
        <v>34</v>
      </c>
      <c r="U19" s="189" t="s">
        <v>145</v>
      </c>
      <c r="V19" s="166"/>
      <c r="W19" s="165"/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0</v>
      </c>
      <c r="T20" s="164">
        <v>34</v>
      </c>
      <c r="U20" s="189" t="s">
        <v>145</v>
      </c>
      <c r="V20" s="166"/>
      <c r="W20" s="165"/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-118.7</v>
      </c>
      <c r="T21" s="187">
        <v>134.5</v>
      </c>
      <c r="U21" s="186" t="s">
        <v>81</v>
      </c>
      <c r="V21" s="188">
        <v>0</v>
      </c>
      <c r="W21" s="187">
        <v>0</v>
      </c>
      <c r="X21" s="187">
        <v>0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45072</v>
      </c>
      <c r="G23" s="433"/>
      <c r="H23" s="433"/>
      <c r="I23" s="434"/>
      <c r="J23" s="432">
        <v>45073</v>
      </c>
      <c r="K23" s="433"/>
      <c r="L23" s="433"/>
      <c r="M23" s="434"/>
      <c r="N23" s="432">
        <v>45074</v>
      </c>
      <c r="O23" s="433"/>
      <c r="P23" s="433"/>
      <c r="Q23" s="434"/>
      <c r="R23" s="432">
        <v>45077</v>
      </c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/>
      <c r="W25" s="208"/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45072</v>
      </c>
      <c r="G27" s="433"/>
      <c r="H27" s="433"/>
      <c r="I27" s="434"/>
      <c r="J27" s="432">
        <v>45073</v>
      </c>
      <c r="K27" s="433"/>
      <c r="L27" s="433"/>
      <c r="M27" s="434"/>
      <c r="N27" s="432">
        <v>45074</v>
      </c>
      <c r="O27" s="433"/>
      <c r="P27" s="433"/>
      <c r="Q27" s="434"/>
      <c r="R27" s="432">
        <v>45077</v>
      </c>
      <c r="S27" s="433"/>
      <c r="T27" s="433"/>
      <c r="U27" s="434"/>
      <c r="V27" s="432"/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/>
      <c r="W29" s="455"/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/>
      <c r="W30" s="456"/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/>
      <c r="W31" s="455"/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/>
      <c r="W32" s="456"/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35.700000000000003</v>
      </c>
      <c r="G33" s="199">
        <v>38.4</v>
      </c>
      <c r="H33" s="457">
        <v>2.6999999999999957</v>
      </c>
      <c r="I33" s="459" t="s">
        <v>148</v>
      </c>
      <c r="J33" s="200">
        <v>35.700000000000003</v>
      </c>
      <c r="K33" s="199">
        <v>18.899999999999999</v>
      </c>
      <c r="L33" s="457">
        <v>-16.800000000000004</v>
      </c>
      <c r="M33" s="459" t="s">
        <v>146</v>
      </c>
      <c r="N33" s="200">
        <v>35.700000000000003</v>
      </c>
      <c r="O33" s="199">
        <v>18.600000000000001</v>
      </c>
      <c r="P33" s="457">
        <v>-17.100000000000001</v>
      </c>
      <c r="Q33" s="459" t="s">
        <v>154</v>
      </c>
      <c r="R33" s="200">
        <v>43.6</v>
      </c>
      <c r="S33" s="199">
        <v>38.9</v>
      </c>
      <c r="T33" s="457">
        <v>-4.7000000000000028</v>
      </c>
      <c r="U33" s="459" t="s">
        <v>154</v>
      </c>
      <c r="V33" s="200"/>
      <c r="W33" s="199"/>
      <c r="X33" s="457">
        <v>0</v>
      </c>
      <c r="Y33" s="459"/>
    </row>
    <row r="34" spans="3:25" ht="16">
      <c r="C34" s="451"/>
      <c r="D34" s="467"/>
      <c r="E34" s="463" t="s">
        <v>104</v>
      </c>
      <c r="F34" s="198">
        <v>0.22</v>
      </c>
      <c r="G34" s="197">
        <v>0.24</v>
      </c>
      <c r="H34" s="458"/>
      <c r="I34" s="460"/>
      <c r="J34" s="198">
        <v>0.22</v>
      </c>
      <c r="K34" s="197">
        <v>0.12</v>
      </c>
      <c r="L34" s="458"/>
      <c r="M34" s="460"/>
      <c r="N34" s="198">
        <v>0.22</v>
      </c>
      <c r="O34" s="197">
        <v>0.11</v>
      </c>
      <c r="P34" s="458"/>
      <c r="Q34" s="460"/>
      <c r="R34" s="198">
        <v>0.24</v>
      </c>
      <c r="S34" s="197">
        <v>0.22</v>
      </c>
      <c r="T34" s="458"/>
      <c r="U34" s="460"/>
      <c r="V34" s="198"/>
      <c r="W34" s="230"/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/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/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0.20000000000000567</v>
      </c>
      <c r="H37" s="164">
        <v>-12.799999999999994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170</v>
      </c>
      <c r="N37" s="166">
        <v>13</v>
      </c>
      <c r="O37" s="165">
        <v>0.4</v>
      </c>
      <c r="P37" s="164">
        <v>-12.6</v>
      </c>
      <c r="Q37" s="189" t="s">
        <v>170</v>
      </c>
      <c r="R37" s="166">
        <v>13</v>
      </c>
      <c r="S37" s="165">
        <v>0.6</v>
      </c>
      <c r="T37" s="164">
        <v>-12.4</v>
      </c>
      <c r="U37" s="189" t="s">
        <v>170</v>
      </c>
      <c r="V37" s="166"/>
      <c r="W37" s="165"/>
      <c r="X37" s="164">
        <v>0</v>
      </c>
      <c r="Y37" s="189"/>
    </row>
    <row r="38" spans="3:25" ht="16.5" thickBot="1">
      <c r="C38" s="452"/>
      <c r="D38" s="427" t="s">
        <v>101</v>
      </c>
      <c r="E38" s="428"/>
      <c r="F38" s="188">
        <v>146.89999999999998</v>
      </c>
      <c r="G38" s="187">
        <v>136.80000000000001</v>
      </c>
      <c r="H38" s="187">
        <v>-10.099999999999998</v>
      </c>
      <c r="I38" s="186"/>
      <c r="J38" s="188">
        <v>146.89999999999998</v>
      </c>
      <c r="K38" s="187">
        <v>117.5</v>
      </c>
      <c r="L38" s="187">
        <v>-29.400000000000006</v>
      </c>
      <c r="M38" s="186"/>
      <c r="N38" s="188">
        <v>146.89999999999998</v>
      </c>
      <c r="O38" s="187">
        <v>117.19999999999999</v>
      </c>
      <c r="P38" s="187">
        <v>-29.700000000000003</v>
      </c>
      <c r="Q38" s="186"/>
      <c r="R38" s="188">
        <v>154.79999999999998</v>
      </c>
      <c r="S38" s="187">
        <v>137.69999999999999</v>
      </c>
      <c r="T38" s="187">
        <v>-17.100000000000001</v>
      </c>
      <c r="U38" s="186"/>
      <c r="V38" s="188">
        <v>0</v>
      </c>
      <c r="W38" s="187">
        <v>0</v>
      </c>
      <c r="X38" s="187">
        <v>0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45072</v>
      </c>
      <c r="G40" s="470"/>
      <c r="H40" s="470"/>
      <c r="I40" s="471"/>
      <c r="J40" s="469">
        <v>45073</v>
      </c>
      <c r="K40" s="470"/>
      <c r="L40" s="470"/>
      <c r="M40" s="471"/>
      <c r="N40" s="469">
        <v>45074</v>
      </c>
      <c r="O40" s="470"/>
      <c r="P40" s="470"/>
      <c r="Q40" s="471"/>
      <c r="R40" s="469">
        <v>45077</v>
      </c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110.7</v>
      </c>
      <c r="S42" s="478">
        <v>64.7</v>
      </c>
      <c r="T42" s="457">
        <v>-46</v>
      </c>
      <c r="U42" s="459" t="s">
        <v>151</v>
      </c>
      <c r="V42" s="178"/>
      <c r="W42" s="478"/>
      <c r="X42" s="457">
        <v>0</v>
      </c>
      <c r="Y42" s="459"/>
    </row>
    <row r="43" spans="3:25" ht="16.5" thickBot="1">
      <c r="C43" s="474"/>
      <c r="D43" s="475"/>
      <c r="E43" s="477"/>
      <c r="F43" s="183">
        <v>219</v>
      </c>
      <c r="G43" s="479"/>
      <c r="H43" s="480"/>
      <c r="I43" s="481"/>
      <c r="J43" s="183">
        <v>181</v>
      </c>
      <c r="K43" s="479"/>
      <c r="L43" s="480"/>
      <c r="M43" s="481"/>
      <c r="N43" s="183">
        <v>181</v>
      </c>
      <c r="O43" s="479"/>
      <c r="P43" s="480"/>
      <c r="Q43" s="481"/>
      <c r="R43" s="183">
        <v>219</v>
      </c>
      <c r="S43" s="479"/>
      <c r="T43" s="480"/>
      <c r="U43" s="481"/>
      <c r="V43" s="183"/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45072</v>
      </c>
      <c r="G45" s="470"/>
      <c r="H45" s="470"/>
      <c r="I45" s="471"/>
      <c r="J45" s="469">
        <v>45073</v>
      </c>
      <c r="K45" s="470"/>
      <c r="L45" s="470"/>
      <c r="M45" s="471"/>
      <c r="N45" s="469">
        <v>45074</v>
      </c>
      <c r="O45" s="470"/>
      <c r="P45" s="470"/>
      <c r="Q45" s="471"/>
      <c r="R45" s="469">
        <v>45077</v>
      </c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26.8</v>
      </c>
      <c r="G47" s="478">
        <v>24.7</v>
      </c>
      <c r="H47" s="457">
        <v>-2.1000000000000014</v>
      </c>
      <c r="I47" s="459" t="s">
        <v>146</v>
      </c>
      <c r="J47" s="178">
        <v>26.8</v>
      </c>
      <c r="K47" s="478">
        <v>27</v>
      </c>
      <c r="L47" s="457">
        <v>0.19999999999999929</v>
      </c>
      <c r="M47" s="459" t="s">
        <v>149</v>
      </c>
      <c r="N47" s="178">
        <v>26.8</v>
      </c>
      <c r="O47" s="478">
        <v>27</v>
      </c>
      <c r="P47" s="457">
        <v>0.19999999999999929</v>
      </c>
      <c r="Q47" s="459" t="s">
        <v>145</v>
      </c>
      <c r="R47" s="178">
        <v>26.8</v>
      </c>
      <c r="S47" s="478">
        <v>27</v>
      </c>
      <c r="T47" s="457">
        <v>0.19999999999999929</v>
      </c>
      <c r="U47" s="459" t="s">
        <v>145</v>
      </c>
      <c r="V47" s="178"/>
      <c r="W47" s="478"/>
      <c r="X47" s="457">
        <v>0</v>
      </c>
      <c r="Y47" s="459"/>
    </row>
    <row r="48" spans="3:25" ht="16.5" thickBot="1">
      <c r="C48" s="486"/>
      <c r="D48" s="487"/>
      <c r="E48" s="489"/>
      <c r="F48" s="177">
        <v>0.62</v>
      </c>
      <c r="G48" s="479"/>
      <c r="H48" s="480"/>
      <c r="I48" s="481"/>
      <c r="J48" s="177">
        <v>0.62</v>
      </c>
      <c r="K48" s="479"/>
      <c r="L48" s="480"/>
      <c r="M48" s="481"/>
      <c r="N48" s="177">
        <v>0.62</v>
      </c>
      <c r="O48" s="479"/>
      <c r="P48" s="480"/>
      <c r="Q48" s="481"/>
      <c r="R48" s="177">
        <v>0.62</v>
      </c>
      <c r="S48" s="479"/>
      <c r="T48" s="480"/>
      <c r="U48" s="481"/>
      <c r="V48" s="177"/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45072</v>
      </c>
      <c r="G50" s="470"/>
      <c r="H50" s="470"/>
      <c r="I50" s="471"/>
      <c r="J50" s="469">
        <v>45073</v>
      </c>
      <c r="K50" s="470"/>
      <c r="L50" s="470"/>
      <c r="M50" s="471"/>
      <c r="N50" s="469">
        <v>45074</v>
      </c>
      <c r="O50" s="470"/>
      <c r="P50" s="470"/>
      <c r="Q50" s="471"/>
      <c r="R50" s="469">
        <v>45077</v>
      </c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/>
      <c r="W52" s="165"/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19.399999999999999</v>
      </c>
      <c r="H53" s="223" t="s">
        <v>81</v>
      </c>
      <c r="I53" s="222" t="s">
        <v>201</v>
      </c>
      <c r="J53" s="225">
        <v>0</v>
      </c>
      <c r="K53" s="224">
        <v>18.899999999999999</v>
      </c>
      <c r="L53" s="223" t="s">
        <v>81</v>
      </c>
      <c r="M53" s="222" t="s">
        <v>201</v>
      </c>
      <c r="N53" s="225">
        <v>0</v>
      </c>
      <c r="O53" s="224">
        <v>19.100000000000001</v>
      </c>
      <c r="P53" s="223" t="s">
        <v>81</v>
      </c>
      <c r="Q53" s="222" t="s">
        <v>201</v>
      </c>
      <c r="R53" s="225">
        <v>0</v>
      </c>
      <c r="S53" s="224">
        <v>21.4</v>
      </c>
      <c r="T53" s="223" t="s">
        <v>81</v>
      </c>
      <c r="U53" s="222" t="s">
        <v>201</v>
      </c>
      <c r="V53" s="225"/>
      <c r="W53" s="229"/>
      <c r="X53" s="223" t="s">
        <v>81</v>
      </c>
      <c r="Y53" s="222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5B8B-69F3-4EE6-91B3-33CB63A9E0F2}">
  <dimension ref="B1:O64"/>
  <sheetViews>
    <sheetView showGridLines="0" view="pageBreakPreview" zoomScale="85" zoomScaleNormal="70" zoomScaleSheetLayoutView="85" zoomScalePageLayoutView="85" workbookViewId="0">
      <selection activeCell="E63" sqref="E6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M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45791</v>
      </c>
      <c r="G3" s="26" t="s">
        <v>216</v>
      </c>
      <c r="H3" s="25">
        <v>45792</v>
      </c>
      <c r="I3" s="26" t="s">
        <v>48</v>
      </c>
      <c r="J3" s="25">
        <v>45796</v>
      </c>
      <c r="K3" s="26" t="s">
        <v>48</v>
      </c>
      <c r="L3" s="25">
        <v>45799</v>
      </c>
      <c r="M3" s="26" t="s">
        <v>48</v>
      </c>
      <c r="N3" s="25">
        <v>45800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69</v>
      </c>
      <c r="K4" s="7" t="s">
        <v>44</v>
      </c>
      <c r="L4" s="6" t="s">
        <v>69</v>
      </c>
      <c r="M4" s="7" t="s">
        <v>44</v>
      </c>
      <c r="N4" s="6" t="s">
        <v>69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76.5</v>
      </c>
      <c r="G5" s="384" t="s">
        <v>45</v>
      </c>
      <c r="H5" s="9">
        <v>76.099999999999994</v>
      </c>
      <c r="I5" s="384" t="s">
        <v>45</v>
      </c>
      <c r="J5" s="9">
        <v>76.099999999999994</v>
      </c>
      <c r="K5" s="384" t="s">
        <v>45</v>
      </c>
      <c r="L5" s="9">
        <v>77.5</v>
      </c>
      <c r="M5" s="384" t="s">
        <v>45</v>
      </c>
      <c r="N5" s="9">
        <v>78.099999999999994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66</v>
      </c>
      <c r="G6" s="385"/>
      <c r="H6" s="10">
        <v>67.7</v>
      </c>
      <c r="I6" s="385"/>
      <c r="J6" s="10">
        <v>68.599999999999994</v>
      </c>
      <c r="K6" s="385"/>
      <c r="L6" s="10">
        <v>76.400000000000006</v>
      </c>
      <c r="M6" s="385"/>
      <c r="N6" s="10">
        <v>68.400000000000006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297.60000000000002</v>
      </c>
      <c r="G7" s="385"/>
      <c r="H7" s="28">
        <v>297.60000000000002</v>
      </c>
      <c r="I7" s="385"/>
      <c r="J7" s="28">
        <v>294.39999999999998</v>
      </c>
      <c r="K7" s="385"/>
      <c r="L7" s="28">
        <v>297.3</v>
      </c>
      <c r="M7" s="385"/>
      <c r="N7" s="28">
        <v>297.10000000000002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43.2</v>
      </c>
      <c r="G8" s="385"/>
      <c r="H8" s="29">
        <v>40.299999999999805</v>
      </c>
      <c r="I8" s="385"/>
      <c r="J8" s="29">
        <v>53.499999999999865</v>
      </c>
      <c r="K8" s="385"/>
      <c r="L8" s="29">
        <v>48.299999999999947</v>
      </c>
      <c r="M8" s="385"/>
      <c r="N8" s="29">
        <v>84.800000000000153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16.8</v>
      </c>
      <c r="G9" s="385"/>
      <c r="H9" s="30">
        <v>16.8</v>
      </c>
      <c r="I9" s="385"/>
      <c r="J9" s="30">
        <v>16.100000000000001</v>
      </c>
      <c r="K9" s="385"/>
      <c r="L9" s="30">
        <v>14.6</v>
      </c>
      <c r="M9" s="385"/>
      <c r="N9" s="30">
        <v>14.6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37</v>
      </c>
      <c r="G10" s="385"/>
      <c r="H10" s="11">
        <v>37</v>
      </c>
      <c r="I10" s="385"/>
      <c r="J10" s="11">
        <v>43.7</v>
      </c>
      <c r="K10" s="385"/>
      <c r="L10" s="11">
        <v>36.9</v>
      </c>
      <c r="M10" s="385"/>
      <c r="N10" s="11">
        <v>36.4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25.4</v>
      </c>
      <c r="G11" s="385"/>
      <c r="H11" s="12">
        <v>24.1</v>
      </c>
      <c r="I11" s="385"/>
      <c r="J11" s="12">
        <v>25</v>
      </c>
      <c r="K11" s="385"/>
      <c r="L11" s="12">
        <v>25.2</v>
      </c>
      <c r="M11" s="385"/>
      <c r="N11" s="12">
        <v>25.8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937</v>
      </c>
      <c r="G12" s="385"/>
      <c r="H12" s="13">
        <v>666.6</v>
      </c>
      <c r="I12" s="385"/>
      <c r="J12" s="13">
        <v>638.20000000000005</v>
      </c>
      <c r="K12" s="385"/>
      <c r="L12" s="13">
        <v>704</v>
      </c>
      <c r="M12" s="385"/>
      <c r="N12" s="13">
        <v>829.5</v>
      </c>
      <c r="O12" s="385"/>
    </row>
    <row r="13" spans="2:15" ht="16">
      <c r="B13" s="376"/>
      <c r="C13" s="379"/>
      <c r="D13" s="388"/>
      <c r="E13" s="45" t="s">
        <v>27</v>
      </c>
      <c r="F13" s="13">
        <v>7.7</v>
      </c>
      <c r="G13" s="385"/>
      <c r="H13" s="13">
        <v>9.1</v>
      </c>
      <c r="I13" s="385"/>
      <c r="J13" s="13">
        <v>10.5</v>
      </c>
      <c r="K13" s="385"/>
      <c r="L13" s="13">
        <v>15.1</v>
      </c>
      <c r="M13" s="385"/>
      <c r="N13" s="13">
        <v>13.6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69</v>
      </c>
      <c r="G14" s="385"/>
      <c r="H14" s="14">
        <v>169</v>
      </c>
      <c r="I14" s="385"/>
      <c r="J14" s="14">
        <v>308</v>
      </c>
      <c r="K14" s="385"/>
      <c r="L14" s="14">
        <v>169</v>
      </c>
      <c r="M14" s="385"/>
      <c r="N14" s="14">
        <v>139.30000000000001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1576.2</v>
      </c>
      <c r="G15" s="385"/>
      <c r="H15" s="15">
        <v>1404.2999999999997</v>
      </c>
      <c r="I15" s="385"/>
      <c r="J15" s="15">
        <v>1534.1</v>
      </c>
      <c r="K15" s="385"/>
      <c r="L15" s="15">
        <v>1464.3</v>
      </c>
      <c r="M15" s="385"/>
      <c r="N15" s="15">
        <v>1587.6000000000001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903.8</v>
      </c>
      <c r="G16" s="385"/>
      <c r="H16" s="8">
        <v>885</v>
      </c>
      <c r="I16" s="385"/>
      <c r="J16" s="8">
        <v>885</v>
      </c>
      <c r="K16" s="385"/>
      <c r="L16" s="8">
        <v>955</v>
      </c>
      <c r="M16" s="385"/>
      <c r="N16" s="8">
        <v>985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-159.1</v>
      </c>
      <c r="G17" s="385"/>
      <c r="H17" s="16">
        <v>-159.1</v>
      </c>
      <c r="I17" s="385"/>
      <c r="J17" s="16">
        <v>-159.1</v>
      </c>
      <c r="K17" s="385"/>
      <c r="L17" s="16">
        <v>-159.1</v>
      </c>
      <c r="M17" s="385"/>
      <c r="N17" s="16">
        <v>-159.1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-4.4000000000000004</v>
      </c>
      <c r="G18" s="385"/>
      <c r="H18" s="17">
        <v>-4.4000000000000004</v>
      </c>
      <c r="I18" s="385"/>
      <c r="J18" s="17">
        <v>-4.4000000000000004</v>
      </c>
      <c r="K18" s="385"/>
      <c r="L18" s="17">
        <v>-4.4000000000000004</v>
      </c>
      <c r="M18" s="385"/>
      <c r="N18" s="17">
        <v>-4.4000000000000004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-145.6</v>
      </c>
      <c r="G19" s="385"/>
      <c r="H19" s="18">
        <v>-143.6</v>
      </c>
      <c r="I19" s="385"/>
      <c r="J19" s="18">
        <v>-143.6</v>
      </c>
      <c r="K19" s="385"/>
      <c r="L19" s="18">
        <v>-151.19999999999999</v>
      </c>
      <c r="M19" s="385"/>
      <c r="N19" s="18">
        <v>-172.3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1212.8999999999999</v>
      </c>
      <c r="G21" s="386"/>
      <c r="H21" s="27">
        <v>1192.0999999999999</v>
      </c>
      <c r="I21" s="386"/>
      <c r="J21" s="27">
        <v>1192.0999999999999</v>
      </c>
      <c r="K21" s="386"/>
      <c r="L21" s="27">
        <v>1269.7</v>
      </c>
      <c r="M21" s="386"/>
      <c r="N21" s="27">
        <v>1320.8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1576.2</v>
      </c>
      <c r="G23" s="400"/>
      <c r="H23" s="20">
        <v>1404.2999999999997</v>
      </c>
      <c r="I23" s="400"/>
      <c r="J23" s="20">
        <v>1534.1</v>
      </c>
      <c r="K23" s="400"/>
      <c r="L23" s="20">
        <v>1464.3</v>
      </c>
      <c r="M23" s="400"/>
      <c r="N23" s="20">
        <v>1587.6000000000001</v>
      </c>
      <c r="O23" s="400"/>
    </row>
    <row r="24" spans="2:15" ht="16">
      <c r="B24" s="409"/>
      <c r="C24" s="403" t="s">
        <v>37</v>
      </c>
      <c r="D24" s="404"/>
      <c r="E24" s="405"/>
      <c r="F24" s="21">
        <v>1212.8999999999999</v>
      </c>
      <c r="G24" s="401"/>
      <c r="H24" s="21">
        <v>1192.0999999999999</v>
      </c>
      <c r="I24" s="401"/>
      <c r="J24" s="21">
        <v>1192.0999999999999</v>
      </c>
      <c r="K24" s="401"/>
      <c r="L24" s="21">
        <v>1269.7</v>
      </c>
      <c r="M24" s="401"/>
      <c r="N24" s="21">
        <v>1320.8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363.30000000000018</v>
      </c>
      <c r="G25" s="402"/>
      <c r="H25" s="67">
        <v>212.19999999999982</v>
      </c>
      <c r="I25" s="402"/>
      <c r="J25" s="67">
        <v>342</v>
      </c>
      <c r="K25" s="402"/>
      <c r="L25" s="67">
        <v>194.59999999999991</v>
      </c>
      <c r="M25" s="402"/>
      <c r="N25" s="67">
        <v>266.80000000000018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D982-5C46-4B5D-96CC-4C8A59B0C1E9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45080</v>
      </c>
      <c r="G3" s="26" t="s">
        <v>48</v>
      </c>
      <c r="H3" s="25">
        <v>45081</v>
      </c>
      <c r="I3" s="26" t="s">
        <v>50</v>
      </c>
      <c r="J3" s="25">
        <v>45084</v>
      </c>
      <c r="K3" s="26" t="s">
        <v>48</v>
      </c>
      <c r="L3" s="25">
        <v>45086</v>
      </c>
      <c r="M3" s="26" t="s">
        <v>49</v>
      </c>
      <c r="N3" s="25">
        <v>45088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75.3</v>
      </c>
      <c r="G5" s="384" t="s">
        <v>45</v>
      </c>
      <c r="H5" s="9">
        <v>73.8</v>
      </c>
      <c r="I5" s="384" t="s">
        <v>45</v>
      </c>
      <c r="J5" s="9">
        <v>77.7</v>
      </c>
      <c r="K5" s="384" t="s">
        <v>45</v>
      </c>
      <c r="L5" s="9">
        <v>77.400000000000006</v>
      </c>
      <c r="M5" s="384" t="s">
        <v>45</v>
      </c>
      <c r="N5" s="9">
        <v>74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122.2</v>
      </c>
      <c r="G6" s="385"/>
      <c r="H6" s="10">
        <v>124.2</v>
      </c>
      <c r="I6" s="385"/>
      <c r="J6" s="10">
        <v>135.80000000000001</v>
      </c>
      <c r="K6" s="385"/>
      <c r="L6" s="10">
        <v>147.5</v>
      </c>
      <c r="M6" s="385"/>
      <c r="N6" s="10">
        <v>124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321.89999999999998</v>
      </c>
      <c r="G7" s="385"/>
      <c r="H7" s="28">
        <v>321.8</v>
      </c>
      <c r="I7" s="385"/>
      <c r="J7" s="28">
        <v>321.8</v>
      </c>
      <c r="K7" s="385"/>
      <c r="L7" s="28">
        <v>321.89999999999998</v>
      </c>
      <c r="M7" s="385"/>
      <c r="N7" s="28">
        <v>321.8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98.6</v>
      </c>
      <c r="G8" s="385"/>
      <c r="H8" s="29">
        <v>82.400000000000318</v>
      </c>
      <c r="I8" s="385"/>
      <c r="J8" s="29">
        <v>64.099999999999866</v>
      </c>
      <c r="K8" s="385"/>
      <c r="L8" s="29">
        <v>86.100000000000037</v>
      </c>
      <c r="M8" s="385"/>
      <c r="N8" s="29">
        <v>114.1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14.1</v>
      </c>
      <c r="G9" s="385"/>
      <c r="H9" s="30">
        <v>13.7</v>
      </c>
      <c r="I9" s="385"/>
      <c r="J9" s="30">
        <v>13.8</v>
      </c>
      <c r="K9" s="385"/>
      <c r="L9" s="30">
        <v>13.8</v>
      </c>
      <c r="M9" s="385"/>
      <c r="N9" s="30">
        <v>14.2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21</v>
      </c>
      <c r="G10" s="385"/>
      <c r="H10" s="11">
        <v>21.5</v>
      </c>
      <c r="I10" s="385"/>
      <c r="J10" s="11">
        <v>23.6</v>
      </c>
      <c r="K10" s="385"/>
      <c r="L10" s="11">
        <v>25.8</v>
      </c>
      <c r="M10" s="385"/>
      <c r="N10" s="11">
        <v>23.6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19.7</v>
      </c>
      <c r="G11" s="385"/>
      <c r="H11" s="12">
        <v>19.899999999999999</v>
      </c>
      <c r="I11" s="385"/>
      <c r="J11" s="12">
        <v>19.2</v>
      </c>
      <c r="K11" s="385"/>
      <c r="L11" s="12">
        <v>19.600000000000001</v>
      </c>
      <c r="M11" s="385"/>
      <c r="N11" s="12">
        <v>20.3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985.7</v>
      </c>
      <c r="G12" s="385"/>
      <c r="H12" s="13">
        <v>840.7</v>
      </c>
      <c r="I12" s="385"/>
      <c r="J12" s="13">
        <v>868.7</v>
      </c>
      <c r="K12" s="385"/>
      <c r="L12" s="13">
        <v>702.8</v>
      </c>
      <c r="M12" s="385"/>
      <c r="N12" s="13">
        <v>397.9</v>
      </c>
      <c r="O12" s="385"/>
    </row>
    <row r="13" spans="2:15" ht="16">
      <c r="B13" s="376"/>
      <c r="C13" s="379"/>
      <c r="D13" s="388"/>
      <c r="E13" s="45" t="s">
        <v>27</v>
      </c>
      <c r="F13" s="13">
        <v>15.8</v>
      </c>
      <c r="G13" s="385"/>
      <c r="H13" s="13">
        <v>2.1</v>
      </c>
      <c r="I13" s="385"/>
      <c r="J13" s="13">
        <v>2.8</v>
      </c>
      <c r="K13" s="385"/>
      <c r="L13" s="13">
        <v>4.3</v>
      </c>
      <c r="M13" s="385"/>
      <c r="N13" s="13">
        <v>0.9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32.299999999999997</v>
      </c>
      <c r="G14" s="385"/>
      <c r="H14" s="14">
        <v>204.3</v>
      </c>
      <c r="I14" s="385"/>
      <c r="J14" s="14">
        <v>175.3</v>
      </c>
      <c r="K14" s="385"/>
      <c r="L14" s="14">
        <v>265</v>
      </c>
      <c r="M14" s="385"/>
      <c r="N14" s="14">
        <v>360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1706.6</v>
      </c>
      <c r="G15" s="385"/>
      <c r="H15" s="15">
        <v>1704.4000000000003</v>
      </c>
      <c r="I15" s="385"/>
      <c r="J15" s="15">
        <v>1702.7999999999997</v>
      </c>
      <c r="K15" s="385"/>
      <c r="L15" s="15">
        <v>1664.1999999999998</v>
      </c>
      <c r="M15" s="385"/>
      <c r="N15" s="15">
        <v>1450.8000000000002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877.9</v>
      </c>
      <c r="G16" s="385"/>
      <c r="H16" s="8">
        <v>805</v>
      </c>
      <c r="I16" s="385"/>
      <c r="J16" s="8">
        <v>997.6</v>
      </c>
      <c r="K16" s="385"/>
      <c r="L16" s="8">
        <v>987.3</v>
      </c>
      <c r="M16" s="385"/>
      <c r="N16" s="8">
        <v>815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-84.7</v>
      </c>
      <c r="G17" s="385"/>
      <c r="H17" s="16">
        <v>-186.7</v>
      </c>
      <c r="I17" s="385"/>
      <c r="J17" s="16">
        <v>-152.69999999999999</v>
      </c>
      <c r="K17" s="385"/>
      <c r="L17" s="16">
        <v>-84.7</v>
      </c>
      <c r="M17" s="385"/>
      <c r="N17" s="16">
        <v>-84.7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-193.4</v>
      </c>
      <c r="G19" s="385"/>
      <c r="H19" s="18">
        <v>-165.2</v>
      </c>
      <c r="I19" s="385"/>
      <c r="J19" s="18">
        <v>-254</v>
      </c>
      <c r="K19" s="385"/>
      <c r="L19" s="18">
        <v>-254</v>
      </c>
      <c r="M19" s="385"/>
      <c r="N19" s="18">
        <v>-201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-8.6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1169.5999999999999</v>
      </c>
      <c r="G21" s="386"/>
      <c r="H21" s="27">
        <v>1161.9000000000001</v>
      </c>
      <c r="I21" s="386"/>
      <c r="J21" s="27">
        <v>1409.3</v>
      </c>
      <c r="K21" s="386"/>
      <c r="L21" s="27">
        <v>1331</v>
      </c>
      <c r="M21" s="386"/>
      <c r="N21" s="27">
        <v>1105.7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1706.6</v>
      </c>
      <c r="G23" s="400"/>
      <c r="H23" s="20">
        <v>1704.4000000000003</v>
      </c>
      <c r="I23" s="400"/>
      <c r="J23" s="20">
        <v>1702.7999999999997</v>
      </c>
      <c r="K23" s="400"/>
      <c r="L23" s="20">
        <v>1664.1999999999998</v>
      </c>
      <c r="M23" s="400"/>
      <c r="N23" s="20">
        <v>1450.8000000000002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1169.5999999999999</v>
      </c>
      <c r="G24" s="401"/>
      <c r="H24" s="21">
        <v>1161.9000000000001</v>
      </c>
      <c r="I24" s="401"/>
      <c r="J24" s="21">
        <v>1409.3</v>
      </c>
      <c r="K24" s="401"/>
      <c r="L24" s="21">
        <v>1331</v>
      </c>
      <c r="M24" s="401"/>
      <c r="N24" s="21">
        <v>1105.7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537</v>
      </c>
      <c r="G25" s="402"/>
      <c r="H25" s="67">
        <v>542.50000000000023</v>
      </c>
      <c r="I25" s="402"/>
      <c r="J25" s="67">
        <v>293.49999999999977</v>
      </c>
      <c r="K25" s="402"/>
      <c r="L25" s="67">
        <v>333.19999999999982</v>
      </c>
      <c r="M25" s="402"/>
      <c r="N25" s="67">
        <v>345.10000000000014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日別の需給状況・再エネ出力抑制の必要性（2023年6月）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E512-3D82-49D1-B0AB-7206A41E09DE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190</v>
      </c>
      <c r="O2" s="366"/>
    </row>
    <row r="3" spans="2:15" ht="16.5" thickBot="1">
      <c r="B3" s="3"/>
      <c r="C3" s="372" t="s">
        <v>3</v>
      </c>
      <c r="D3" s="373"/>
      <c r="E3" s="374"/>
      <c r="F3" s="25">
        <v>45092</v>
      </c>
      <c r="G3" s="26" t="s">
        <v>48</v>
      </c>
      <c r="H3" s="25">
        <v>45093</v>
      </c>
      <c r="I3" s="26" t="s">
        <v>48</v>
      </c>
      <c r="J3" s="25">
        <v>45094</v>
      </c>
      <c r="K3" s="26" t="s">
        <v>48</v>
      </c>
      <c r="L3" s="25">
        <v>45096</v>
      </c>
      <c r="M3" s="26" t="s">
        <v>48</v>
      </c>
      <c r="N3" s="25"/>
      <c r="O3" s="26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192</v>
      </c>
      <c r="O4" s="7" t="s">
        <v>193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173.5</v>
      </c>
      <c r="G5" s="384" t="s">
        <v>45</v>
      </c>
      <c r="H5" s="9">
        <v>78.8</v>
      </c>
      <c r="I5" s="384" t="s">
        <v>45</v>
      </c>
      <c r="J5" s="9">
        <v>80.900000000000006</v>
      </c>
      <c r="K5" s="384" t="s">
        <v>45</v>
      </c>
      <c r="L5" s="9">
        <v>78.400000000000006</v>
      </c>
      <c r="M5" s="384" t="s">
        <v>45</v>
      </c>
      <c r="N5" s="9"/>
      <c r="O5" s="384" t="s">
        <v>195</v>
      </c>
    </row>
    <row r="6" spans="2:15" ht="16">
      <c r="B6" s="376"/>
      <c r="C6" s="379"/>
      <c r="D6" s="34" t="s">
        <v>12</v>
      </c>
      <c r="E6" s="319" t="s">
        <v>196</v>
      </c>
      <c r="F6" s="10">
        <v>137.4</v>
      </c>
      <c r="G6" s="385"/>
      <c r="H6" s="10">
        <v>138.30000000000001</v>
      </c>
      <c r="I6" s="385"/>
      <c r="J6" s="10">
        <v>126.3</v>
      </c>
      <c r="K6" s="385"/>
      <c r="L6" s="10">
        <v>138.30000000000001</v>
      </c>
      <c r="M6" s="385"/>
      <c r="N6" s="10"/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321.8</v>
      </c>
      <c r="G7" s="385"/>
      <c r="H7" s="28">
        <v>321.8</v>
      </c>
      <c r="I7" s="385"/>
      <c r="J7" s="28">
        <v>321.7</v>
      </c>
      <c r="K7" s="385"/>
      <c r="L7" s="28">
        <v>321.60000000000002</v>
      </c>
      <c r="M7" s="385"/>
      <c r="N7" s="28"/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75.3</v>
      </c>
      <c r="G8" s="385"/>
      <c r="H8" s="29">
        <v>69.400000000000006</v>
      </c>
      <c r="I8" s="385"/>
      <c r="J8" s="29">
        <v>65.40000000000002</v>
      </c>
      <c r="K8" s="385"/>
      <c r="L8" s="29">
        <v>48.2</v>
      </c>
      <c r="M8" s="385"/>
      <c r="N8" s="29"/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13.8</v>
      </c>
      <c r="G9" s="385"/>
      <c r="H9" s="30">
        <v>13.8</v>
      </c>
      <c r="I9" s="385"/>
      <c r="J9" s="30">
        <v>13.8</v>
      </c>
      <c r="K9" s="385"/>
      <c r="L9" s="30">
        <v>16.100000000000001</v>
      </c>
      <c r="M9" s="385"/>
      <c r="N9" s="30"/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25.9</v>
      </c>
      <c r="G10" s="385"/>
      <c r="H10" s="11">
        <v>26.9</v>
      </c>
      <c r="I10" s="385"/>
      <c r="J10" s="11">
        <v>28.2</v>
      </c>
      <c r="K10" s="385"/>
      <c r="L10" s="11">
        <v>23.4</v>
      </c>
      <c r="M10" s="385"/>
      <c r="N10" s="11"/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20</v>
      </c>
      <c r="G11" s="385"/>
      <c r="H11" s="12">
        <v>18.100000000000001</v>
      </c>
      <c r="I11" s="385"/>
      <c r="J11" s="12">
        <v>18.3</v>
      </c>
      <c r="K11" s="385"/>
      <c r="L11" s="12">
        <v>18.100000000000001</v>
      </c>
      <c r="M11" s="385"/>
      <c r="N11" s="12"/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863.9</v>
      </c>
      <c r="G12" s="385"/>
      <c r="H12" s="13">
        <v>933.7</v>
      </c>
      <c r="I12" s="385"/>
      <c r="J12" s="13">
        <v>652.20000000000005</v>
      </c>
      <c r="K12" s="385"/>
      <c r="L12" s="13">
        <v>987.3</v>
      </c>
      <c r="M12" s="385"/>
      <c r="N12" s="13"/>
      <c r="O12" s="385"/>
    </row>
    <row r="13" spans="2:15" ht="16">
      <c r="B13" s="376"/>
      <c r="C13" s="379"/>
      <c r="D13" s="388"/>
      <c r="E13" s="45" t="s">
        <v>27</v>
      </c>
      <c r="F13" s="13">
        <v>2.6</v>
      </c>
      <c r="G13" s="385"/>
      <c r="H13" s="13">
        <v>2.4</v>
      </c>
      <c r="I13" s="385"/>
      <c r="J13" s="13">
        <v>4.5</v>
      </c>
      <c r="K13" s="385"/>
      <c r="L13" s="13">
        <v>4.5999999999999996</v>
      </c>
      <c r="M13" s="385"/>
      <c r="N13" s="13"/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180.1</v>
      </c>
      <c r="G14" s="385"/>
      <c r="H14" s="14">
        <v>84.3</v>
      </c>
      <c r="I14" s="385"/>
      <c r="J14" s="14">
        <v>314</v>
      </c>
      <c r="K14" s="385"/>
      <c r="L14" s="14">
        <v>30.7</v>
      </c>
      <c r="M14" s="385"/>
      <c r="N14" s="14"/>
      <c r="O14" s="385"/>
    </row>
    <row r="15" spans="2:15" ht="16.5" thickBot="1">
      <c r="B15" s="376"/>
      <c r="C15" s="380"/>
      <c r="D15" s="389" t="s">
        <v>28</v>
      </c>
      <c r="E15" s="390"/>
      <c r="F15" s="15">
        <v>1814.2999999999997</v>
      </c>
      <c r="G15" s="385"/>
      <c r="H15" s="15">
        <v>1687.5000000000002</v>
      </c>
      <c r="I15" s="385"/>
      <c r="J15" s="15">
        <v>1625.3</v>
      </c>
      <c r="K15" s="385"/>
      <c r="L15" s="15">
        <v>1666.7</v>
      </c>
      <c r="M15" s="385"/>
      <c r="N15" s="15">
        <f>SUM(N5:N14)</f>
        <v>0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1067.5</v>
      </c>
      <c r="G16" s="385"/>
      <c r="H16" s="8">
        <v>1055</v>
      </c>
      <c r="I16" s="385"/>
      <c r="J16" s="8">
        <v>930.9</v>
      </c>
      <c r="K16" s="385"/>
      <c r="L16" s="8">
        <v>1035</v>
      </c>
      <c r="M16" s="385"/>
      <c r="N16" s="8"/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J17" s="16">
        <v>-186.7</v>
      </c>
      <c r="K17" s="385"/>
      <c r="L17" s="16">
        <v>-186.7</v>
      </c>
      <c r="M17" s="385"/>
      <c r="N17" s="16"/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/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-254</v>
      </c>
      <c r="G19" s="385"/>
      <c r="H19" s="18">
        <v>-254</v>
      </c>
      <c r="I19" s="385"/>
      <c r="J19" s="18">
        <v>-172.3</v>
      </c>
      <c r="K19" s="385"/>
      <c r="L19" s="18">
        <v>-254</v>
      </c>
      <c r="M19" s="385"/>
      <c r="N19" s="18"/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/>
      <c r="O20" s="385"/>
    </row>
    <row r="21" spans="2:15" ht="16.5" thickBot="1">
      <c r="B21" s="377"/>
      <c r="C21" s="393"/>
      <c r="D21" s="398" t="s">
        <v>34</v>
      </c>
      <c r="E21" s="399"/>
      <c r="F21" s="27">
        <v>1513.2</v>
      </c>
      <c r="G21" s="386"/>
      <c r="H21" s="27">
        <v>1500.7</v>
      </c>
      <c r="I21" s="386"/>
      <c r="J21" s="27">
        <v>1294.8999999999999</v>
      </c>
      <c r="K21" s="386"/>
      <c r="L21" s="27">
        <v>1480.7</v>
      </c>
      <c r="M21" s="386"/>
      <c r="N21" s="27">
        <f>SUM(N16,-N17,-N18,-N19,-N20)</f>
        <v>0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192</v>
      </c>
      <c r="O22" s="7" t="s">
        <v>193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1814.2999999999997</v>
      </c>
      <c r="G23" s="400"/>
      <c r="H23" s="20">
        <v>1687.5000000000002</v>
      </c>
      <c r="I23" s="400"/>
      <c r="J23" s="20">
        <v>1625.3</v>
      </c>
      <c r="K23" s="400"/>
      <c r="L23" s="20">
        <v>1666.7</v>
      </c>
      <c r="M23" s="400"/>
      <c r="N23" s="20">
        <f>SUM(N15)</f>
        <v>0</v>
      </c>
      <c r="O23" s="400"/>
    </row>
    <row r="24" spans="2:15" ht="16">
      <c r="B24" s="409"/>
      <c r="C24" s="403" t="s">
        <v>37</v>
      </c>
      <c r="D24" s="404"/>
      <c r="E24" s="405"/>
      <c r="F24" s="21">
        <v>1513.2</v>
      </c>
      <c r="G24" s="401"/>
      <c r="H24" s="21">
        <v>1500.7</v>
      </c>
      <c r="I24" s="401"/>
      <c r="J24" s="21">
        <v>1294.8999999999999</v>
      </c>
      <c r="K24" s="401"/>
      <c r="L24" s="21">
        <v>1480.7</v>
      </c>
      <c r="M24" s="401"/>
      <c r="N24" s="21">
        <f>SUM(N21)</f>
        <v>0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301.09999999999968</v>
      </c>
      <c r="G25" s="402"/>
      <c r="H25" s="67">
        <v>186.80000000000018</v>
      </c>
      <c r="I25" s="402"/>
      <c r="J25" s="67">
        <v>330.40000000000009</v>
      </c>
      <c r="K25" s="402"/>
      <c r="L25" s="67">
        <v>186</v>
      </c>
      <c r="M25" s="402"/>
      <c r="N25" s="67">
        <f>SUM(N23,-N24)</f>
        <v>0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日別の需給状況・再エネ出力抑制の必要性（2023年6月）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CED4-7AA9-43AF-9C8D-2480192BD116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45080</v>
      </c>
      <c r="G3" s="418"/>
      <c r="H3" s="418"/>
      <c r="I3" s="419"/>
      <c r="J3" s="417">
        <v>45081</v>
      </c>
      <c r="K3" s="418"/>
      <c r="L3" s="418"/>
      <c r="M3" s="419"/>
      <c r="N3" s="417">
        <v>45084</v>
      </c>
      <c r="O3" s="418"/>
      <c r="P3" s="418"/>
      <c r="Q3" s="419"/>
      <c r="R3" s="417">
        <v>45086</v>
      </c>
      <c r="S3" s="418"/>
      <c r="T3" s="418"/>
      <c r="U3" s="419"/>
      <c r="V3" s="417">
        <v>45088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v>0</v>
      </c>
      <c r="I5" s="219"/>
      <c r="J5" s="166">
        <v>15.7</v>
      </c>
      <c r="K5" s="165">
        <v>15.7</v>
      </c>
      <c r="L5" s="164">
        <v>0</v>
      </c>
      <c r="M5" s="219"/>
      <c r="N5" s="166">
        <v>15.7</v>
      </c>
      <c r="O5" s="165">
        <v>15.7</v>
      </c>
      <c r="P5" s="164">
        <v>0</v>
      </c>
      <c r="Q5" s="219"/>
      <c r="R5" s="166">
        <v>15.7</v>
      </c>
      <c r="S5" s="165">
        <v>15.7</v>
      </c>
      <c r="T5" s="164">
        <v>0</v>
      </c>
      <c r="U5" s="219"/>
      <c r="V5" s="166">
        <v>15.7</v>
      </c>
      <c r="W5" s="165">
        <v>15.7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8.8000000000000007</v>
      </c>
      <c r="O6" s="165">
        <v>8.8000000000000007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V6" s="166">
        <v>8.8000000000000007</v>
      </c>
      <c r="W6" s="165">
        <v>8.8000000000000007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36.5</v>
      </c>
      <c r="G8" s="216">
        <v>50.800000000000004</v>
      </c>
      <c r="H8" s="215">
        <v>14.300000000000004</v>
      </c>
      <c r="I8" s="214" t="s">
        <v>150</v>
      </c>
      <c r="J8" s="217">
        <v>35</v>
      </c>
      <c r="K8" s="216">
        <v>49.300000000000004</v>
      </c>
      <c r="L8" s="215">
        <v>14.300000000000004</v>
      </c>
      <c r="M8" s="214" t="s">
        <v>173</v>
      </c>
      <c r="N8" s="217">
        <v>38.9</v>
      </c>
      <c r="O8" s="216">
        <v>53.2</v>
      </c>
      <c r="P8" s="215">
        <v>14.300000000000004</v>
      </c>
      <c r="Q8" s="214" t="s">
        <v>173</v>
      </c>
      <c r="R8" s="217">
        <v>38.599999999999994</v>
      </c>
      <c r="S8" s="216">
        <v>52.900000000000006</v>
      </c>
      <c r="T8" s="215">
        <v>14.300000000000011</v>
      </c>
      <c r="U8" s="214" t="s">
        <v>173</v>
      </c>
      <c r="V8" s="217">
        <v>35.200000000000003</v>
      </c>
      <c r="W8" s="216">
        <v>49.5</v>
      </c>
      <c r="X8" s="215">
        <v>14.299999999999997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61</v>
      </c>
      <c r="G9" s="187">
        <v>75.300000000000011</v>
      </c>
      <c r="H9" s="187">
        <v>14.300000000000004</v>
      </c>
      <c r="I9" s="213" t="s">
        <v>81</v>
      </c>
      <c r="J9" s="188">
        <v>59.5</v>
      </c>
      <c r="K9" s="187">
        <v>73.800000000000011</v>
      </c>
      <c r="L9" s="187">
        <v>14.300000000000004</v>
      </c>
      <c r="M9" s="213" t="s">
        <v>81</v>
      </c>
      <c r="N9" s="188">
        <v>63.4</v>
      </c>
      <c r="O9" s="187">
        <v>77.7</v>
      </c>
      <c r="P9" s="187">
        <v>14.300000000000004</v>
      </c>
      <c r="Q9" s="213" t="s">
        <v>81</v>
      </c>
      <c r="R9" s="188">
        <v>63.099999999999994</v>
      </c>
      <c r="S9" s="187">
        <v>77.400000000000006</v>
      </c>
      <c r="T9" s="187">
        <v>14.300000000000011</v>
      </c>
      <c r="U9" s="213" t="s">
        <v>81</v>
      </c>
      <c r="V9" s="188">
        <v>59.7</v>
      </c>
      <c r="W9" s="187">
        <v>74</v>
      </c>
      <c r="X9" s="187">
        <v>14.299999999999997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45080</v>
      </c>
      <c r="G11" s="433"/>
      <c r="H11" s="433"/>
      <c r="I11" s="434"/>
      <c r="J11" s="432">
        <v>45081</v>
      </c>
      <c r="K11" s="433"/>
      <c r="L11" s="433"/>
      <c r="M11" s="434"/>
      <c r="N11" s="432">
        <v>45084</v>
      </c>
      <c r="O11" s="433"/>
      <c r="P11" s="433"/>
      <c r="Q11" s="434"/>
      <c r="R11" s="432">
        <v>45086</v>
      </c>
      <c r="S11" s="433"/>
      <c r="T11" s="433"/>
      <c r="U11" s="434"/>
      <c r="V11" s="432">
        <v>45088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149</v>
      </c>
      <c r="J16" s="166">
        <v>-32.5</v>
      </c>
      <c r="K16" s="165">
        <v>0</v>
      </c>
      <c r="L16" s="164">
        <v>32.5</v>
      </c>
      <c r="M16" s="189" t="s">
        <v>145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>
        <v>-32.5</v>
      </c>
      <c r="W16" s="165">
        <v>0</v>
      </c>
      <c r="X16" s="164">
        <v>32.5</v>
      </c>
      <c r="Y16" s="189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>
        <v>-34</v>
      </c>
      <c r="W17" s="165">
        <v>0</v>
      </c>
      <c r="X17" s="164">
        <v>34</v>
      </c>
      <c r="Y17" s="212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173</v>
      </c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0</v>
      </c>
      <c r="P18" s="164">
        <v>34</v>
      </c>
      <c r="Q18" s="189" t="s">
        <v>145</v>
      </c>
      <c r="R18" s="166">
        <v>-34</v>
      </c>
      <c r="S18" s="165">
        <v>0</v>
      </c>
      <c r="T18" s="164">
        <v>34</v>
      </c>
      <c r="U18" s="189" t="s">
        <v>173</v>
      </c>
      <c r="V18" s="166">
        <v>-34</v>
      </c>
      <c r="W18" s="323">
        <v>0</v>
      </c>
      <c r="X18" s="164">
        <v>0</v>
      </c>
      <c r="Y18" s="189" t="s">
        <v>173</v>
      </c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173</v>
      </c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0</v>
      </c>
      <c r="T19" s="164">
        <v>34</v>
      </c>
      <c r="U19" s="189" t="s">
        <v>173</v>
      </c>
      <c r="V19" s="166">
        <v>-34</v>
      </c>
      <c r="W19" s="323">
        <v>0</v>
      </c>
      <c r="X19" s="164">
        <v>0</v>
      </c>
      <c r="Y19" s="189" t="s">
        <v>173</v>
      </c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189" t="s">
        <v>173</v>
      </c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0</v>
      </c>
      <c r="T20" s="164">
        <v>34</v>
      </c>
      <c r="U20" s="189" t="s">
        <v>173</v>
      </c>
      <c r="V20" s="166">
        <v>-34</v>
      </c>
      <c r="W20" s="323">
        <v>0</v>
      </c>
      <c r="X20" s="164">
        <v>0</v>
      </c>
      <c r="Y20" s="189" t="s">
        <v>173</v>
      </c>
    </row>
    <row r="21" spans="3:25" ht="16.5" thickBot="1">
      <c r="C21" s="441"/>
      <c r="D21" s="427" t="s">
        <v>101</v>
      </c>
      <c r="E21" s="428"/>
      <c r="F21" s="188">
        <v>-253.2</v>
      </c>
      <c r="G21" s="187">
        <v>-84.7</v>
      </c>
      <c r="H21" s="187">
        <v>168.5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-152.69999999999999</v>
      </c>
      <c r="P21" s="187">
        <v>100.5</v>
      </c>
      <c r="Q21" s="186" t="s">
        <v>81</v>
      </c>
      <c r="R21" s="188">
        <v>-253.2</v>
      </c>
      <c r="S21" s="187">
        <v>-84.7</v>
      </c>
      <c r="T21" s="187">
        <v>168.5</v>
      </c>
      <c r="U21" s="186" t="s">
        <v>81</v>
      </c>
      <c r="V21" s="188">
        <v>-253.2</v>
      </c>
      <c r="W21" s="187">
        <f>SUM(W13:W20)</f>
        <v>-84.7</v>
      </c>
      <c r="X21" s="187">
        <v>66.5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45080</v>
      </c>
      <c r="G23" s="433"/>
      <c r="H23" s="433"/>
      <c r="I23" s="434"/>
      <c r="J23" s="432">
        <v>45081</v>
      </c>
      <c r="K23" s="433"/>
      <c r="L23" s="433"/>
      <c r="M23" s="434"/>
      <c r="N23" s="432">
        <v>45084</v>
      </c>
      <c r="O23" s="433"/>
      <c r="P23" s="433"/>
      <c r="Q23" s="434"/>
      <c r="R23" s="432">
        <v>45086</v>
      </c>
      <c r="S23" s="433"/>
      <c r="T23" s="433"/>
      <c r="U23" s="434"/>
      <c r="V23" s="432">
        <v>45088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45080</v>
      </c>
      <c r="G27" s="433"/>
      <c r="H27" s="433"/>
      <c r="I27" s="434"/>
      <c r="J27" s="432">
        <v>45081</v>
      </c>
      <c r="K27" s="433"/>
      <c r="L27" s="433"/>
      <c r="M27" s="434"/>
      <c r="N27" s="432">
        <v>45084</v>
      </c>
      <c r="O27" s="433"/>
      <c r="P27" s="433"/>
      <c r="Q27" s="434"/>
      <c r="R27" s="432">
        <v>45086</v>
      </c>
      <c r="S27" s="433"/>
      <c r="T27" s="433"/>
      <c r="U27" s="434"/>
      <c r="V27" s="432">
        <v>45088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46.4</v>
      </c>
      <c r="T29" s="457">
        <v>2.6000000000000014</v>
      </c>
      <c r="U29" s="459" t="s">
        <v>149</v>
      </c>
      <c r="V29" s="200">
        <v>43.8</v>
      </c>
      <c r="W29" s="455">
        <v>43.8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43.6</v>
      </c>
      <c r="G33" s="199">
        <v>23.3</v>
      </c>
      <c r="H33" s="457">
        <v>-20.3</v>
      </c>
      <c r="I33" s="459" t="s">
        <v>146</v>
      </c>
      <c r="J33" s="200">
        <v>43.6</v>
      </c>
      <c r="K33" s="199">
        <v>25.3</v>
      </c>
      <c r="L33" s="457">
        <v>-18.3</v>
      </c>
      <c r="M33" s="459" t="s">
        <v>154</v>
      </c>
      <c r="N33" s="200">
        <v>43.6</v>
      </c>
      <c r="O33" s="199">
        <v>36.700000000000003</v>
      </c>
      <c r="P33" s="457">
        <v>-6.8999999999999986</v>
      </c>
      <c r="Q33" s="459" t="s">
        <v>154</v>
      </c>
      <c r="R33" s="200">
        <v>49.2</v>
      </c>
      <c r="S33" s="199">
        <v>46.1</v>
      </c>
      <c r="T33" s="457">
        <v>-3.1000000000000014</v>
      </c>
      <c r="U33" s="459" t="s">
        <v>154</v>
      </c>
      <c r="V33" s="200">
        <v>49.2</v>
      </c>
      <c r="W33" s="199">
        <v>25.4</v>
      </c>
      <c r="X33" s="457">
        <v>-23.800000000000004</v>
      </c>
      <c r="Y33" s="459" t="s">
        <v>154</v>
      </c>
    </row>
    <row r="34" spans="3:25" ht="16">
      <c r="C34" s="451"/>
      <c r="D34" s="467"/>
      <c r="E34" s="463" t="s">
        <v>104</v>
      </c>
      <c r="F34" s="198">
        <v>0.24</v>
      </c>
      <c r="G34" s="197">
        <v>0.13</v>
      </c>
      <c r="H34" s="458"/>
      <c r="I34" s="460"/>
      <c r="J34" s="198">
        <v>0.24</v>
      </c>
      <c r="K34" s="197">
        <v>0.14000000000000001</v>
      </c>
      <c r="L34" s="458"/>
      <c r="M34" s="460"/>
      <c r="N34" s="198">
        <v>0.24</v>
      </c>
      <c r="O34" s="197">
        <v>0.21</v>
      </c>
      <c r="P34" s="458"/>
      <c r="Q34" s="460"/>
      <c r="R34" s="198">
        <v>0.26</v>
      </c>
      <c r="S34" s="197">
        <v>0.24</v>
      </c>
      <c r="T34" s="458"/>
      <c r="U34" s="460"/>
      <c r="V34" s="198">
        <v>0.26</v>
      </c>
      <c r="W34" s="197">
        <v>0.13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0.7</v>
      </c>
      <c r="H37" s="164">
        <v>-12.3</v>
      </c>
      <c r="I37" s="189" t="s">
        <v>147</v>
      </c>
      <c r="J37" s="166">
        <v>13</v>
      </c>
      <c r="K37" s="165">
        <v>0.7</v>
      </c>
      <c r="L37" s="164">
        <v>-12.3</v>
      </c>
      <c r="M37" s="189" t="s">
        <v>170</v>
      </c>
      <c r="N37" s="166">
        <v>13</v>
      </c>
      <c r="O37" s="165">
        <v>0.9</v>
      </c>
      <c r="P37" s="164">
        <v>-12.1</v>
      </c>
      <c r="Q37" s="189" t="s">
        <v>170</v>
      </c>
      <c r="R37" s="166">
        <v>13</v>
      </c>
      <c r="S37" s="165">
        <v>0.6</v>
      </c>
      <c r="T37" s="164">
        <v>-12.4</v>
      </c>
      <c r="U37" s="189" t="s">
        <v>170</v>
      </c>
      <c r="V37" s="166">
        <v>13</v>
      </c>
      <c r="W37" s="165">
        <v>0.4</v>
      </c>
      <c r="X37" s="164">
        <v>-12.6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154.79999999999998</v>
      </c>
      <c r="G38" s="187">
        <v>122.19999999999999</v>
      </c>
      <c r="H38" s="187">
        <v>-32.6</v>
      </c>
      <c r="I38" s="186"/>
      <c r="J38" s="188">
        <v>154.79999999999998</v>
      </c>
      <c r="K38" s="187">
        <v>124.19999999999999</v>
      </c>
      <c r="L38" s="187">
        <v>-30.6</v>
      </c>
      <c r="M38" s="186"/>
      <c r="N38" s="188">
        <v>154.79999999999998</v>
      </c>
      <c r="O38" s="187">
        <v>135.79999999999998</v>
      </c>
      <c r="P38" s="187">
        <v>-19</v>
      </c>
      <c r="Q38" s="186"/>
      <c r="R38" s="188">
        <v>160.39999999999998</v>
      </c>
      <c r="S38" s="187">
        <v>147.5</v>
      </c>
      <c r="T38" s="187">
        <v>-12.9</v>
      </c>
      <c r="U38" s="186"/>
      <c r="V38" s="188">
        <v>160.39999999999998</v>
      </c>
      <c r="W38" s="187">
        <v>124</v>
      </c>
      <c r="X38" s="187">
        <v>-36.400000000000006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45080</v>
      </c>
      <c r="G40" s="470"/>
      <c r="H40" s="470"/>
      <c r="I40" s="471"/>
      <c r="J40" s="469">
        <v>45081</v>
      </c>
      <c r="K40" s="470"/>
      <c r="L40" s="470"/>
      <c r="M40" s="471"/>
      <c r="N40" s="469">
        <v>45084</v>
      </c>
      <c r="O40" s="470"/>
      <c r="P40" s="470"/>
      <c r="Q40" s="471"/>
      <c r="R40" s="469">
        <v>45086</v>
      </c>
      <c r="S40" s="470"/>
      <c r="T40" s="470"/>
      <c r="U40" s="471"/>
      <c r="V40" s="469">
        <v>45088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8.6</v>
      </c>
      <c r="G42" s="478">
        <v>8.6</v>
      </c>
      <c r="H42" s="457">
        <v>0</v>
      </c>
      <c r="I42" s="459"/>
      <c r="J42" s="178">
        <v>35.799999999999997</v>
      </c>
      <c r="K42" s="478">
        <v>0</v>
      </c>
      <c r="L42" s="457">
        <v>-35.799999999999997</v>
      </c>
      <c r="M42" s="459" t="s">
        <v>151</v>
      </c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474"/>
      <c r="D43" s="475"/>
      <c r="E43" s="477"/>
      <c r="F43" s="183">
        <v>202</v>
      </c>
      <c r="G43" s="479"/>
      <c r="H43" s="480"/>
      <c r="I43" s="481"/>
      <c r="J43" s="183">
        <v>201</v>
      </c>
      <c r="K43" s="479"/>
      <c r="L43" s="480"/>
      <c r="M43" s="481"/>
      <c r="N43" s="183">
        <v>254</v>
      </c>
      <c r="O43" s="479"/>
      <c r="P43" s="480"/>
      <c r="Q43" s="481"/>
      <c r="R43" s="183">
        <v>254</v>
      </c>
      <c r="S43" s="479"/>
      <c r="T43" s="480"/>
      <c r="U43" s="481"/>
      <c r="V43" s="183">
        <v>201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45080</v>
      </c>
      <c r="G45" s="470"/>
      <c r="H45" s="470"/>
      <c r="I45" s="471"/>
      <c r="J45" s="469">
        <v>45081</v>
      </c>
      <c r="K45" s="470"/>
      <c r="L45" s="470"/>
      <c r="M45" s="471"/>
      <c r="N45" s="469">
        <v>45084</v>
      </c>
      <c r="O45" s="470"/>
      <c r="P45" s="470"/>
      <c r="Q45" s="471"/>
      <c r="R45" s="469">
        <v>45086</v>
      </c>
      <c r="S45" s="470"/>
      <c r="T45" s="470"/>
      <c r="U45" s="471"/>
      <c r="V45" s="469">
        <v>45088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20.8</v>
      </c>
      <c r="G47" s="478">
        <v>21</v>
      </c>
      <c r="H47" s="457">
        <v>0.19999999999999929</v>
      </c>
      <c r="I47" s="459" t="s">
        <v>149</v>
      </c>
      <c r="J47" s="178">
        <v>20.8</v>
      </c>
      <c r="K47" s="478">
        <v>21.5</v>
      </c>
      <c r="L47" s="457">
        <v>0.69999999999999929</v>
      </c>
      <c r="M47" s="459" t="s">
        <v>145</v>
      </c>
      <c r="N47" s="178">
        <v>20.8</v>
      </c>
      <c r="O47" s="478">
        <v>23.6</v>
      </c>
      <c r="P47" s="457">
        <v>2.8000000000000007</v>
      </c>
      <c r="Q47" s="459" t="s">
        <v>150</v>
      </c>
      <c r="R47" s="178">
        <v>20.8</v>
      </c>
      <c r="S47" s="478">
        <v>25.8</v>
      </c>
      <c r="T47" s="457">
        <v>5</v>
      </c>
      <c r="U47" s="459" t="s">
        <v>173</v>
      </c>
      <c r="V47" s="178">
        <v>20.8</v>
      </c>
      <c r="W47" s="478">
        <v>23.6</v>
      </c>
      <c r="X47" s="457">
        <v>2.8000000000000007</v>
      </c>
      <c r="Y47" s="459" t="s">
        <v>173</v>
      </c>
    </row>
    <row r="48" spans="3:25" ht="16.5" thickBot="1">
      <c r="C48" s="486"/>
      <c r="D48" s="487"/>
      <c r="E48" s="489"/>
      <c r="F48" s="177">
        <v>0.59</v>
      </c>
      <c r="G48" s="479"/>
      <c r="H48" s="480"/>
      <c r="I48" s="481"/>
      <c r="J48" s="177">
        <v>0.59</v>
      </c>
      <c r="K48" s="479"/>
      <c r="L48" s="480"/>
      <c r="M48" s="481"/>
      <c r="N48" s="177">
        <v>0.59</v>
      </c>
      <c r="O48" s="479"/>
      <c r="P48" s="480"/>
      <c r="Q48" s="481"/>
      <c r="R48" s="177">
        <v>0.59</v>
      </c>
      <c r="S48" s="479"/>
      <c r="T48" s="480"/>
      <c r="U48" s="481"/>
      <c r="V48" s="177">
        <v>0.59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45080</v>
      </c>
      <c r="G50" s="470"/>
      <c r="H50" s="470"/>
      <c r="I50" s="471"/>
      <c r="J50" s="469">
        <v>45081</v>
      </c>
      <c r="K50" s="470"/>
      <c r="L50" s="470"/>
      <c r="M50" s="471"/>
      <c r="N50" s="469">
        <v>45084</v>
      </c>
      <c r="O50" s="470"/>
      <c r="P50" s="470"/>
      <c r="Q50" s="471"/>
      <c r="R50" s="469">
        <v>45086</v>
      </c>
      <c r="S50" s="470"/>
      <c r="T50" s="470"/>
      <c r="U50" s="471"/>
      <c r="V50" s="469">
        <v>45088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19.7</v>
      </c>
      <c r="H53" s="223" t="s">
        <v>81</v>
      </c>
      <c r="I53" s="222" t="s">
        <v>201</v>
      </c>
      <c r="J53" s="225">
        <v>0</v>
      </c>
      <c r="K53" s="224">
        <v>19.899999999999999</v>
      </c>
      <c r="L53" s="223" t="s">
        <v>81</v>
      </c>
      <c r="M53" s="222" t="s">
        <v>201</v>
      </c>
      <c r="N53" s="225">
        <v>0</v>
      </c>
      <c r="O53" s="224">
        <v>19.2</v>
      </c>
      <c r="P53" s="223" t="s">
        <v>81</v>
      </c>
      <c r="Q53" s="222" t="s">
        <v>201</v>
      </c>
      <c r="R53" s="225">
        <v>0</v>
      </c>
      <c r="S53" s="224">
        <v>19.600000000000001</v>
      </c>
      <c r="T53" s="223" t="s">
        <v>81</v>
      </c>
      <c r="U53" s="222" t="s">
        <v>201</v>
      </c>
      <c r="V53" s="225">
        <v>0</v>
      </c>
      <c r="W53" s="224">
        <v>20.3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DECC-D02E-49D2-A27C-8F92328A2453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45092</v>
      </c>
      <c r="G3" s="418"/>
      <c r="H3" s="418"/>
      <c r="I3" s="419"/>
      <c r="J3" s="417">
        <v>45093</v>
      </c>
      <c r="K3" s="418"/>
      <c r="L3" s="418"/>
      <c r="M3" s="419"/>
      <c r="N3" s="417">
        <v>45094</v>
      </c>
      <c r="O3" s="418"/>
      <c r="P3" s="418"/>
      <c r="Q3" s="419"/>
      <c r="R3" s="417">
        <v>45096</v>
      </c>
      <c r="S3" s="418"/>
      <c r="T3" s="418"/>
      <c r="U3" s="419"/>
      <c r="V3" s="417"/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28.1</v>
      </c>
      <c r="G5" s="165">
        <v>110.2</v>
      </c>
      <c r="H5" s="164">
        <v>82.1</v>
      </c>
      <c r="I5" s="219" t="s">
        <v>149</v>
      </c>
      <c r="J5" s="166">
        <v>15.7</v>
      </c>
      <c r="K5" s="165">
        <v>15.7</v>
      </c>
      <c r="L5" s="164">
        <v>0</v>
      </c>
      <c r="M5" s="219"/>
      <c r="N5" s="166">
        <v>20.3</v>
      </c>
      <c r="O5" s="165">
        <v>20.3</v>
      </c>
      <c r="P5" s="164">
        <v>0</v>
      </c>
      <c r="Q5" s="219"/>
      <c r="R5" s="166">
        <v>15.7</v>
      </c>
      <c r="S5" s="165">
        <v>15.7</v>
      </c>
      <c r="T5" s="164">
        <v>0</v>
      </c>
      <c r="U5" s="219"/>
      <c r="V5" s="166"/>
      <c r="W5" s="165"/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8.8000000000000007</v>
      </c>
      <c r="O6" s="165">
        <v>8.8000000000000007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V6" s="166"/>
      <c r="W6" s="165"/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/>
      <c r="W7" s="165"/>
      <c r="X7" s="164">
        <f t="shared" ref="X7" si="0">SUM(W7,-V7)</f>
        <v>0</v>
      </c>
      <c r="Y7" s="219"/>
    </row>
    <row r="8" spans="3:25" ht="16">
      <c r="C8" s="423"/>
      <c r="D8" s="426"/>
      <c r="E8" s="218" t="s">
        <v>133</v>
      </c>
      <c r="F8" s="217">
        <v>40.200000000000003</v>
      </c>
      <c r="G8" s="216">
        <v>54.5</v>
      </c>
      <c r="H8" s="215">
        <v>14.299999999999997</v>
      </c>
      <c r="I8" s="214" t="s">
        <v>150</v>
      </c>
      <c r="J8" s="217">
        <v>40</v>
      </c>
      <c r="K8" s="216">
        <v>54.300000000000004</v>
      </c>
      <c r="L8" s="215">
        <v>14.300000000000004</v>
      </c>
      <c r="M8" s="214" t="s">
        <v>150</v>
      </c>
      <c r="N8" s="217">
        <v>37.5</v>
      </c>
      <c r="O8" s="216">
        <v>51.800000000000004</v>
      </c>
      <c r="P8" s="215">
        <v>14.300000000000004</v>
      </c>
      <c r="Q8" s="214" t="s">
        <v>150</v>
      </c>
      <c r="R8" s="217">
        <v>39.599999999999994</v>
      </c>
      <c r="S8" s="216">
        <v>53.900000000000006</v>
      </c>
      <c r="T8" s="215">
        <v>14.300000000000011</v>
      </c>
      <c r="U8" s="214" t="s">
        <v>173</v>
      </c>
      <c r="V8" s="217"/>
      <c r="W8" s="216"/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v>77.100000000000009</v>
      </c>
      <c r="G9" s="187">
        <v>173.5</v>
      </c>
      <c r="H9" s="187">
        <v>96.399999999999991</v>
      </c>
      <c r="I9" s="213" t="s">
        <v>81</v>
      </c>
      <c r="J9" s="188">
        <v>64.5</v>
      </c>
      <c r="K9" s="187">
        <v>78.800000000000011</v>
      </c>
      <c r="L9" s="187">
        <v>14.300000000000004</v>
      </c>
      <c r="M9" s="213" t="s">
        <v>81</v>
      </c>
      <c r="N9" s="188">
        <v>66.599999999999994</v>
      </c>
      <c r="O9" s="187">
        <v>80.900000000000006</v>
      </c>
      <c r="P9" s="187">
        <v>14.300000000000004</v>
      </c>
      <c r="Q9" s="213" t="s">
        <v>81</v>
      </c>
      <c r="R9" s="188">
        <v>64.099999999999994</v>
      </c>
      <c r="S9" s="187">
        <v>78.400000000000006</v>
      </c>
      <c r="T9" s="187">
        <v>14.300000000000011</v>
      </c>
      <c r="U9" s="213" t="s">
        <v>81</v>
      </c>
      <c r="V9" s="188">
        <f>SUM(V5:V8)</f>
        <v>0</v>
      </c>
      <c r="W9" s="187">
        <f>SUM(W5:W8)</f>
        <v>0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45092</v>
      </c>
      <c r="G11" s="433"/>
      <c r="H11" s="433"/>
      <c r="I11" s="434"/>
      <c r="J11" s="432">
        <v>45093</v>
      </c>
      <c r="K11" s="433"/>
      <c r="L11" s="433"/>
      <c r="M11" s="434"/>
      <c r="N11" s="432">
        <v>45094</v>
      </c>
      <c r="O11" s="433"/>
      <c r="P11" s="433"/>
      <c r="Q11" s="434"/>
      <c r="R11" s="432">
        <v>45096</v>
      </c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/>
      <c r="W13" s="165"/>
      <c r="X13" s="164">
        <f>SUM(W13,-V13)</f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/>
      <c r="W14" s="165"/>
      <c r="X14" s="164">
        <f t="shared" ref="X14:X20" si="1">SUM(W14,-V14)</f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/>
      <c r="W15" s="165"/>
      <c r="X15" s="164">
        <f t="shared" si="1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149</v>
      </c>
      <c r="J16" s="166">
        <v>-32.5</v>
      </c>
      <c r="K16" s="165">
        <v>0</v>
      </c>
      <c r="L16" s="164">
        <v>32.5</v>
      </c>
      <c r="M16" s="189" t="s">
        <v>149</v>
      </c>
      <c r="N16" s="166">
        <v>-32.5</v>
      </c>
      <c r="O16" s="165">
        <v>0</v>
      </c>
      <c r="P16" s="164">
        <v>32.5</v>
      </c>
      <c r="Q16" s="189" t="s">
        <v>145</v>
      </c>
      <c r="R16" s="166">
        <v>-32.5</v>
      </c>
      <c r="S16" s="165">
        <v>0</v>
      </c>
      <c r="T16" s="164">
        <v>32.5</v>
      </c>
      <c r="U16" s="189" t="s">
        <v>145</v>
      </c>
      <c r="V16" s="166"/>
      <c r="W16" s="165"/>
      <c r="X16" s="164">
        <f t="shared" si="1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0</v>
      </c>
      <c r="T17" s="164">
        <v>34</v>
      </c>
      <c r="U17" s="212" t="s">
        <v>145</v>
      </c>
      <c r="V17" s="166"/>
      <c r="W17" s="165"/>
      <c r="X17" s="164">
        <f t="shared" si="1"/>
        <v>0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/>
      <c r="W18" s="165"/>
      <c r="X18" s="164">
        <f t="shared" si="1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/>
      <c r="W19" s="165"/>
      <c r="X19" s="164">
        <f t="shared" si="1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/>
      <c r="W20" s="165"/>
      <c r="X20" s="164">
        <f t="shared" si="1"/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f>SUM(V13:V20)</f>
        <v>0</v>
      </c>
      <c r="W21" s="187">
        <f>SUM(W13:W20)</f>
        <v>0</v>
      </c>
      <c r="X21" s="187">
        <f>SUM(X13:X20)</f>
        <v>0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45092</v>
      </c>
      <c r="G23" s="433"/>
      <c r="H23" s="433"/>
      <c r="I23" s="434"/>
      <c r="J23" s="432">
        <v>45093</v>
      </c>
      <c r="K23" s="433"/>
      <c r="L23" s="433"/>
      <c r="M23" s="434"/>
      <c r="N23" s="432">
        <v>45094</v>
      </c>
      <c r="O23" s="433"/>
      <c r="P23" s="433"/>
      <c r="Q23" s="434"/>
      <c r="R23" s="432">
        <v>45096</v>
      </c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/>
      <c r="W25" s="208"/>
      <c r="X25" s="207">
        <f>SUM(W25,-V25)</f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45092</v>
      </c>
      <c r="G27" s="433"/>
      <c r="H27" s="433"/>
      <c r="I27" s="434"/>
      <c r="J27" s="432">
        <v>45093</v>
      </c>
      <c r="K27" s="433"/>
      <c r="L27" s="433"/>
      <c r="M27" s="434"/>
      <c r="N27" s="432">
        <v>45094</v>
      </c>
      <c r="O27" s="433"/>
      <c r="P27" s="433"/>
      <c r="Q27" s="434"/>
      <c r="R27" s="432">
        <v>45096</v>
      </c>
      <c r="S27" s="433"/>
      <c r="T27" s="433"/>
      <c r="U27" s="434"/>
      <c r="V27" s="432"/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/>
      <c r="W29" s="455"/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/>
      <c r="W30" s="456"/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/>
      <c r="W31" s="455"/>
      <c r="X31" s="457">
        <f t="shared" ref="X31" si="2"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/>
      <c r="W32" s="456"/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38.5</v>
      </c>
      <c r="H33" s="457">
        <v>-10.700000000000003</v>
      </c>
      <c r="I33" s="459" t="s">
        <v>146</v>
      </c>
      <c r="J33" s="200">
        <v>49.2</v>
      </c>
      <c r="K33" s="199">
        <v>39.4</v>
      </c>
      <c r="L33" s="457">
        <v>-9.8000000000000043</v>
      </c>
      <c r="M33" s="459" t="s">
        <v>146</v>
      </c>
      <c r="N33" s="200">
        <v>49.2</v>
      </c>
      <c r="O33" s="199">
        <v>27.7</v>
      </c>
      <c r="P33" s="457">
        <v>-21.500000000000004</v>
      </c>
      <c r="Q33" s="459" t="s">
        <v>146</v>
      </c>
      <c r="R33" s="200">
        <v>49.2</v>
      </c>
      <c r="S33" s="199">
        <v>39.700000000000003</v>
      </c>
      <c r="T33" s="457">
        <v>-9.5</v>
      </c>
      <c r="U33" s="459" t="s">
        <v>154</v>
      </c>
      <c r="V33" s="200"/>
      <c r="W33" s="199"/>
      <c r="X33" s="457">
        <f t="shared" ref="X33" si="3">SUM(W33,-V33)</f>
        <v>0</v>
      </c>
      <c r="Y33" s="459"/>
    </row>
    <row r="34" spans="3:25" ht="16">
      <c r="C34" s="451"/>
      <c r="D34" s="467"/>
      <c r="E34" s="463" t="s">
        <v>104</v>
      </c>
      <c r="F34" s="198">
        <v>0.26</v>
      </c>
      <c r="G34" s="197">
        <v>0.2</v>
      </c>
      <c r="H34" s="458"/>
      <c r="I34" s="460"/>
      <c r="J34" s="198">
        <v>0.26</v>
      </c>
      <c r="K34" s="197">
        <v>0.21</v>
      </c>
      <c r="L34" s="458"/>
      <c r="M34" s="460"/>
      <c r="N34" s="198">
        <v>0.26</v>
      </c>
      <c r="O34" s="197">
        <v>0.15</v>
      </c>
      <c r="P34" s="458"/>
      <c r="Q34" s="460"/>
      <c r="R34" s="198">
        <v>0.26</v>
      </c>
      <c r="S34" s="197">
        <v>0.21</v>
      </c>
      <c r="T34" s="458"/>
      <c r="U34" s="460"/>
      <c r="V34" s="198"/>
      <c r="W34" s="230"/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/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/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0.7</v>
      </c>
      <c r="H37" s="164">
        <v>-12.3</v>
      </c>
      <c r="I37" s="189" t="s">
        <v>147</v>
      </c>
      <c r="J37" s="166">
        <v>13</v>
      </c>
      <c r="K37" s="165">
        <v>0.7</v>
      </c>
      <c r="L37" s="164">
        <v>-12.3</v>
      </c>
      <c r="M37" s="189" t="s">
        <v>147</v>
      </c>
      <c r="N37" s="166">
        <v>13</v>
      </c>
      <c r="O37" s="165">
        <v>0.4</v>
      </c>
      <c r="P37" s="164">
        <v>-12.6</v>
      </c>
      <c r="Q37" s="189" t="s">
        <v>147</v>
      </c>
      <c r="R37" s="166">
        <v>13</v>
      </c>
      <c r="S37" s="165">
        <v>0.4</v>
      </c>
      <c r="T37" s="164">
        <v>-12.6</v>
      </c>
      <c r="U37" s="189" t="s">
        <v>170</v>
      </c>
      <c r="V37" s="166"/>
      <c r="W37" s="165"/>
      <c r="X37" s="164">
        <f t="shared" ref="X37" si="4">SUM(W37,-V37)</f>
        <v>0</v>
      </c>
      <c r="Y37" s="189"/>
    </row>
    <row r="38" spans="3:25" ht="16.5" thickBot="1">
      <c r="C38" s="452"/>
      <c r="D38" s="427" t="s">
        <v>101</v>
      </c>
      <c r="E38" s="428"/>
      <c r="F38" s="188">
        <v>160.39999999999998</v>
      </c>
      <c r="G38" s="187">
        <v>137.39999999999998</v>
      </c>
      <c r="H38" s="187">
        <v>-23.000000000000004</v>
      </c>
      <c r="I38" s="186"/>
      <c r="J38" s="188">
        <v>160.39999999999998</v>
      </c>
      <c r="K38" s="187">
        <v>138.29999999999998</v>
      </c>
      <c r="L38" s="187">
        <v>-22.100000000000005</v>
      </c>
      <c r="M38" s="186"/>
      <c r="N38" s="188">
        <v>160.39999999999998</v>
      </c>
      <c r="O38" s="187">
        <v>126.3</v>
      </c>
      <c r="P38" s="187">
        <v>-34.1</v>
      </c>
      <c r="Q38" s="186"/>
      <c r="R38" s="188">
        <v>160.39999999999998</v>
      </c>
      <c r="S38" s="187">
        <v>138.29999999999998</v>
      </c>
      <c r="T38" s="187">
        <v>-22.1</v>
      </c>
      <c r="U38" s="186"/>
      <c r="V38" s="188">
        <f>SUM(V29,V31,V33,V37)</f>
        <v>0</v>
      </c>
      <c r="W38" s="187">
        <f>SUM(W29:W33,W37)</f>
        <v>0</v>
      </c>
      <c r="X38" s="187">
        <f>SUM(X29:X34,X37)</f>
        <v>0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45092</v>
      </c>
      <c r="G40" s="470"/>
      <c r="H40" s="470"/>
      <c r="I40" s="471"/>
      <c r="J40" s="469">
        <v>45093</v>
      </c>
      <c r="K40" s="470"/>
      <c r="L40" s="470"/>
      <c r="M40" s="471"/>
      <c r="N40" s="469">
        <v>45094</v>
      </c>
      <c r="O40" s="470"/>
      <c r="P40" s="470"/>
      <c r="Q40" s="471"/>
      <c r="R40" s="469">
        <v>45096</v>
      </c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29.8</v>
      </c>
      <c r="O42" s="478">
        <v>0</v>
      </c>
      <c r="P42" s="457">
        <v>-29.8</v>
      </c>
      <c r="Q42" s="459" t="s">
        <v>151</v>
      </c>
      <c r="R42" s="178">
        <v>0</v>
      </c>
      <c r="S42" s="478">
        <v>0</v>
      </c>
      <c r="T42" s="457">
        <v>0</v>
      </c>
      <c r="U42" s="459"/>
      <c r="V42" s="178"/>
      <c r="W42" s="478"/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254</v>
      </c>
      <c r="G43" s="479"/>
      <c r="H43" s="480"/>
      <c r="I43" s="481"/>
      <c r="J43" s="183">
        <v>254</v>
      </c>
      <c r="K43" s="479"/>
      <c r="L43" s="480"/>
      <c r="M43" s="481"/>
      <c r="N43" s="183">
        <v>202</v>
      </c>
      <c r="O43" s="479"/>
      <c r="P43" s="480"/>
      <c r="Q43" s="481"/>
      <c r="R43" s="183">
        <v>254</v>
      </c>
      <c r="S43" s="479"/>
      <c r="T43" s="480"/>
      <c r="U43" s="481"/>
      <c r="V43" s="183"/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45092</v>
      </c>
      <c r="G45" s="470"/>
      <c r="H45" s="470"/>
      <c r="I45" s="471"/>
      <c r="J45" s="469">
        <v>45093</v>
      </c>
      <c r="K45" s="470"/>
      <c r="L45" s="470"/>
      <c r="M45" s="471"/>
      <c r="N45" s="469">
        <v>45094</v>
      </c>
      <c r="O45" s="470"/>
      <c r="P45" s="470"/>
      <c r="Q45" s="471"/>
      <c r="R45" s="469">
        <v>45096</v>
      </c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24.8</v>
      </c>
      <c r="G47" s="478">
        <v>25.9</v>
      </c>
      <c r="H47" s="457">
        <v>1.0999999999999979</v>
      </c>
      <c r="I47" s="459" t="s">
        <v>150</v>
      </c>
      <c r="J47" s="178">
        <v>24.8</v>
      </c>
      <c r="K47" s="478">
        <v>26.9</v>
      </c>
      <c r="L47" s="457">
        <v>2.0999999999999979</v>
      </c>
      <c r="M47" s="459" t="s">
        <v>150</v>
      </c>
      <c r="N47" s="178">
        <v>24.8</v>
      </c>
      <c r="O47" s="478">
        <v>28.2</v>
      </c>
      <c r="P47" s="457">
        <v>3.3999999999999986</v>
      </c>
      <c r="Q47" s="459" t="s">
        <v>150</v>
      </c>
      <c r="R47" s="178">
        <v>24.8</v>
      </c>
      <c r="S47" s="478">
        <v>23.4</v>
      </c>
      <c r="T47" s="457">
        <v>-1.4000000000000021</v>
      </c>
      <c r="U47" s="459" t="s">
        <v>154</v>
      </c>
      <c r="V47" s="178"/>
      <c r="W47" s="478"/>
      <c r="X47" s="457">
        <f>SUM(W47,-V47)</f>
        <v>0</v>
      </c>
      <c r="Y47" s="459"/>
    </row>
    <row r="48" spans="3:25" ht="16.5" thickBot="1">
      <c r="C48" s="486"/>
      <c r="D48" s="487"/>
      <c r="E48" s="489"/>
      <c r="F48" s="177">
        <v>0.62</v>
      </c>
      <c r="G48" s="479"/>
      <c r="H48" s="480"/>
      <c r="I48" s="481"/>
      <c r="J48" s="177">
        <v>0.62</v>
      </c>
      <c r="K48" s="479"/>
      <c r="L48" s="480"/>
      <c r="M48" s="481"/>
      <c r="N48" s="177">
        <v>0.62</v>
      </c>
      <c r="O48" s="479"/>
      <c r="P48" s="480"/>
      <c r="Q48" s="481"/>
      <c r="R48" s="177">
        <v>0.62</v>
      </c>
      <c r="S48" s="479"/>
      <c r="T48" s="480"/>
      <c r="U48" s="481"/>
      <c r="V48" s="177"/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45092</v>
      </c>
      <c r="G50" s="470"/>
      <c r="H50" s="470"/>
      <c r="I50" s="471"/>
      <c r="J50" s="469">
        <v>45093</v>
      </c>
      <c r="K50" s="470"/>
      <c r="L50" s="470"/>
      <c r="M50" s="471"/>
      <c r="N50" s="469">
        <v>45094</v>
      </c>
      <c r="O50" s="470"/>
      <c r="P50" s="470"/>
      <c r="Q50" s="471"/>
      <c r="R50" s="469">
        <v>45096</v>
      </c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/>
      <c r="W52" s="165"/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20</v>
      </c>
      <c r="H53" s="223" t="s">
        <v>81</v>
      </c>
      <c r="I53" s="222" t="s">
        <v>201</v>
      </c>
      <c r="J53" s="225">
        <v>0</v>
      </c>
      <c r="K53" s="224">
        <v>18.100000000000001</v>
      </c>
      <c r="L53" s="223" t="s">
        <v>81</v>
      </c>
      <c r="M53" s="222" t="s">
        <v>201</v>
      </c>
      <c r="N53" s="225">
        <v>0</v>
      </c>
      <c r="O53" s="224">
        <v>18.3</v>
      </c>
      <c r="P53" s="223" t="s">
        <v>81</v>
      </c>
      <c r="Q53" s="222" t="s">
        <v>201</v>
      </c>
      <c r="R53" s="225">
        <v>0</v>
      </c>
      <c r="S53" s="224">
        <v>18.100000000000001</v>
      </c>
      <c r="T53" s="223" t="s">
        <v>81</v>
      </c>
      <c r="U53" s="222" t="s">
        <v>201</v>
      </c>
      <c r="V53" s="225"/>
      <c r="W53" s="229"/>
      <c r="X53" s="223" t="s">
        <v>159</v>
      </c>
      <c r="Y53" s="222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85F2-A97A-4A07-905F-BD92923D52B2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9" ht="15.5" thickBot="1">
      <c r="G1" s="32" t="s">
        <v>24</v>
      </c>
      <c r="I1" s="32"/>
    </row>
    <row r="2" spans="2:9" ht="16">
      <c r="B2" s="2"/>
      <c r="C2" s="367" t="s">
        <v>0</v>
      </c>
      <c r="D2" s="368"/>
      <c r="E2" s="369"/>
      <c r="F2" s="365" t="s">
        <v>190</v>
      </c>
      <c r="G2" s="366"/>
    </row>
    <row r="3" spans="2:9" ht="16.5" thickBot="1">
      <c r="B3" s="3"/>
      <c r="C3" s="372" t="s">
        <v>3</v>
      </c>
      <c r="D3" s="373"/>
      <c r="E3" s="374"/>
      <c r="F3" s="25">
        <v>45151</v>
      </c>
      <c r="G3" s="26" t="s">
        <v>49</v>
      </c>
    </row>
    <row r="4" spans="2:9" ht="16.5" thickBot="1">
      <c r="B4" s="31"/>
      <c r="C4" s="4"/>
      <c r="D4" s="4"/>
      <c r="E4" s="4"/>
      <c r="F4" s="5" t="s">
        <v>43</v>
      </c>
      <c r="G4" s="7" t="s">
        <v>44</v>
      </c>
    </row>
    <row r="5" spans="2:9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104.5</v>
      </c>
      <c r="G5" s="384" t="s">
        <v>45</v>
      </c>
    </row>
    <row r="6" spans="2:9" ht="16">
      <c r="B6" s="376"/>
      <c r="C6" s="379"/>
      <c r="D6" s="34" t="s">
        <v>12</v>
      </c>
      <c r="E6" s="319" t="s">
        <v>196</v>
      </c>
      <c r="F6" s="10">
        <v>146.69999999999999</v>
      </c>
      <c r="G6" s="385"/>
    </row>
    <row r="7" spans="2:9" ht="16">
      <c r="B7" s="376"/>
      <c r="C7" s="379"/>
      <c r="D7" s="35" t="s">
        <v>13</v>
      </c>
      <c r="E7" s="36" t="s">
        <v>5</v>
      </c>
      <c r="F7" s="28">
        <v>409.7</v>
      </c>
      <c r="G7" s="385"/>
    </row>
    <row r="8" spans="2:9" ht="16">
      <c r="B8" s="376"/>
      <c r="C8" s="379"/>
      <c r="D8" s="37" t="s">
        <v>14</v>
      </c>
      <c r="E8" s="38" t="s">
        <v>6</v>
      </c>
      <c r="F8" s="29">
        <v>99.3</v>
      </c>
      <c r="G8" s="385"/>
    </row>
    <row r="9" spans="2:9" ht="16">
      <c r="B9" s="376"/>
      <c r="C9" s="379"/>
      <c r="D9" s="39" t="s">
        <v>15</v>
      </c>
      <c r="E9" s="40" t="s">
        <v>7</v>
      </c>
      <c r="F9" s="30">
        <v>15.4</v>
      </c>
      <c r="G9" s="385"/>
    </row>
    <row r="10" spans="2:9" ht="16">
      <c r="B10" s="376"/>
      <c r="C10" s="379"/>
      <c r="D10" s="41" t="s">
        <v>17</v>
      </c>
      <c r="E10" s="42" t="s">
        <v>1</v>
      </c>
      <c r="F10" s="11">
        <v>33.200000000000003</v>
      </c>
      <c r="G10" s="385"/>
    </row>
    <row r="11" spans="2:9" ht="16">
      <c r="B11" s="376"/>
      <c r="C11" s="379"/>
      <c r="D11" s="43" t="s">
        <v>16</v>
      </c>
      <c r="E11" s="44" t="s">
        <v>2</v>
      </c>
      <c r="F11" s="12">
        <v>23.8</v>
      </c>
      <c r="G11" s="385"/>
    </row>
    <row r="12" spans="2:9" ht="16">
      <c r="B12" s="376"/>
      <c r="C12" s="379"/>
      <c r="D12" s="387" t="s">
        <v>18</v>
      </c>
      <c r="E12" s="45" t="s">
        <v>26</v>
      </c>
      <c r="F12" s="13">
        <v>891.5</v>
      </c>
      <c r="G12" s="385"/>
    </row>
    <row r="13" spans="2:9" ht="16">
      <c r="B13" s="376"/>
      <c r="C13" s="379"/>
      <c r="D13" s="388"/>
      <c r="E13" s="45" t="s">
        <v>27</v>
      </c>
      <c r="F13" s="13">
        <v>7.2</v>
      </c>
      <c r="G13" s="385"/>
    </row>
    <row r="14" spans="2:9" ht="16">
      <c r="B14" s="376"/>
      <c r="C14" s="379"/>
      <c r="D14" s="46" t="s">
        <v>19</v>
      </c>
      <c r="E14" s="47" t="s">
        <v>4</v>
      </c>
      <c r="F14" s="14">
        <v>117.5</v>
      </c>
      <c r="G14" s="385"/>
    </row>
    <row r="15" spans="2:9" ht="16.5" thickBot="1">
      <c r="B15" s="376"/>
      <c r="C15" s="380"/>
      <c r="D15" s="389" t="s">
        <v>28</v>
      </c>
      <c r="E15" s="390"/>
      <c r="F15" s="15">
        <v>1848.8</v>
      </c>
      <c r="G15" s="385"/>
    </row>
    <row r="16" spans="2:9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1155</v>
      </c>
      <c r="G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-245</v>
      </c>
      <c r="G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</row>
    <row r="21" spans="2:15" ht="16.5" thickBot="1">
      <c r="B21" s="377"/>
      <c r="C21" s="393"/>
      <c r="D21" s="398" t="s">
        <v>34</v>
      </c>
      <c r="E21" s="399"/>
      <c r="F21" s="27">
        <v>1624.2</v>
      </c>
      <c r="G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1848.8</v>
      </c>
      <c r="G23" s="400"/>
    </row>
    <row r="24" spans="2:15" ht="16">
      <c r="B24" s="409"/>
      <c r="C24" s="403" t="s">
        <v>37</v>
      </c>
      <c r="D24" s="404"/>
      <c r="E24" s="405"/>
      <c r="F24" s="21">
        <v>1624.2</v>
      </c>
      <c r="G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224.59999999999991</v>
      </c>
      <c r="G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17">
    <mergeCell ref="B23:B25"/>
    <mergeCell ref="C23:E23"/>
    <mergeCell ref="G23:G25"/>
    <mergeCell ref="C24:E24"/>
    <mergeCell ref="D25:E25"/>
    <mergeCell ref="C2:E2"/>
    <mergeCell ref="F2:G2"/>
    <mergeCell ref="C3:E3"/>
    <mergeCell ref="B5:B21"/>
    <mergeCell ref="C5:C15"/>
    <mergeCell ref="G5:G21"/>
    <mergeCell ref="D12:D13"/>
    <mergeCell ref="D15:E15"/>
    <mergeCell ref="C16:C21"/>
    <mergeCell ref="D17:D18"/>
    <mergeCell ref="D19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日別の需給状況・再エネ出力抑制の必要性（2023年8月）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A124-C897-4714-8DBA-755FB0E58BBE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0" t="s">
        <v>143</v>
      </c>
      <c r="J2" s="23"/>
      <c r="K2" s="23"/>
      <c r="L2" s="23"/>
      <c r="M2" s="220"/>
      <c r="N2" s="23"/>
      <c r="O2" s="23"/>
      <c r="P2" s="23"/>
      <c r="Q2" s="22"/>
    </row>
    <row r="3" spans="3:25" ht="16.5" thickBot="1">
      <c r="C3" s="514" t="s">
        <v>142</v>
      </c>
      <c r="D3" s="430"/>
      <c r="E3" s="431"/>
      <c r="F3" s="515">
        <v>45151</v>
      </c>
      <c r="G3" s="516"/>
      <c r="H3" s="516"/>
      <c r="I3" s="517"/>
      <c r="M3" s="1"/>
      <c r="Q3" s="1"/>
      <c r="U3" s="1"/>
      <c r="Y3" s="1"/>
    </row>
    <row r="4" spans="3:25" ht="16">
      <c r="C4" s="518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M4" s="1"/>
      <c r="Q4" s="1"/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M5" s="1"/>
      <c r="Q5" s="1"/>
      <c r="U5" s="1"/>
      <c r="Y5" s="1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M6" s="1"/>
      <c r="Q6" s="1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M7" s="1"/>
      <c r="Q7" s="1"/>
      <c r="U7" s="1"/>
      <c r="Y7" s="1"/>
    </row>
    <row r="8" spans="3:25" ht="16">
      <c r="C8" s="520"/>
      <c r="D8" s="426"/>
      <c r="E8" s="218" t="s">
        <v>133</v>
      </c>
      <c r="F8" s="217">
        <v>60.300000000000004</v>
      </c>
      <c r="G8" s="216">
        <v>74.599999999999994</v>
      </c>
      <c r="H8" s="215">
        <v>14.29999999999999</v>
      </c>
      <c r="I8" s="324" t="s">
        <v>150</v>
      </c>
      <c r="M8" s="1"/>
      <c r="Q8" s="1"/>
      <c r="U8" s="1"/>
      <c r="Y8" s="1"/>
    </row>
    <row r="9" spans="3:25" ht="16.5" thickBot="1">
      <c r="C9" s="521"/>
      <c r="D9" s="427" t="s">
        <v>101</v>
      </c>
      <c r="E9" s="428"/>
      <c r="F9" s="188">
        <v>90.2</v>
      </c>
      <c r="G9" s="187">
        <v>104.5</v>
      </c>
      <c r="H9" s="187">
        <v>14.29999999999999</v>
      </c>
      <c r="I9" s="213" t="s">
        <v>81</v>
      </c>
      <c r="M9" s="1"/>
      <c r="Q9" s="1"/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3"/>
      <c r="M10" s="1"/>
      <c r="Q10" s="1"/>
      <c r="U10" s="1"/>
      <c r="Y10" s="1"/>
    </row>
    <row r="11" spans="3:25" ht="16.5" thickBot="1">
      <c r="C11" s="514" t="s">
        <v>132</v>
      </c>
      <c r="D11" s="430"/>
      <c r="E11" s="431"/>
      <c r="F11" s="432">
        <v>45151</v>
      </c>
      <c r="G11" s="433"/>
      <c r="H11" s="433"/>
      <c r="I11" s="434"/>
      <c r="M11" s="1"/>
      <c r="Q11" s="1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M12" s="1"/>
      <c r="Q12" s="1"/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M13" s="1"/>
      <c r="Q13" s="1"/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M14" s="1"/>
      <c r="Q14" s="1"/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M15" s="1"/>
      <c r="Q15" s="1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M16" s="1"/>
      <c r="Q16" s="1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M17" s="1"/>
      <c r="Q17" s="1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M18" s="1"/>
      <c r="Q18" s="1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M19" s="1"/>
      <c r="Q19" s="1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M20" s="1"/>
      <c r="Q20" s="1"/>
      <c r="U20" s="1"/>
      <c r="Y20" s="1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M21" s="1"/>
      <c r="Q21" s="1"/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3"/>
      <c r="M22" s="1"/>
      <c r="Q22" s="1"/>
      <c r="U22" s="1"/>
      <c r="Y22" s="1"/>
    </row>
    <row r="23" spans="3:25" ht="16.5" thickBot="1">
      <c r="C23" s="514" t="s">
        <v>120</v>
      </c>
      <c r="D23" s="430"/>
      <c r="E23" s="431"/>
      <c r="F23" s="432">
        <v>45151</v>
      </c>
      <c r="G23" s="433"/>
      <c r="H23" s="433"/>
      <c r="I23" s="434"/>
      <c r="M23" s="1"/>
      <c r="Q23" s="1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M24" s="1"/>
      <c r="Q24" s="1"/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M25" s="1"/>
      <c r="Q25" s="1"/>
      <c r="U25" s="1"/>
      <c r="Y25" s="1"/>
    </row>
    <row r="26" spans="3:25" ht="15.5" thickBot="1">
      <c r="C26" s="176"/>
      <c r="D26" s="174"/>
      <c r="E26" s="174"/>
      <c r="F26" s="174"/>
      <c r="G26" s="174"/>
      <c r="H26" s="174"/>
      <c r="I26" s="173"/>
      <c r="M26" s="1"/>
      <c r="Q26" s="1"/>
      <c r="U26" s="1"/>
      <c r="Y26" s="1"/>
    </row>
    <row r="27" spans="3:25" ht="16.5" thickBot="1">
      <c r="C27" s="514" t="s">
        <v>116</v>
      </c>
      <c r="D27" s="430"/>
      <c r="E27" s="431"/>
      <c r="F27" s="432">
        <v>45151</v>
      </c>
      <c r="G27" s="433"/>
      <c r="H27" s="433"/>
      <c r="I27" s="434"/>
      <c r="M27" s="1"/>
      <c r="Q27" s="1"/>
      <c r="U27" s="1"/>
      <c r="Y27" s="1"/>
    </row>
    <row r="28" spans="3:25" ht="27" customHeight="1">
      <c r="C28" s="528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M28" s="1"/>
      <c r="Q28" s="1"/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M29" s="1"/>
      <c r="Q29" s="1"/>
      <c r="U29" s="1"/>
      <c r="Y29" s="1"/>
    </row>
    <row r="30" spans="3:25" ht="16">
      <c r="C30" s="528"/>
      <c r="D30" s="443"/>
      <c r="E30" s="454"/>
      <c r="F30" s="202">
        <v>0.47</v>
      </c>
      <c r="G30" s="456">
        <v>0</v>
      </c>
      <c r="H30" s="458"/>
      <c r="I30" s="460"/>
      <c r="M30" s="1"/>
      <c r="Q30" s="1"/>
      <c r="U30" s="1"/>
      <c r="Y30" s="1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M31" s="1"/>
      <c r="Q31" s="1"/>
      <c r="U31" s="1"/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M32" s="1"/>
      <c r="Q32" s="1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49.2</v>
      </c>
      <c r="G33" s="199">
        <v>47.4</v>
      </c>
      <c r="H33" s="457">
        <v>-1.8000000000000043</v>
      </c>
      <c r="I33" s="580" t="s">
        <v>146</v>
      </c>
      <c r="M33" s="1"/>
      <c r="Q33" s="1"/>
      <c r="U33" s="1"/>
      <c r="Y33" s="1"/>
    </row>
    <row r="34" spans="3:25" ht="16">
      <c r="C34" s="528"/>
      <c r="D34" s="467"/>
      <c r="E34" s="463" t="s">
        <v>104</v>
      </c>
      <c r="F34" s="198">
        <v>0.26</v>
      </c>
      <c r="G34" s="197">
        <v>0.25</v>
      </c>
      <c r="H34" s="458"/>
      <c r="I34" s="460"/>
      <c r="M34" s="1"/>
      <c r="Q34" s="1"/>
      <c r="U34" s="1"/>
      <c r="Y34" s="1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M35" s="1"/>
      <c r="Q35" s="1"/>
      <c r="U35" s="1"/>
      <c r="Y35" s="1"/>
    </row>
    <row r="36" spans="3:25" ht="16">
      <c r="C36" s="528"/>
      <c r="D36" s="468"/>
      <c r="E36" s="465"/>
      <c r="F36" s="193">
        <v>0.26</v>
      </c>
      <c r="G36" s="192"/>
      <c r="H36" s="192"/>
      <c r="I36" s="191"/>
      <c r="M36" s="1"/>
      <c r="Q36" s="1"/>
      <c r="U36" s="1"/>
      <c r="Y36" s="1"/>
    </row>
    <row r="37" spans="3:25" ht="16">
      <c r="C37" s="528"/>
      <c r="D37" s="467"/>
      <c r="E37" s="190" t="s">
        <v>103</v>
      </c>
      <c r="F37" s="166">
        <v>13</v>
      </c>
      <c r="G37" s="165">
        <v>1.1000000000000001</v>
      </c>
      <c r="H37" s="164">
        <v>-11.9</v>
      </c>
      <c r="I37" s="212" t="s">
        <v>147</v>
      </c>
      <c r="M37" s="1"/>
      <c r="Q37" s="1"/>
      <c r="U37" s="1"/>
      <c r="Y37" s="1"/>
    </row>
    <row r="38" spans="3:25" ht="16.5" thickBot="1">
      <c r="C38" s="529"/>
      <c r="D38" s="427" t="s">
        <v>101</v>
      </c>
      <c r="E38" s="428"/>
      <c r="F38" s="188">
        <v>160.39999999999998</v>
      </c>
      <c r="G38" s="187">
        <v>146.69999999999999</v>
      </c>
      <c r="H38" s="187">
        <v>-13.700000000000005</v>
      </c>
      <c r="I38" s="186"/>
      <c r="M38" s="1"/>
      <c r="Q38" s="1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3"/>
      <c r="M39" s="1"/>
      <c r="Q39" s="1"/>
      <c r="U39" s="1"/>
      <c r="Y39" s="1"/>
    </row>
    <row r="40" spans="3:25" ht="16.5" thickBot="1">
      <c r="C40" s="514" t="s">
        <v>100</v>
      </c>
      <c r="D40" s="430"/>
      <c r="E40" s="431"/>
      <c r="F40" s="469">
        <v>45151</v>
      </c>
      <c r="G40" s="470"/>
      <c r="H40" s="470"/>
      <c r="I40" s="471"/>
      <c r="M40" s="1"/>
      <c r="Q40" s="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M41" s="1"/>
      <c r="Q41" s="1"/>
      <c r="U41" s="1"/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M42" s="1"/>
      <c r="Q42" s="1"/>
      <c r="U42" s="1"/>
      <c r="Y42" s="1"/>
    </row>
    <row r="43" spans="3:25" ht="16.5" thickBot="1">
      <c r="C43" s="531"/>
      <c r="D43" s="475"/>
      <c r="E43" s="477"/>
      <c r="F43" s="183">
        <v>258</v>
      </c>
      <c r="G43" s="479"/>
      <c r="H43" s="480"/>
      <c r="I43" s="481"/>
      <c r="M43" s="1"/>
      <c r="Q43" s="1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3"/>
      <c r="M44" s="1"/>
      <c r="Q44" s="1"/>
      <c r="U44" s="1"/>
      <c r="Y44" s="1"/>
    </row>
    <row r="45" spans="3:25" ht="16.5" thickBot="1">
      <c r="C45" s="514" t="s">
        <v>94</v>
      </c>
      <c r="D45" s="430"/>
      <c r="E45" s="431"/>
      <c r="F45" s="469">
        <v>45151</v>
      </c>
      <c r="G45" s="470"/>
      <c r="H45" s="470"/>
      <c r="I45" s="471"/>
      <c r="M45" s="1"/>
      <c r="Q45" s="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M46" s="1"/>
      <c r="Q46" s="1"/>
      <c r="U46" s="1"/>
      <c r="Y46" s="1"/>
    </row>
    <row r="47" spans="3:25" ht="16">
      <c r="C47" s="525"/>
      <c r="D47" s="483"/>
      <c r="E47" s="488" t="s">
        <v>91</v>
      </c>
      <c r="F47" s="178">
        <v>30.8</v>
      </c>
      <c r="G47" s="478">
        <v>33.200000000000003</v>
      </c>
      <c r="H47" s="457">
        <v>2.4000000000000021</v>
      </c>
      <c r="I47" s="580" t="s">
        <v>149</v>
      </c>
      <c r="M47" s="1"/>
      <c r="Q47" s="1"/>
      <c r="U47" s="1"/>
      <c r="Y47" s="1"/>
    </row>
    <row r="48" spans="3:25" ht="16.5" thickBot="1">
      <c r="C48" s="533"/>
      <c r="D48" s="487"/>
      <c r="E48" s="489"/>
      <c r="F48" s="177">
        <v>0.65</v>
      </c>
      <c r="G48" s="479"/>
      <c r="H48" s="480"/>
      <c r="I48" s="481"/>
      <c r="M48" s="1"/>
      <c r="Q48" s="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3"/>
      <c r="M49" s="1"/>
      <c r="Q49" s="1"/>
      <c r="U49" s="1"/>
      <c r="Y49" s="1"/>
    </row>
    <row r="50" spans="1:25" ht="16.5" thickBot="1">
      <c r="C50" s="514" t="s">
        <v>89</v>
      </c>
      <c r="D50" s="430"/>
      <c r="E50" s="431"/>
      <c r="F50" s="469">
        <v>45151</v>
      </c>
      <c r="G50" s="470"/>
      <c r="H50" s="470"/>
      <c r="I50" s="471"/>
      <c r="M50" s="1"/>
      <c r="Q50" s="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M51" s="1"/>
      <c r="Q51" s="1"/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M52" s="1"/>
      <c r="Q52" s="1"/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160">
        <v>23.8</v>
      </c>
      <c r="H53" s="159" t="s">
        <v>81</v>
      </c>
      <c r="I53" s="158" t="s">
        <v>201</v>
      </c>
      <c r="M53" s="1"/>
      <c r="Q53" s="1"/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51">
    <mergeCell ref="H47:H48"/>
    <mergeCell ref="E29:E30"/>
    <mergeCell ref="C51:D53"/>
    <mergeCell ref="C46:D48"/>
    <mergeCell ref="E47:E48"/>
    <mergeCell ref="G47:G48"/>
    <mergeCell ref="I31:I32"/>
    <mergeCell ref="D38:E38"/>
    <mergeCell ref="I47:I48"/>
    <mergeCell ref="C50:E50"/>
    <mergeCell ref="F50:I50"/>
    <mergeCell ref="C41:D43"/>
    <mergeCell ref="E42:E43"/>
    <mergeCell ref="G42:G43"/>
    <mergeCell ref="H42:H43"/>
    <mergeCell ref="I42:I43"/>
    <mergeCell ref="C45:E45"/>
    <mergeCell ref="F45:I45"/>
    <mergeCell ref="C40:E40"/>
    <mergeCell ref="F40:I40"/>
    <mergeCell ref="C28:C38"/>
    <mergeCell ref="D29:D32"/>
    <mergeCell ref="D33:D37"/>
    <mergeCell ref="H33:H34"/>
    <mergeCell ref="I33:I34"/>
    <mergeCell ref="E34:E36"/>
    <mergeCell ref="C23:E23"/>
    <mergeCell ref="F23:I23"/>
    <mergeCell ref="C24:D25"/>
    <mergeCell ref="E24:E25"/>
    <mergeCell ref="C27:E27"/>
    <mergeCell ref="F27:I27"/>
    <mergeCell ref="G29:G30"/>
    <mergeCell ref="H29:H30"/>
    <mergeCell ref="I29:I30"/>
    <mergeCell ref="E31:E32"/>
    <mergeCell ref="G31:G32"/>
    <mergeCell ref="H31:H32"/>
    <mergeCell ref="C11:E11"/>
    <mergeCell ref="F11:I11"/>
    <mergeCell ref="C12:C21"/>
    <mergeCell ref="D13:D14"/>
    <mergeCell ref="D15:D16"/>
    <mergeCell ref="D17:D20"/>
    <mergeCell ref="D21:E21"/>
    <mergeCell ref="C3:E3"/>
    <mergeCell ref="F3:I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&amp;"メイリオ,ボールド"&amp;22日別の優先給電ルールに基づく抑制、調整状況（2023年8月）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59C5-6A5D-45B4-A115-8331E16278E6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190</v>
      </c>
      <c r="I2" s="366"/>
      <c r="J2" s="365" t="s">
        <v>190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45172</v>
      </c>
      <c r="G3" s="26" t="s">
        <v>56</v>
      </c>
      <c r="H3" s="25">
        <v>45178</v>
      </c>
      <c r="I3" s="26" t="s">
        <v>49</v>
      </c>
      <c r="J3" s="25">
        <v>45179</v>
      </c>
      <c r="K3" s="26" t="s">
        <v>54</v>
      </c>
      <c r="L3" s="25">
        <v>45192</v>
      </c>
      <c r="M3" s="26" t="s">
        <v>50</v>
      </c>
      <c r="N3" s="25">
        <v>45193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192</v>
      </c>
      <c r="I4" s="7" t="s">
        <v>193</v>
      </c>
      <c r="J4" s="6" t="s">
        <v>192</v>
      </c>
      <c r="K4" s="7" t="s">
        <v>193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123.6</v>
      </c>
      <c r="G5" s="384" t="s">
        <v>45</v>
      </c>
      <c r="H5" s="9">
        <v>123.9</v>
      </c>
      <c r="I5" s="384" t="s">
        <v>195</v>
      </c>
      <c r="J5" s="9">
        <v>122</v>
      </c>
      <c r="K5" s="384" t="s">
        <v>195</v>
      </c>
      <c r="L5" s="9">
        <v>121.8</v>
      </c>
      <c r="M5" s="384" t="s">
        <v>45</v>
      </c>
      <c r="N5" s="9">
        <v>120.4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153.1</v>
      </c>
      <c r="G6" s="385"/>
      <c r="H6" s="10">
        <v>143.69999999999999</v>
      </c>
      <c r="I6" s="385"/>
      <c r="J6" s="10">
        <v>144.30000000000001</v>
      </c>
      <c r="K6" s="385"/>
      <c r="L6" s="10">
        <v>136.30000000000001</v>
      </c>
      <c r="M6" s="385"/>
      <c r="N6" s="10">
        <v>134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408.3</v>
      </c>
      <c r="G7" s="385"/>
      <c r="H7" s="28">
        <v>410.1</v>
      </c>
      <c r="I7" s="385"/>
      <c r="J7" s="28">
        <v>409.7</v>
      </c>
      <c r="K7" s="385"/>
      <c r="L7" s="28">
        <v>408.2</v>
      </c>
      <c r="M7" s="385"/>
      <c r="N7" s="28">
        <v>408.8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88.199999999999861</v>
      </c>
      <c r="G8" s="385"/>
      <c r="H8" s="29">
        <v>44.999999999999766</v>
      </c>
      <c r="I8" s="385"/>
      <c r="J8" s="29">
        <v>46.299999999999969</v>
      </c>
      <c r="K8" s="385"/>
      <c r="L8" s="29">
        <v>27.299999999999866</v>
      </c>
      <c r="M8" s="385"/>
      <c r="N8" s="29">
        <v>29.200000000000035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15.6</v>
      </c>
      <c r="G9" s="385"/>
      <c r="H9" s="30">
        <v>15.6</v>
      </c>
      <c r="I9" s="385"/>
      <c r="J9" s="30">
        <v>15.7</v>
      </c>
      <c r="K9" s="385"/>
      <c r="L9" s="30">
        <v>15.6</v>
      </c>
      <c r="M9" s="385"/>
      <c r="N9" s="30">
        <v>15.6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31.6</v>
      </c>
      <c r="G10" s="385"/>
      <c r="H10" s="11">
        <v>31.6</v>
      </c>
      <c r="I10" s="385"/>
      <c r="J10" s="11">
        <v>31.6</v>
      </c>
      <c r="K10" s="385"/>
      <c r="L10" s="11">
        <v>27.8</v>
      </c>
      <c r="M10" s="385"/>
      <c r="N10" s="11">
        <v>27.8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21.8</v>
      </c>
      <c r="G11" s="385"/>
      <c r="H11" s="12">
        <v>19.7</v>
      </c>
      <c r="I11" s="385"/>
      <c r="J11" s="12">
        <v>20.3</v>
      </c>
      <c r="K11" s="385"/>
      <c r="L11" s="12">
        <v>22.9</v>
      </c>
      <c r="M11" s="385"/>
      <c r="N11" s="12">
        <v>22.5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851.1</v>
      </c>
      <c r="G12" s="385"/>
      <c r="H12" s="13">
        <v>838.2</v>
      </c>
      <c r="I12" s="385"/>
      <c r="J12" s="13">
        <v>677.8</v>
      </c>
      <c r="K12" s="385"/>
      <c r="L12" s="13">
        <v>574.79999999999995</v>
      </c>
      <c r="M12" s="385"/>
      <c r="N12" s="13">
        <v>791.4</v>
      </c>
      <c r="O12" s="385"/>
    </row>
    <row r="13" spans="2:15" ht="16">
      <c r="B13" s="376"/>
      <c r="C13" s="379"/>
      <c r="D13" s="388"/>
      <c r="E13" s="45" t="s">
        <v>27</v>
      </c>
      <c r="F13" s="13">
        <v>11.9</v>
      </c>
      <c r="G13" s="385"/>
      <c r="H13" s="13">
        <v>6.1</v>
      </c>
      <c r="I13" s="385"/>
      <c r="J13" s="13">
        <v>3.9</v>
      </c>
      <c r="K13" s="385"/>
      <c r="L13" s="13">
        <v>10.9</v>
      </c>
      <c r="M13" s="385"/>
      <c r="N13" s="13">
        <v>19.600000000000001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87</v>
      </c>
      <c r="G14" s="385"/>
      <c r="H14" s="14">
        <v>115</v>
      </c>
      <c r="I14" s="385"/>
      <c r="J14" s="14">
        <v>160</v>
      </c>
      <c r="K14" s="385"/>
      <c r="L14" s="14">
        <v>167</v>
      </c>
      <c r="M14" s="385"/>
      <c r="N14" s="14">
        <v>125.9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1792.1999999999998</v>
      </c>
      <c r="G15" s="385"/>
      <c r="H15" s="15">
        <v>1748.8999999999999</v>
      </c>
      <c r="I15" s="385"/>
      <c r="J15" s="15">
        <v>1631.6</v>
      </c>
      <c r="K15" s="385"/>
      <c r="L15" s="15">
        <v>1512.6</v>
      </c>
      <c r="M15" s="385"/>
      <c r="N15" s="15">
        <v>1695.2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1095</v>
      </c>
      <c r="G16" s="385"/>
      <c r="H16" s="8">
        <v>1112.0999999999999</v>
      </c>
      <c r="I16" s="385"/>
      <c r="J16" s="8">
        <v>1015.1</v>
      </c>
      <c r="K16" s="385"/>
      <c r="L16" s="8">
        <v>1007.3</v>
      </c>
      <c r="M16" s="385"/>
      <c r="N16" s="8">
        <v>935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-228</v>
      </c>
      <c r="G19" s="385"/>
      <c r="H19" s="18">
        <v>-233</v>
      </c>
      <c r="I19" s="385"/>
      <c r="J19" s="18">
        <v>-230</v>
      </c>
      <c r="K19" s="385"/>
      <c r="L19" s="18">
        <v>-203.1</v>
      </c>
      <c r="M19" s="385"/>
      <c r="N19" s="18">
        <v>-211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-8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1547.2</v>
      </c>
      <c r="G21" s="386"/>
      <c r="H21" s="27">
        <v>1569.3</v>
      </c>
      <c r="I21" s="386"/>
      <c r="J21" s="27">
        <v>1469.3</v>
      </c>
      <c r="K21" s="386"/>
      <c r="L21" s="27">
        <v>1408.3999999999999</v>
      </c>
      <c r="M21" s="386"/>
      <c r="N21" s="27">
        <v>1336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69</v>
      </c>
      <c r="I22" s="7" t="s">
        <v>193</v>
      </c>
      <c r="J22" s="6" t="s">
        <v>69</v>
      </c>
      <c r="K22" s="7" t="s">
        <v>193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1792.1999999999998</v>
      </c>
      <c r="G23" s="400"/>
      <c r="H23" s="20">
        <v>1748.8999999999999</v>
      </c>
      <c r="I23" s="400"/>
      <c r="J23" s="20">
        <v>1631.6</v>
      </c>
      <c r="K23" s="400"/>
      <c r="L23" s="20">
        <v>1512.6</v>
      </c>
      <c r="M23" s="400"/>
      <c r="N23" s="20">
        <v>1695.2</v>
      </c>
      <c r="O23" s="400"/>
    </row>
    <row r="24" spans="2:15" ht="16">
      <c r="B24" s="409"/>
      <c r="C24" s="403" t="s">
        <v>37</v>
      </c>
      <c r="D24" s="404"/>
      <c r="E24" s="405"/>
      <c r="F24" s="21">
        <v>1547.2</v>
      </c>
      <c r="G24" s="401"/>
      <c r="H24" s="21">
        <v>1569.3</v>
      </c>
      <c r="I24" s="401"/>
      <c r="J24" s="21">
        <v>1469.3</v>
      </c>
      <c r="K24" s="401"/>
      <c r="L24" s="21">
        <v>1408.3999999999999</v>
      </c>
      <c r="M24" s="401"/>
      <c r="N24" s="21">
        <v>1336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244.99999999999977</v>
      </c>
      <c r="G25" s="402"/>
      <c r="H25" s="67">
        <v>179.59999999999991</v>
      </c>
      <c r="I25" s="402"/>
      <c r="J25" s="67">
        <v>162.29999999999995</v>
      </c>
      <c r="K25" s="402"/>
      <c r="L25" s="67">
        <v>104.20000000000005</v>
      </c>
      <c r="M25" s="402"/>
      <c r="N25" s="67">
        <v>359.20000000000005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日別の需給状況・再エネ出力抑制の必要性（2023年9月）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AFE7-5512-46D9-89A9-B20A065387B3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190</v>
      </c>
      <c r="I2" s="366"/>
      <c r="J2" s="365" t="s">
        <v>190</v>
      </c>
      <c r="K2" s="366"/>
      <c r="L2" s="365" t="s">
        <v>190</v>
      </c>
      <c r="M2" s="366"/>
      <c r="N2" s="365" t="s">
        <v>190</v>
      </c>
      <c r="O2" s="366"/>
    </row>
    <row r="3" spans="2:15" ht="16.5" thickBot="1">
      <c r="B3" s="3"/>
      <c r="C3" s="372" t="s">
        <v>3</v>
      </c>
      <c r="D3" s="373"/>
      <c r="E3" s="374"/>
      <c r="F3" s="25">
        <v>45199</v>
      </c>
      <c r="G3" s="26" t="s">
        <v>56</v>
      </c>
      <c r="H3" s="25"/>
      <c r="I3" s="26"/>
      <c r="J3" s="25"/>
      <c r="K3" s="26"/>
      <c r="L3" s="25"/>
      <c r="M3" s="26"/>
      <c r="N3" s="25"/>
      <c r="O3" s="26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192</v>
      </c>
      <c r="I4" s="7" t="s">
        <v>193</v>
      </c>
      <c r="J4" s="6" t="s">
        <v>192</v>
      </c>
      <c r="K4" s="7" t="s">
        <v>193</v>
      </c>
      <c r="L4" s="6" t="s">
        <v>192</v>
      </c>
      <c r="M4" s="7" t="s">
        <v>193</v>
      </c>
      <c r="N4" s="6" t="s">
        <v>192</v>
      </c>
      <c r="O4" s="7" t="s">
        <v>193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126</v>
      </c>
      <c r="G5" s="384" t="s">
        <v>45</v>
      </c>
      <c r="H5" s="9"/>
      <c r="I5" s="384" t="s">
        <v>195</v>
      </c>
      <c r="J5" s="9"/>
      <c r="K5" s="384" t="s">
        <v>195</v>
      </c>
      <c r="L5" s="9"/>
      <c r="M5" s="384" t="s">
        <v>195</v>
      </c>
      <c r="N5" s="9"/>
      <c r="O5" s="384" t="s">
        <v>195</v>
      </c>
    </row>
    <row r="6" spans="2:15" ht="16">
      <c r="B6" s="376"/>
      <c r="C6" s="379"/>
      <c r="D6" s="34" t="s">
        <v>12</v>
      </c>
      <c r="E6" s="319" t="s">
        <v>196</v>
      </c>
      <c r="F6" s="10">
        <v>111.6</v>
      </c>
      <c r="G6" s="385"/>
      <c r="H6" s="10"/>
      <c r="I6" s="385"/>
      <c r="J6" s="10"/>
      <c r="K6" s="385"/>
      <c r="L6" s="10"/>
      <c r="M6" s="385"/>
      <c r="N6" s="10"/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409.4</v>
      </c>
      <c r="G7" s="385"/>
      <c r="H7" s="28"/>
      <c r="I7" s="385"/>
      <c r="J7" s="28"/>
      <c r="K7" s="385"/>
      <c r="L7" s="28"/>
      <c r="M7" s="385"/>
      <c r="N7" s="28"/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25.900000000000226</v>
      </c>
      <c r="G8" s="385"/>
      <c r="H8" s="29"/>
      <c r="I8" s="385"/>
      <c r="J8" s="29"/>
      <c r="K8" s="385"/>
      <c r="L8" s="29"/>
      <c r="M8" s="385"/>
      <c r="N8" s="29"/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15.8</v>
      </c>
      <c r="G9" s="385"/>
      <c r="H9" s="30"/>
      <c r="I9" s="385"/>
      <c r="J9" s="30"/>
      <c r="K9" s="385"/>
      <c r="L9" s="30"/>
      <c r="M9" s="385"/>
      <c r="N9" s="30"/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29.8</v>
      </c>
      <c r="G10" s="385"/>
      <c r="H10" s="11"/>
      <c r="I10" s="385"/>
      <c r="J10" s="11"/>
      <c r="K10" s="385"/>
      <c r="L10" s="11"/>
      <c r="M10" s="385"/>
      <c r="N10" s="11"/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22.8</v>
      </c>
      <c r="G11" s="385"/>
      <c r="H11" s="12"/>
      <c r="I11" s="385"/>
      <c r="J11" s="12"/>
      <c r="K11" s="385"/>
      <c r="L11" s="12"/>
      <c r="M11" s="385"/>
      <c r="N11" s="12"/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635</v>
      </c>
      <c r="G12" s="385"/>
      <c r="H12" s="13"/>
      <c r="I12" s="385"/>
      <c r="J12" s="13"/>
      <c r="K12" s="385"/>
      <c r="L12" s="13"/>
      <c r="M12" s="385"/>
      <c r="N12" s="13"/>
      <c r="O12" s="385"/>
    </row>
    <row r="13" spans="2:15" ht="16">
      <c r="B13" s="376"/>
      <c r="C13" s="379"/>
      <c r="D13" s="388"/>
      <c r="E13" s="45" t="s">
        <v>27</v>
      </c>
      <c r="F13" s="13">
        <v>3.8</v>
      </c>
      <c r="G13" s="385"/>
      <c r="H13" s="13"/>
      <c r="I13" s="385"/>
      <c r="J13" s="13"/>
      <c r="K13" s="385"/>
      <c r="L13" s="13"/>
      <c r="M13" s="385"/>
      <c r="N13" s="13"/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173</v>
      </c>
      <c r="G14" s="385"/>
      <c r="H14" s="14"/>
      <c r="I14" s="385"/>
      <c r="J14" s="14"/>
      <c r="K14" s="385"/>
      <c r="L14" s="14"/>
      <c r="M14" s="385"/>
      <c r="N14" s="14"/>
      <c r="O14" s="385"/>
    </row>
    <row r="15" spans="2:15" ht="16.5" thickBot="1">
      <c r="B15" s="376"/>
      <c r="C15" s="380"/>
      <c r="D15" s="389" t="s">
        <v>28</v>
      </c>
      <c r="E15" s="390"/>
      <c r="F15" s="15">
        <v>1553.1000000000001</v>
      </c>
      <c r="G15" s="385"/>
      <c r="H15" s="15">
        <f>SUM(H5:H14)</f>
        <v>0</v>
      </c>
      <c r="I15" s="385"/>
      <c r="J15" s="15">
        <f>SUM(J5:J14)</f>
        <v>0</v>
      </c>
      <c r="K15" s="385"/>
      <c r="L15" s="15">
        <f>SUM(L5:L14)</f>
        <v>0</v>
      </c>
      <c r="M15" s="385"/>
      <c r="N15" s="15">
        <f>SUM(N5:N14)</f>
        <v>0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966.6</v>
      </c>
      <c r="G16" s="385"/>
      <c r="H16" s="8"/>
      <c r="I16" s="385"/>
      <c r="J16" s="8"/>
      <c r="K16" s="385"/>
      <c r="L16" s="8"/>
      <c r="M16" s="385"/>
      <c r="N16" s="8"/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/>
      <c r="I17" s="385"/>
      <c r="J17" s="16"/>
      <c r="K17" s="385"/>
      <c r="L17" s="16"/>
      <c r="M17" s="385"/>
      <c r="N17" s="16"/>
      <c r="O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/>
      <c r="I18" s="385"/>
      <c r="J18" s="17"/>
      <c r="K18" s="385"/>
      <c r="L18" s="17"/>
      <c r="M18" s="385"/>
      <c r="N18" s="17"/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-208</v>
      </c>
      <c r="G19" s="385"/>
      <c r="H19" s="18"/>
      <c r="I19" s="385"/>
      <c r="J19" s="18"/>
      <c r="K19" s="385"/>
      <c r="L19" s="18"/>
      <c r="M19" s="385"/>
      <c r="N19" s="18"/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/>
      <c r="I20" s="385"/>
      <c r="J20" s="19"/>
      <c r="K20" s="385"/>
      <c r="L20" s="19"/>
      <c r="M20" s="385"/>
      <c r="N20" s="19"/>
      <c r="O20" s="385"/>
    </row>
    <row r="21" spans="2:15" ht="16.5" thickBot="1">
      <c r="B21" s="377"/>
      <c r="C21" s="393"/>
      <c r="D21" s="398" t="s">
        <v>34</v>
      </c>
      <c r="E21" s="399"/>
      <c r="F21" s="27">
        <v>1364.6</v>
      </c>
      <c r="G21" s="386"/>
      <c r="H21" s="27">
        <f>SUM(H16,-H17,-H18,-H19,-H20)</f>
        <v>0</v>
      </c>
      <c r="I21" s="386"/>
      <c r="J21" s="27">
        <f>SUM(J16,-J17,-J18,-J19,-J20)</f>
        <v>0</v>
      </c>
      <c r="K21" s="386"/>
      <c r="L21" s="27">
        <f>SUM(L16,-L17,-L18,-L19,-L20)</f>
        <v>0</v>
      </c>
      <c r="M21" s="386"/>
      <c r="N21" s="27">
        <f>SUM(N16,-N17,-N18,-N19,-N20)</f>
        <v>0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192</v>
      </c>
      <c r="I22" s="7" t="s">
        <v>193</v>
      </c>
      <c r="J22" s="6" t="s">
        <v>192</v>
      </c>
      <c r="K22" s="7" t="s">
        <v>193</v>
      </c>
      <c r="L22" s="6" t="s">
        <v>192</v>
      </c>
      <c r="M22" s="7" t="s">
        <v>193</v>
      </c>
      <c r="N22" s="6" t="s">
        <v>192</v>
      </c>
      <c r="O22" s="7" t="s">
        <v>193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1553.1000000000001</v>
      </c>
      <c r="G23" s="400"/>
      <c r="H23" s="20">
        <f>SUM(H15)</f>
        <v>0</v>
      </c>
      <c r="I23" s="400"/>
      <c r="J23" s="20">
        <f>SUM(J15)</f>
        <v>0</v>
      </c>
      <c r="K23" s="400"/>
      <c r="L23" s="20">
        <f>SUM(L15)</f>
        <v>0</v>
      </c>
      <c r="M23" s="400"/>
      <c r="N23" s="20">
        <f>SUM(N15)</f>
        <v>0</v>
      </c>
      <c r="O23" s="400"/>
    </row>
    <row r="24" spans="2:15" ht="16">
      <c r="B24" s="409"/>
      <c r="C24" s="403" t="s">
        <v>37</v>
      </c>
      <c r="D24" s="404"/>
      <c r="E24" s="405"/>
      <c r="F24" s="21">
        <v>1364.6</v>
      </c>
      <c r="G24" s="401"/>
      <c r="H24" s="21">
        <f>SUM(H21)</f>
        <v>0</v>
      </c>
      <c r="I24" s="401"/>
      <c r="J24" s="21">
        <f>SUM(J21)</f>
        <v>0</v>
      </c>
      <c r="K24" s="401"/>
      <c r="L24" s="21">
        <f>SUM(L21)</f>
        <v>0</v>
      </c>
      <c r="M24" s="401"/>
      <c r="N24" s="21">
        <f>SUM(N21)</f>
        <v>0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188.50000000000023</v>
      </c>
      <c r="G25" s="402"/>
      <c r="H25" s="67">
        <f>SUM(H23,-H24)</f>
        <v>0</v>
      </c>
      <c r="I25" s="402"/>
      <c r="J25" s="67">
        <f>SUM(J23,-J24)</f>
        <v>0</v>
      </c>
      <c r="K25" s="402"/>
      <c r="L25" s="67">
        <f>SUM(L23,-L24)</f>
        <v>0</v>
      </c>
      <c r="M25" s="402"/>
      <c r="N25" s="67">
        <f>SUM(N23,-N24)</f>
        <v>0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日別の需給状況・再エネ出力抑制の必要性（2023年9月）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88D7-A880-4179-85CA-BD8DC8814FC2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45172</v>
      </c>
      <c r="G3" s="418"/>
      <c r="H3" s="418"/>
      <c r="I3" s="419"/>
      <c r="J3" s="417">
        <v>45178</v>
      </c>
      <c r="K3" s="418"/>
      <c r="L3" s="418"/>
      <c r="M3" s="419"/>
      <c r="N3" s="417">
        <v>45179</v>
      </c>
      <c r="O3" s="418"/>
      <c r="P3" s="418"/>
      <c r="Q3" s="419"/>
      <c r="R3" s="417">
        <v>45192</v>
      </c>
      <c r="S3" s="418"/>
      <c r="T3" s="418"/>
      <c r="U3" s="419"/>
      <c r="V3" s="417">
        <v>45193</v>
      </c>
      <c r="W3" s="418"/>
      <c r="X3" s="418"/>
      <c r="Y3" s="419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59.1</v>
      </c>
      <c r="G8" s="216">
        <v>73.400000000000006</v>
      </c>
      <c r="H8" s="215">
        <v>14.300000000000004</v>
      </c>
      <c r="I8" s="214" t="s">
        <v>173</v>
      </c>
      <c r="J8" s="217">
        <v>59.400000000000006</v>
      </c>
      <c r="K8" s="216">
        <v>73.7</v>
      </c>
      <c r="L8" s="215">
        <v>14.299999999999997</v>
      </c>
      <c r="M8" s="214" t="s">
        <v>150</v>
      </c>
      <c r="N8" s="217">
        <v>57.5</v>
      </c>
      <c r="O8" s="216">
        <v>71.8</v>
      </c>
      <c r="P8" s="215">
        <v>14.299999999999997</v>
      </c>
      <c r="Q8" s="214" t="s">
        <v>150</v>
      </c>
      <c r="R8" s="217">
        <v>57.300000000000004</v>
      </c>
      <c r="S8" s="216">
        <v>71.599999999999994</v>
      </c>
      <c r="T8" s="215">
        <v>14.29999999999999</v>
      </c>
      <c r="U8" s="214" t="s">
        <v>173</v>
      </c>
      <c r="V8" s="217">
        <v>55.900000000000006</v>
      </c>
      <c r="W8" s="216">
        <v>70.2</v>
      </c>
      <c r="X8" s="215">
        <v>14.299999999999997</v>
      </c>
      <c r="Y8" s="214" t="s">
        <v>173</v>
      </c>
    </row>
    <row r="9" spans="3:25" ht="16.5" thickBot="1">
      <c r="C9" s="424"/>
      <c r="D9" s="427" t="s">
        <v>101</v>
      </c>
      <c r="E9" s="428"/>
      <c r="F9" s="188">
        <v>104.7</v>
      </c>
      <c r="G9" s="187">
        <v>123.60000000000001</v>
      </c>
      <c r="H9" s="187">
        <v>18.900000000000006</v>
      </c>
      <c r="I9" s="213" t="s">
        <v>81</v>
      </c>
      <c r="J9" s="188">
        <v>105</v>
      </c>
      <c r="K9" s="187">
        <v>123.9</v>
      </c>
      <c r="L9" s="187">
        <v>18.899999999999999</v>
      </c>
      <c r="M9" s="213" t="s">
        <v>81</v>
      </c>
      <c r="N9" s="188">
        <v>103.1</v>
      </c>
      <c r="O9" s="187">
        <v>122</v>
      </c>
      <c r="P9" s="187">
        <v>18.899999999999999</v>
      </c>
      <c r="Q9" s="213" t="s">
        <v>81</v>
      </c>
      <c r="R9" s="188">
        <v>102.9</v>
      </c>
      <c r="S9" s="187">
        <v>121.8</v>
      </c>
      <c r="T9" s="187">
        <v>18.899999999999991</v>
      </c>
      <c r="U9" s="213" t="s">
        <v>81</v>
      </c>
      <c r="V9" s="188">
        <v>101.5</v>
      </c>
      <c r="W9" s="187">
        <v>120.4</v>
      </c>
      <c r="X9" s="187">
        <v>18.899999999999999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45172</v>
      </c>
      <c r="G11" s="433"/>
      <c r="H11" s="433"/>
      <c r="I11" s="434"/>
      <c r="J11" s="432">
        <v>45178</v>
      </c>
      <c r="K11" s="433"/>
      <c r="L11" s="433"/>
      <c r="M11" s="434"/>
      <c r="N11" s="432">
        <v>45179</v>
      </c>
      <c r="O11" s="433"/>
      <c r="P11" s="433"/>
      <c r="Q11" s="434"/>
      <c r="R11" s="432">
        <v>45192</v>
      </c>
      <c r="S11" s="433"/>
      <c r="T11" s="433"/>
      <c r="U11" s="434"/>
      <c r="V11" s="432">
        <v>45193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149</v>
      </c>
      <c r="R17" s="166">
        <v>-34</v>
      </c>
      <c r="S17" s="165">
        <v>0</v>
      </c>
      <c r="T17" s="164">
        <v>34</v>
      </c>
      <c r="U17" s="212" t="s">
        <v>149</v>
      </c>
      <c r="V17" s="166">
        <v>-34</v>
      </c>
      <c r="W17" s="165">
        <v>0</v>
      </c>
      <c r="X17" s="164">
        <v>34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0</v>
      </c>
      <c r="T19" s="164">
        <v>34</v>
      </c>
      <c r="U19" s="212" t="s">
        <v>149</v>
      </c>
      <c r="V19" s="166">
        <v>-34</v>
      </c>
      <c r="W19" s="165">
        <v>0</v>
      </c>
      <c r="X19" s="164">
        <v>34</v>
      </c>
      <c r="Y19" s="189" t="s">
        <v>145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45172</v>
      </c>
      <c r="G23" s="433"/>
      <c r="H23" s="433"/>
      <c r="I23" s="434"/>
      <c r="J23" s="432">
        <v>45178</v>
      </c>
      <c r="K23" s="433"/>
      <c r="L23" s="433"/>
      <c r="M23" s="434"/>
      <c r="N23" s="432">
        <v>45179</v>
      </c>
      <c r="O23" s="433"/>
      <c r="P23" s="433"/>
      <c r="Q23" s="434"/>
      <c r="R23" s="432">
        <v>45192</v>
      </c>
      <c r="S23" s="433"/>
      <c r="T23" s="433"/>
      <c r="U23" s="434"/>
      <c r="V23" s="432">
        <v>45193</v>
      </c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45172</v>
      </c>
      <c r="G27" s="433"/>
      <c r="H27" s="433"/>
      <c r="I27" s="434"/>
      <c r="J27" s="432">
        <v>45178</v>
      </c>
      <c r="K27" s="433"/>
      <c r="L27" s="433"/>
      <c r="M27" s="434"/>
      <c r="N27" s="432">
        <v>45179</v>
      </c>
      <c r="O27" s="433"/>
      <c r="P27" s="433"/>
      <c r="Q27" s="434"/>
      <c r="R27" s="432">
        <v>45192</v>
      </c>
      <c r="S27" s="433"/>
      <c r="T27" s="433"/>
      <c r="U27" s="434"/>
      <c r="V27" s="432">
        <v>45193</v>
      </c>
      <c r="W27" s="433"/>
      <c r="X27" s="433"/>
      <c r="Y27" s="434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>
        <v>43.8</v>
      </c>
      <c r="W29" s="455">
        <v>43.8</v>
      </c>
      <c r="X29" s="457"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39</v>
      </c>
      <c r="G33" s="199">
        <v>53.7</v>
      </c>
      <c r="H33" s="457">
        <v>14.700000000000003</v>
      </c>
      <c r="I33" s="580" t="s">
        <v>184</v>
      </c>
      <c r="J33" s="200">
        <v>35.1</v>
      </c>
      <c r="K33" s="199">
        <v>44.7</v>
      </c>
      <c r="L33" s="457">
        <v>9.6000000000000014</v>
      </c>
      <c r="M33" s="580" t="s">
        <v>148</v>
      </c>
      <c r="N33" s="200">
        <v>35.1</v>
      </c>
      <c r="O33" s="199">
        <v>45.3</v>
      </c>
      <c r="P33" s="457">
        <v>10.199999999999996</v>
      </c>
      <c r="Q33" s="580" t="s">
        <v>148</v>
      </c>
      <c r="R33" s="200">
        <v>32</v>
      </c>
      <c r="S33" s="199">
        <v>37.700000000000003</v>
      </c>
      <c r="T33" s="457">
        <v>5.7000000000000028</v>
      </c>
      <c r="U33" s="459" t="s">
        <v>184</v>
      </c>
      <c r="V33" s="200">
        <v>32</v>
      </c>
      <c r="W33" s="199">
        <v>35.5</v>
      </c>
      <c r="X33" s="457">
        <v>3.5</v>
      </c>
      <c r="Y33" s="459" t="s">
        <v>184</v>
      </c>
    </row>
    <row r="34" spans="3:25" ht="16">
      <c r="C34" s="451"/>
      <c r="D34" s="467"/>
      <c r="E34" s="463" t="s">
        <v>104</v>
      </c>
      <c r="F34" s="198">
        <v>0.25</v>
      </c>
      <c r="G34" s="197">
        <v>0.35</v>
      </c>
      <c r="H34" s="458"/>
      <c r="I34" s="460"/>
      <c r="J34" s="198">
        <v>0.25</v>
      </c>
      <c r="K34" s="197">
        <v>0.32</v>
      </c>
      <c r="L34" s="458"/>
      <c r="M34" s="460"/>
      <c r="N34" s="198">
        <v>0.25</v>
      </c>
      <c r="O34" s="197">
        <v>0.32</v>
      </c>
      <c r="P34" s="458"/>
      <c r="Q34" s="460"/>
      <c r="R34" s="198">
        <v>0.26</v>
      </c>
      <c r="S34" s="197">
        <v>0.31</v>
      </c>
      <c r="T34" s="458"/>
      <c r="U34" s="460"/>
      <c r="V34" s="198">
        <v>0.26</v>
      </c>
      <c r="W34" s="197">
        <v>0.28999999999999998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13</v>
      </c>
      <c r="G37" s="165">
        <v>1.2</v>
      </c>
      <c r="H37" s="164">
        <v>-11.8</v>
      </c>
      <c r="I37" s="212" t="s">
        <v>170</v>
      </c>
      <c r="J37" s="166">
        <v>13</v>
      </c>
      <c r="K37" s="165">
        <v>0.79999999999999427</v>
      </c>
      <c r="L37" s="164">
        <v>-12.200000000000006</v>
      </c>
      <c r="M37" s="212" t="s">
        <v>147</v>
      </c>
      <c r="N37" s="166">
        <v>13</v>
      </c>
      <c r="O37" s="165">
        <v>0.80000000000000138</v>
      </c>
      <c r="P37" s="164">
        <v>-12.2</v>
      </c>
      <c r="Q37" s="212" t="s">
        <v>147</v>
      </c>
      <c r="R37" s="166">
        <v>13</v>
      </c>
      <c r="S37" s="165">
        <v>0.4</v>
      </c>
      <c r="T37" s="164">
        <v>-12.6</v>
      </c>
      <c r="U37" s="189" t="s">
        <v>170</v>
      </c>
      <c r="V37" s="166">
        <v>13</v>
      </c>
      <c r="W37" s="165">
        <v>0.2999999999999986</v>
      </c>
      <c r="X37" s="164">
        <v>-12.700000000000001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v>150.19999999999999</v>
      </c>
      <c r="G38" s="187">
        <v>153.09999999999997</v>
      </c>
      <c r="H38" s="187">
        <v>2.9000000000000021</v>
      </c>
      <c r="I38" s="186"/>
      <c r="J38" s="188">
        <v>146.29999999999998</v>
      </c>
      <c r="K38" s="187">
        <v>143.69999999999996</v>
      </c>
      <c r="L38" s="187">
        <v>-2.600000000000005</v>
      </c>
      <c r="M38" s="186"/>
      <c r="N38" s="188">
        <v>146.29999999999998</v>
      </c>
      <c r="O38" s="187">
        <v>144.30000000000001</v>
      </c>
      <c r="P38" s="187">
        <v>-2.0000000000000036</v>
      </c>
      <c r="Q38" s="186"/>
      <c r="R38" s="188">
        <v>143.19999999999999</v>
      </c>
      <c r="S38" s="187">
        <v>136.29999999999998</v>
      </c>
      <c r="T38" s="187">
        <v>-6.8999999999999968</v>
      </c>
      <c r="U38" s="186"/>
      <c r="V38" s="188">
        <v>143.19999999999999</v>
      </c>
      <c r="W38" s="187">
        <v>134</v>
      </c>
      <c r="X38" s="187">
        <v>-9.2000000000000011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45172</v>
      </c>
      <c r="G40" s="470"/>
      <c r="H40" s="470"/>
      <c r="I40" s="471"/>
      <c r="J40" s="469">
        <v>45178</v>
      </c>
      <c r="K40" s="470"/>
      <c r="L40" s="470"/>
      <c r="M40" s="471"/>
      <c r="N40" s="469">
        <v>45179</v>
      </c>
      <c r="O40" s="470"/>
      <c r="P40" s="470"/>
      <c r="Q40" s="471"/>
      <c r="R40" s="469">
        <v>45192</v>
      </c>
      <c r="S40" s="470"/>
      <c r="T40" s="470"/>
      <c r="U40" s="471"/>
      <c r="V40" s="469">
        <v>45193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8</v>
      </c>
      <c r="S42" s="478">
        <v>8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474"/>
      <c r="D43" s="475"/>
      <c r="E43" s="477"/>
      <c r="F43" s="183">
        <v>228</v>
      </c>
      <c r="G43" s="479"/>
      <c r="H43" s="480"/>
      <c r="I43" s="481"/>
      <c r="J43" s="183">
        <v>233</v>
      </c>
      <c r="K43" s="479"/>
      <c r="L43" s="480"/>
      <c r="M43" s="481"/>
      <c r="N43" s="183">
        <v>230</v>
      </c>
      <c r="O43" s="479"/>
      <c r="P43" s="480"/>
      <c r="Q43" s="481"/>
      <c r="R43" s="183">
        <v>211</v>
      </c>
      <c r="S43" s="479"/>
      <c r="T43" s="480"/>
      <c r="U43" s="481"/>
      <c r="V43" s="183">
        <v>211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45172</v>
      </c>
      <c r="G45" s="470"/>
      <c r="H45" s="470"/>
      <c r="I45" s="471"/>
      <c r="J45" s="469">
        <v>45178</v>
      </c>
      <c r="K45" s="470"/>
      <c r="L45" s="470"/>
      <c r="M45" s="471"/>
      <c r="N45" s="469">
        <v>45179</v>
      </c>
      <c r="O45" s="470"/>
      <c r="P45" s="470"/>
      <c r="Q45" s="471"/>
      <c r="R45" s="469">
        <v>45192</v>
      </c>
      <c r="S45" s="470"/>
      <c r="T45" s="470"/>
      <c r="U45" s="471"/>
      <c r="V45" s="469">
        <v>45193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29.4</v>
      </c>
      <c r="G47" s="478">
        <v>31.6</v>
      </c>
      <c r="H47" s="457">
        <v>2.2000000000000028</v>
      </c>
      <c r="I47" s="580" t="s">
        <v>145</v>
      </c>
      <c r="J47" s="178">
        <v>29.4</v>
      </c>
      <c r="K47" s="478">
        <v>31.6</v>
      </c>
      <c r="L47" s="457">
        <v>2.2000000000000028</v>
      </c>
      <c r="M47" s="580" t="s">
        <v>149</v>
      </c>
      <c r="N47" s="178">
        <v>29.4</v>
      </c>
      <c r="O47" s="478">
        <v>31.6</v>
      </c>
      <c r="P47" s="457">
        <v>2.2000000000000028</v>
      </c>
      <c r="Q47" s="580" t="s">
        <v>149</v>
      </c>
      <c r="R47" s="178">
        <v>25.4</v>
      </c>
      <c r="S47" s="478">
        <v>27.8</v>
      </c>
      <c r="T47" s="457">
        <v>2.4000000000000021</v>
      </c>
      <c r="U47" s="459" t="s">
        <v>145</v>
      </c>
      <c r="V47" s="178">
        <v>25.4</v>
      </c>
      <c r="W47" s="478">
        <v>27.8</v>
      </c>
      <c r="X47" s="457">
        <v>2.4000000000000021</v>
      </c>
      <c r="Y47" s="459" t="s">
        <v>145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0.65</v>
      </c>
      <c r="O48" s="479"/>
      <c r="P48" s="480"/>
      <c r="Q48" s="481"/>
      <c r="R48" s="177">
        <v>0.62</v>
      </c>
      <c r="S48" s="479"/>
      <c r="T48" s="480"/>
      <c r="U48" s="481"/>
      <c r="V48" s="177">
        <v>0.62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45172</v>
      </c>
      <c r="G50" s="470"/>
      <c r="H50" s="470"/>
      <c r="I50" s="471"/>
      <c r="J50" s="469">
        <v>45178</v>
      </c>
      <c r="K50" s="470"/>
      <c r="L50" s="470"/>
      <c r="M50" s="471"/>
      <c r="N50" s="469">
        <v>45179</v>
      </c>
      <c r="O50" s="470"/>
      <c r="P50" s="470"/>
      <c r="Q50" s="471"/>
      <c r="R50" s="469">
        <v>45192</v>
      </c>
      <c r="S50" s="470"/>
      <c r="T50" s="470"/>
      <c r="U50" s="471"/>
      <c r="V50" s="469">
        <v>45193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21.8</v>
      </c>
      <c r="H53" s="223" t="s">
        <v>81</v>
      </c>
      <c r="I53" s="222" t="s">
        <v>201</v>
      </c>
      <c r="J53" s="225">
        <v>0</v>
      </c>
      <c r="K53" s="224">
        <v>19.7</v>
      </c>
      <c r="L53" s="223" t="s">
        <v>81</v>
      </c>
      <c r="M53" s="222" t="s">
        <v>201</v>
      </c>
      <c r="N53" s="225">
        <v>0</v>
      </c>
      <c r="O53" s="224">
        <v>20.3</v>
      </c>
      <c r="P53" s="223" t="s">
        <v>81</v>
      </c>
      <c r="Q53" s="222" t="s">
        <v>201</v>
      </c>
      <c r="R53" s="225">
        <v>0</v>
      </c>
      <c r="S53" s="224">
        <v>22.9</v>
      </c>
      <c r="T53" s="223" t="s">
        <v>81</v>
      </c>
      <c r="U53" s="222" t="s">
        <v>201</v>
      </c>
      <c r="V53" s="225">
        <v>0</v>
      </c>
      <c r="W53" s="224">
        <v>22.5</v>
      </c>
      <c r="X53" s="223" t="s">
        <v>81</v>
      </c>
      <c r="Y53" s="222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&amp;"メイリオ,ボールド"&amp;22日別の優先給電ルールに基づく抑制、調整状況（2023年9月）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21BA-9931-4967-9DE4-B264F1575718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0" t="s">
        <v>143</v>
      </c>
      <c r="J2" s="23"/>
      <c r="K2" s="23"/>
      <c r="L2" s="23"/>
      <c r="M2" s="220"/>
      <c r="N2" s="23"/>
      <c r="O2" s="23"/>
      <c r="P2" s="23"/>
      <c r="Q2" s="22"/>
      <c r="Y2" s="220"/>
    </row>
    <row r="3" spans="3:25" ht="17" thickTop="1" thickBot="1">
      <c r="C3" s="435" t="s">
        <v>142</v>
      </c>
      <c r="D3" s="436"/>
      <c r="E3" s="437"/>
      <c r="F3" s="417">
        <v>45199</v>
      </c>
      <c r="G3" s="418"/>
      <c r="H3" s="418"/>
      <c r="I3" s="419"/>
      <c r="M3" s="1"/>
      <c r="Q3" s="1"/>
      <c r="U3" s="1"/>
      <c r="Y3" s="1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M4" s="1"/>
      <c r="Q4" s="1"/>
      <c r="U4" s="1"/>
      <c r="Y4" s="1"/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M5" s="1"/>
      <c r="Q5" s="1"/>
      <c r="U5" s="1"/>
      <c r="Y5" s="1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M6" s="1"/>
      <c r="Q6" s="1"/>
      <c r="U6" s="1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M7" s="1"/>
      <c r="Q7" s="1"/>
      <c r="U7" s="1"/>
      <c r="Y7" s="1"/>
    </row>
    <row r="8" spans="3:25" ht="16">
      <c r="C8" s="423"/>
      <c r="D8" s="426"/>
      <c r="E8" s="218" t="s">
        <v>133</v>
      </c>
      <c r="F8" s="217">
        <v>56.5</v>
      </c>
      <c r="G8" s="216">
        <v>75.8</v>
      </c>
      <c r="H8" s="215">
        <v>19.299999999999997</v>
      </c>
      <c r="I8" s="214" t="s">
        <v>173</v>
      </c>
      <c r="M8" s="1"/>
      <c r="Q8" s="1"/>
      <c r="U8" s="1"/>
      <c r="Y8" s="1"/>
    </row>
    <row r="9" spans="3:25" ht="16.5" thickBot="1">
      <c r="C9" s="424"/>
      <c r="D9" s="427" t="s">
        <v>101</v>
      </c>
      <c r="E9" s="428"/>
      <c r="F9" s="188">
        <v>102.1</v>
      </c>
      <c r="G9" s="187">
        <v>126</v>
      </c>
      <c r="H9" s="187">
        <v>23.9</v>
      </c>
      <c r="I9" s="213" t="s">
        <v>81</v>
      </c>
      <c r="M9" s="1"/>
      <c r="Q9" s="1"/>
      <c r="U9" s="1"/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M10" s="1"/>
      <c r="Q10" s="1"/>
      <c r="U10" s="1"/>
      <c r="Y10" s="1"/>
    </row>
    <row r="11" spans="3:25" ht="16.5" thickBot="1">
      <c r="C11" s="429" t="s">
        <v>132</v>
      </c>
      <c r="D11" s="430"/>
      <c r="E11" s="431"/>
      <c r="F11" s="432">
        <v>45199</v>
      </c>
      <c r="G11" s="433"/>
      <c r="H11" s="433"/>
      <c r="I11" s="434"/>
      <c r="M11" s="1"/>
      <c r="Q11" s="1"/>
      <c r="U11" s="1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M12" s="1"/>
      <c r="Q12" s="1"/>
      <c r="U12" s="1"/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M13" s="1"/>
      <c r="Q13" s="1"/>
      <c r="U13" s="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M14" s="1"/>
      <c r="Q14" s="1"/>
      <c r="U14" s="1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M15" s="1"/>
      <c r="Q15" s="1"/>
      <c r="U15" s="1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M16" s="1"/>
      <c r="Q16" s="1"/>
      <c r="U16" s="1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M17" s="1"/>
      <c r="Q17" s="1"/>
      <c r="U17" s="1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M18" s="1"/>
      <c r="Q18" s="1"/>
      <c r="U18" s="1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145</v>
      </c>
      <c r="M19" s="1"/>
      <c r="Q19" s="1"/>
      <c r="U19" s="1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M20" s="1"/>
      <c r="Q20" s="1"/>
      <c r="U20" s="1"/>
      <c r="Y20" s="1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M21" s="1"/>
      <c r="Q21" s="1"/>
      <c r="U21" s="1"/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M22" s="1"/>
      <c r="Q22" s="1"/>
      <c r="U22" s="1"/>
      <c r="Y22" s="1"/>
    </row>
    <row r="23" spans="3:25" ht="16.5" thickBot="1">
      <c r="C23" s="429" t="s">
        <v>120</v>
      </c>
      <c r="D23" s="430"/>
      <c r="E23" s="431"/>
      <c r="F23" s="432">
        <v>45199</v>
      </c>
      <c r="G23" s="433"/>
      <c r="H23" s="433"/>
      <c r="I23" s="434"/>
      <c r="M23" s="1"/>
      <c r="Q23" s="1"/>
      <c r="U23" s="1"/>
      <c r="Y23" s="1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M24" s="1"/>
      <c r="Q24" s="1"/>
      <c r="U24" s="1"/>
      <c r="Y24" s="1"/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173</v>
      </c>
      <c r="M25" s="1"/>
      <c r="Q25" s="1"/>
      <c r="U25" s="1"/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M26" s="1"/>
      <c r="Q26" s="1"/>
      <c r="U26" s="1"/>
      <c r="Y26" s="1"/>
    </row>
    <row r="27" spans="3:25" ht="16.5" thickBot="1">
      <c r="C27" s="429" t="s">
        <v>116</v>
      </c>
      <c r="D27" s="430"/>
      <c r="E27" s="431"/>
      <c r="F27" s="432">
        <v>45199</v>
      </c>
      <c r="G27" s="433"/>
      <c r="H27" s="433"/>
      <c r="I27" s="434"/>
      <c r="M27" s="1"/>
      <c r="Q27" s="1"/>
      <c r="U27" s="1"/>
      <c r="Y27" s="1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M28" s="1"/>
      <c r="Q28" s="1"/>
      <c r="U28" s="1"/>
      <c r="Y28" s="1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21.2</v>
      </c>
      <c r="H29" s="457">
        <v>-22.599999999999998</v>
      </c>
      <c r="I29" s="459" t="s">
        <v>146</v>
      </c>
      <c r="M29" s="1"/>
      <c r="Q29" s="1"/>
      <c r="U29" s="1"/>
      <c r="Y29" s="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M30" s="1"/>
      <c r="Q30" s="1"/>
      <c r="U30" s="1"/>
      <c r="Y30" s="1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M31" s="1"/>
      <c r="Q31" s="1"/>
      <c r="U31" s="1"/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M32" s="1"/>
      <c r="Q32" s="1"/>
      <c r="U32" s="1"/>
      <c r="Y32" s="1"/>
    </row>
    <row r="33" spans="3:25" ht="16">
      <c r="C33" s="451"/>
      <c r="D33" s="466" t="s">
        <v>107</v>
      </c>
      <c r="E33" s="201" t="s">
        <v>106</v>
      </c>
      <c r="F33" s="200">
        <v>39</v>
      </c>
      <c r="G33" s="199">
        <v>35.700000000000003</v>
      </c>
      <c r="H33" s="457">
        <v>-3.2999999999999972</v>
      </c>
      <c r="I33" s="459" t="s">
        <v>184</v>
      </c>
      <c r="M33" s="1"/>
      <c r="Q33" s="1"/>
      <c r="U33" s="1"/>
      <c r="Y33" s="1"/>
    </row>
    <row r="34" spans="3:25" ht="16">
      <c r="C34" s="451"/>
      <c r="D34" s="467"/>
      <c r="E34" s="463" t="s">
        <v>104</v>
      </c>
      <c r="F34" s="198">
        <v>0.25</v>
      </c>
      <c r="G34" s="197">
        <v>0.23</v>
      </c>
      <c r="H34" s="458"/>
      <c r="I34" s="460"/>
      <c r="M34" s="1"/>
      <c r="Q34" s="1"/>
      <c r="U34" s="1"/>
      <c r="Y34" s="1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M35" s="1"/>
      <c r="Q35" s="1"/>
      <c r="U35" s="1"/>
      <c r="Y35" s="1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M36" s="1"/>
      <c r="Q36" s="1"/>
      <c r="U36" s="1"/>
      <c r="Y36" s="1"/>
    </row>
    <row r="37" spans="3:25" ht="16">
      <c r="C37" s="451"/>
      <c r="D37" s="467"/>
      <c r="E37" s="190" t="s">
        <v>103</v>
      </c>
      <c r="F37" s="166">
        <v>13</v>
      </c>
      <c r="G37" s="165">
        <v>0.3</v>
      </c>
      <c r="H37" s="164">
        <v>-12.7</v>
      </c>
      <c r="I37" s="189" t="s">
        <v>170</v>
      </c>
      <c r="M37" s="1"/>
      <c r="Q37" s="1"/>
      <c r="U37" s="1"/>
      <c r="Y37" s="1"/>
    </row>
    <row r="38" spans="3:25" ht="16.5" thickBot="1">
      <c r="C38" s="452"/>
      <c r="D38" s="427" t="s">
        <v>101</v>
      </c>
      <c r="E38" s="428"/>
      <c r="F38" s="188">
        <v>150.19999999999999</v>
      </c>
      <c r="G38" s="187">
        <v>111.6</v>
      </c>
      <c r="H38" s="187">
        <v>-38.599999999999994</v>
      </c>
      <c r="I38" s="186"/>
      <c r="M38" s="1"/>
      <c r="Q38" s="1"/>
      <c r="U38" s="1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M39" s="1"/>
      <c r="Q39" s="1"/>
      <c r="U39" s="1"/>
      <c r="Y39" s="1"/>
    </row>
    <row r="40" spans="3:25" ht="16.5" thickBot="1">
      <c r="C40" s="429" t="s">
        <v>100</v>
      </c>
      <c r="D40" s="430"/>
      <c r="E40" s="431"/>
      <c r="F40" s="469">
        <v>45199</v>
      </c>
      <c r="G40" s="470"/>
      <c r="H40" s="470"/>
      <c r="I40" s="471"/>
      <c r="M40" s="1"/>
      <c r="Q40" s="1"/>
      <c r="U40" s="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M41" s="1"/>
      <c r="Q41" s="1"/>
      <c r="U41" s="1"/>
      <c r="Y41" s="1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M42" s="1"/>
      <c r="Q42" s="1"/>
      <c r="U42" s="1"/>
      <c r="Y42" s="1"/>
    </row>
    <row r="43" spans="3:25" ht="16.5" thickBot="1">
      <c r="C43" s="474"/>
      <c r="D43" s="475"/>
      <c r="E43" s="477"/>
      <c r="F43" s="183">
        <v>208</v>
      </c>
      <c r="G43" s="479"/>
      <c r="H43" s="480"/>
      <c r="I43" s="481"/>
      <c r="M43" s="1"/>
      <c r="Q43" s="1"/>
      <c r="U43" s="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M44" s="1"/>
      <c r="Q44" s="1"/>
      <c r="U44" s="1"/>
      <c r="Y44" s="1"/>
    </row>
    <row r="45" spans="3:25" ht="16.5" thickBot="1">
      <c r="C45" s="429" t="s">
        <v>94</v>
      </c>
      <c r="D45" s="430"/>
      <c r="E45" s="431"/>
      <c r="F45" s="469">
        <v>45199</v>
      </c>
      <c r="G45" s="470"/>
      <c r="H45" s="470"/>
      <c r="I45" s="471"/>
      <c r="M45" s="1"/>
      <c r="Q45" s="1"/>
      <c r="U45" s="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M46" s="1"/>
      <c r="Q46" s="1"/>
      <c r="U46" s="1"/>
      <c r="Y46" s="1"/>
    </row>
    <row r="47" spans="3:25" ht="16">
      <c r="C47" s="444"/>
      <c r="D47" s="483"/>
      <c r="E47" s="488" t="s">
        <v>91</v>
      </c>
      <c r="F47" s="178">
        <v>29.4</v>
      </c>
      <c r="G47" s="478">
        <v>29.8</v>
      </c>
      <c r="H47" s="457">
        <v>0.40000000000000213</v>
      </c>
      <c r="I47" s="459" t="s">
        <v>145</v>
      </c>
      <c r="M47" s="1"/>
      <c r="Q47" s="1"/>
      <c r="U47" s="1"/>
      <c r="Y47" s="1"/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M48" s="1"/>
      <c r="Q48" s="1"/>
      <c r="U48" s="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M49" s="1"/>
      <c r="Q49" s="1"/>
      <c r="U49" s="1"/>
      <c r="Y49" s="1"/>
    </row>
    <row r="50" spans="1:25" ht="16.5" thickBot="1">
      <c r="C50" s="429" t="s">
        <v>89</v>
      </c>
      <c r="D50" s="430"/>
      <c r="E50" s="431"/>
      <c r="F50" s="469">
        <v>45199</v>
      </c>
      <c r="G50" s="470"/>
      <c r="H50" s="470"/>
      <c r="I50" s="471"/>
      <c r="M50" s="1"/>
      <c r="Q50" s="1"/>
      <c r="U50" s="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M51" s="1"/>
      <c r="Q51" s="1"/>
      <c r="U51" s="1"/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M52" s="1"/>
      <c r="Q52" s="1"/>
      <c r="U52" s="1"/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22.8</v>
      </c>
      <c r="H53" s="223" t="s">
        <v>81</v>
      </c>
      <c r="I53" s="222" t="s">
        <v>201</v>
      </c>
      <c r="M53" s="1"/>
      <c r="Q53" s="1"/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51">
    <mergeCell ref="C51:D53"/>
    <mergeCell ref="C50:E50"/>
    <mergeCell ref="F50:I50"/>
    <mergeCell ref="C46:D48"/>
    <mergeCell ref="E47:E48"/>
    <mergeCell ref="G47:G48"/>
    <mergeCell ref="H47:H48"/>
    <mergeCell ref="I47:I48"/>
    <mergeCell ref="C45:E45"/>
    <mergeCell ref="F45:I45"/>
    <mergeCell ref="C41:D43"/>
    <mergeCell ref="E42:E43"/>
    <mergeCell ref="G42:G43"/>
    <mergeCell ref="H42:H43"/>
    <mergeCell ref="I42:I43"/>
    <mergeCell ref="C40:E40"/>
    <mergeCell ref="F40:I40"/>
    <mergeCell ref="E34:E36"/>
    <mergeCell ref="D33:D37"/>
    <mergeCell ref="H33:H34"/>
    <mergeCell ref="I33:I34"/>
    <mergeCell ref="E31:E32"/>
    <mergeCell ref="G31:G32"/>
    <mergeCell ref="H31:H32"/>
    <mergeCell ref="I31:I32"/>
    <mergeCell ref="C28:C38"/>
    <mergeCell ref="D29:D32"/>
    <mergeCell ref="E29:E30"/>
    <mergeCell ref="G29:G30"/>
    <mergeCell ref="H29:H30"/>
    <mergeCell ref="I29:I30"/>
    <mergeCell ref="D38:E38"/>
    <mergeCell ref="C24:D25"/>
    <mergeCell ref="E24:E25"/>
    <mergeCell ref="C27:E27"/>
    <mergeCell ref="F27:I27"/>
    <mergeCell ref="C23:E23"/>
    <mergeCell ref="F23:I23"/>
    <mergeCell ref="C12:C21"/>
    <mergeCell ref="D13:D14"/>
    <mergeCell ref="D15:D16"/>
    <mergeCell ref="D17:D20"/>
    <mergeCell ref="D21:E21"/>
    <mergeCell ref="F11:I11"/>
    <mergeCell ref="C3:E3"/>
    <mergeCell ref="F3:I3"/>
    <mergeCell ref="C4:C9"/>
    <mergeCell ref="D5:D6"/>
    <mergeCell ref="D7:D8"/>
    <mergeCell ref="D9:E9"/>
    <mergeCell ref="C11:E1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&amp;"メイリオ,ボールド"&amp;22日別の優先給電ルールに基づく抑制、調整状況（2023年9月）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32C7-CAD1-4A75-B933-30E392E68879}">
  <dimension ref="B1:O64"/>
  <sheetViews>
    <sheetView showGridLines="0" view="pageBreakPreview" topLeftCell="E1" zoomScale="85" zoomScaleNormal="70" zoomScaleSheetLayoutView="85" zoomScalePageLayoutView="85" workbookViewId="0">
      <selection activeCell="E63" sqref="E6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45802</v>
      </c>
      <c r="G3" s="26" t="s">
        <v>48</v>
      </c>
      <c r="H3" s="25">
        <v>45803</v>
      </c>
      <c r="I3" s="26" t="s">
        <v>48</v>
      </c>
      <c r="J3" s="25">
        <v>45804</v>
      </c>
      <c r="K3" s="26" t="s">
        <v>48</v>
      </c>
      <c r="L3" s="25">
        <v>45805</v>
      </c>
      <c r="M3" s="26" t="s">
        <v>48</v>
      </c>
      <c r="N3" s="25">
        <v>45808</v>
      </c>
      <c r="O3" s="26" t="s">
        <v>49</v>
      </c>
    </row>
    <row r="4" spans="2:15" ht="16.5" thickBot="1">
      <c r="B4" s="31"/>
      <c r="C4" s="4"/>
      <c r="D4" s="4"/>
      <c r="E4" s="4"/>
      <c r="F4" s="5" t="s">
        <v>69</v>
      </c>
      <c r="G4" s="7" t="s">
        <v>44</v>
      </c>
      <c r="H4" s="6" t="s">
        <v>69</v>
      </c>
      <c r="I4" s="7" t="s">
        <v>44</v>
      </c>
      <c r="J4" s="6" t="s">
        <v>69</v>
      </c>
      <c r="K4" s="7" t="s">
        <v>44</v>
      </c>
      <c r="L4" s="6" t="s">
        <v>69</v>
      </c>
      <c r="M4" s="7" t="s">
        <v>44</v>
      </c>
      <c r="N4" s="6" t="s">
        <v>69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73.3</v>
      </c>
      <c r="G5" s="384" t="s">
        <v>45</v>
      </c>
      <c r="H5" s="9">
        <v>76.7</v>
      </c>
      <c r="I5" s="384" t="s">
        <v>45</v>
      </c>
      <c r="J5" s="9">
        <v>76.099999999999994</v>
      </c>
      <c r="K5" s="384" t="s">
        <v>45</v>
      </c>
      <c r="L5" s="9">
        <v>83</v>
      </c>
      <c r="M5" s="384" t="s">
        <v>45</v>
      </c>
      <c r="N5" s="9">
        <v>74.5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54.7</v>
      </c>
      <c r="G6" s="385"/>
      <c r="H6" s="10">
        <v>68.3</v>
      </c>
      <c r="I6" s="385"/>
      <c r="J6" s="10">
        <v>68.400000000000006</v>
      </c>
      <c r="K6" s="385"/>
      <c r="L6" s="10">
        <v>78.900000000000006</v>
      </c>
      <c r="M6" s="385"/>
      <c r="N6" s="10">
        <v>49.5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297.5</v>
      </c>
      <c r="G7" s="385"/>
      <c r="H7" s="28">
        <v>294.7</v>
      </c>
      <c r="I7" s="385"/>
      <c r="J7" s="28">
        <v>297.3</v>
      </c>
      <c r="K7" s="385"/>
      <c r="L7" s="28">
        <v>297.39999999999998</v>
      </c>
      <c r="M7" s="385"/>
      <c r="N7" s="28">
        <v>297.39999999999998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88</v>
      </c>
      <c r="G8" s="385"/>
      <c r="H8" s="29">
        <v>82.3</v>
      </c>
      <c r="I8" s="385"/>
      <c r="J8" s="29">
        <v>87.3</v>
      </c>
      <c r="K8" s="385"/>
      <c r="L8" s="29">
        <v>84.600000000000023</v>
      </c>
      <c r="M8" s="385"/>
      <c r="N8" s="29">
        <v>63.800000000000253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14.6</v>
      </c>
      <c r="G9" s="385"/>
      <c r="H9" s="30">
        <v>14.6</v>
      </c>
      <c r="I9" s="385"/>
      <c r="J9" s="30">
        <v>14.6</v>
      </c>
      <c r="K9" s="385"/>
      <c r="L9" s="30">
        <v>14.6</v>
      </c>
      <c r="M9" s="385"/>
      <c r="N9" s="30">
        <v>14.6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36</v>
      </c>
      <c r="G10" s="385"/>
      <c r="H10" s="11">
        <v>34.6</v>
      </c>
      <c r="I10" s="385"/>
      <c r="J10" s="11">
        <v>32.700000000000003</v>
      </c>
      <c r="K10" s="385"/>
      <c r="L10" s="11">
        <v>36.700000000000003</v>
      </c>
      <c r="M10" s="385"/>
      <c r="N10" s="11">
        <v>42.5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25.9</v>
      </c>
      <c r="G11" s="385"/>
      <c r="H11" s="12">
        <v>23.5</v>
      </c>
      <c r="I11" s="385"/>
      <c r="J11" s="12">
        <v>23.3</v>
      </c>
      <c r="K11" s="385"/>
      <c r="L11" s="12">
        <v>24.7</v>
      </c>
      <c r="M11" s="385"/>
      <c r="N11" s="12">
        <v>25.5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608.29999999999995</v>
      </c>
      <c r="G12" s="385"/>
      <c r="H12" s="13">
        <v>686.4</v>
      </c>
      <c r="I12" s="385"/>
      <c r="J12" s="13">
        <v>932.3</v>
      </c>
      <c r="K12" s="385"/>
      <c r="L12" s="13">
        <v>743.8</v>
      </c>
      <c r="M12" s="385"/>
      <c r="N12" s="13">
        <v>987.4</v>
      </c>
      <c r="O12" s="385"/>
    </row>
    <row r="13" spans="2:15" ht="16">
      <c r="B13" s="376"/>
      <c r="C13" s="379"/>
      <c r="D13" s="388"/>
      <c r="E13" s="45" t="s">
        <v>27</v>
      </c>
      <c r="F13" s="13">
        <v>15.6</v>
      </c>
      <c r="G13" s="385"/>
      <c r="H13" s="13">
        <v>1.8</v>
      </c>
      <c r="I13" s="385"/>
      <c r="J13" s="13">
        <v>4</v>
      </c>
      <c r="K13" s="385"/>
      <c r="L13" s="13">
        <v>4.2</v>
      </c>
      <c r="M13" s="385"/>
      <c r="N13" s="13">
        <v>11.8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308</v>
      </c>
      <c r="G14" s="385"/>
      <c r="H14" s="14">
        <v>169</v>
      </c>
      <c r="I14" s="385"/>
      <c r="J14" s="14">
        <v>69</v>
      </c>
      <c r="K14" s="385"/>
      <c r="L14" s="14">
        <v>169</v>
      </c>
      <c r="M14" s="385"/>
      <c r="N14" s="14">
        <v>54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1521.8999999999999</v>
      </c>
      <c r="G15" s="385"/>
      <c r="H15" s="15">
        <v>1451.8999999999999</v>
      </c>
      <c r="I15" s="385"/>
      <c r="J15" s="15">
        <v>1605</v>
      </c>
      <c r="K15" s="385"/>
      <c r="L15" s="15">
        <v>1536.9</v>
      </c>
      <c r="M15" s="385"/>
      <c r="N15" s="15">
        <v>1621.0000000000002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745</v>
      </c>
      <c r="G16" s="385"/>
      <c r="H16" s="8">
        <v>915</v>
      </c>
      <c r="I16" s="385"/>
      <c r="J16" s="8">
        <v>885</v>
      </c>
      <c r="K16" s="385"/>
      <c r="L16" s="8">
        <v>925</v>
      </c>
      <c r="M16" s="385"/>
      <c r="N16" s="8">
        <v>805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-159.1</v>
      </c>
      <c r="G17" s="385"/>
      <c r="H17" s="16">
        <v>-159.1</v>
      </c>
      <c r="I17" s="385"/>
      <c r="J17" s="16">
        <v>-159.1</v>
      </c>
      <c r="K17" s="385"/>
      <c r="L17" s="16">
        <v>-159.1</v>
      </c>
      <c r="M17" s="385"/>
      <c r="N17" s="16">
        <v>-159.1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-4.4000000000000004</v>
      </c>
      <c r="G18" s="385"/>
      <c r="H18" s="17">
        <v>-4.4000000000000004</v>
      </c>
      <c r="I18" s="385"/>
      <c r="J18" s="17">
        <v>-4.4000000000000004</v>
      </c>
      <c r="K18" s="385"/>
      <c r="L18" s="17">
        <v>-4.4000000000000004</v>
      </c>
      <c r="M18" s="385"/>
      <c r="N18" s="17">
        <v>-4.4000000000000004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-174.1</v>
      </c>
      <c r="G19" s="385"/>
      <c r="H19" s="18">
        <v>-183.8</v>
      </c>
      <c r="I19" s="385"/>
      <c r="J19" s="18">
        <v>-185.4</v>
      </c>
      <c r="K19" s="385"/>
      <c r="L19" s="18">
        <v>-185.8</v>
      </c>
      <c r="M19" s="385"/>
      <c r="N19" s="18">
        <v>-165.4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1082.5999999999999</v>
      </c>
      <c r="G21" s="386"/>
      <c r="H21" s="27">
        <v>1262.3</v>
      </c>
      <c r="I21" s="386"/>
      <c r="J21" s="27">
        <v>1233.9000000000001</v>
      </c>
      <c r="K21" s="386"/>
      <c r="L21" s="27">
        <v>1274.3</v>
      </c>
      <c r="M21" s="386"/>
      <c r="N21" s="27">
        <v>1133.9000000000001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1521.8999999999999</v>
      </c>
      <c r="G23" s="400"/>
      <c r="H23" s="20">
        <v>1451.8999999999999</v>
      </c>
      <c r="I23" s="400"/>
      <c r="J23" s="20">
        <v>1605</v>
      </c>
      <c r="K23" s="400"/>
      <c r="L23" s="20">
        <v>1536.9</v>
      </c>
      <c r="M23" s="400"/>
      <c r="N23" s="20">
        <v>1621.0000000000002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1082.5999999999999</v>
      </c>
      <c r="G24" s="401"/>
      <c r="H24" s="21">
        <v>1262.3</v>
      </c>
      <c r="I24" s="401"/>
      <c r="J24" s="21">
        <v>1233.9000000000001</v>
      </c>
      <c r="K24" s="401"/>
      <c r="L24" s="21">
        <v>1274.3</v>
      </c>
      <c r="M24" s="401"/>
      <c r="N24" s="21">
        <v>1133.9000000000001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439.29999999999995</v>
      </c>
      <c r="G25" s="402"/>
      <c r="H25" s="67">
        <v>189.59999999999991</v>
      </c>
      <c r="I25" s="402"/>
      <c r="J25" s="67">
        <v>371.09999999999991</v>
      </c>
      <c r="K25" s="402"/>
      <c r="L25" s="67">
        <v>262.60000000000014</v>
      </c>
      <c r="M25" s="402"/>
      <c r="N25" s="67">
        <v>487.10000000000014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AB0E-C316-4753-862C-578CDF7D56FC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45200</v>
      </c>
      <c r="G3" s="26" t="s">
        <v>50</v>
      </c>
      <c r="H3" s="25">
        <v>45201</v>
      </c>
      <c r="I3" s="26" t="s">
        <v>48</v>
      </c>
      <c r="J3" s="25">
        <v>45205</v>
      </c>
      <c r="K3" s="26" t="s">
        <v>49</v>
      </c>
      <c r="L3" s="25">
        <v>45206</v>
      </c>
      <c r="M3" s="26" t="s">
        <v>49</v>
      </c>
      <c r="N3" s="25">
        <v>45209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118.8</v>
      </c>
      <c r="G5" s="384" t="s">
        <v>195</v>
      </c>
      <c r="H5" s="9">
        <v>108.5</v>
      </c>
      <c r="I5" s="384" t="s">
        <v>195</v>
      </c>
      <c r="J5" s="9">
        <v>120.8</v>
      </c>
      <c r="K5" s="384" t="s">
        <v>195</v>
      </c>
      <c r="L5" s="9">
        <v>118.9</v>
      </c>
      <c r="M5" s="384" t="s">
        <v>195</v>
      </c>
      <c r="N5" s="9">
        <v>106.5</v>
      </c>
      <c r="O5" s="384" t="s">
        <v>195</v>
      </c>
    </row>
    <row r="6" spans="2:15" ht="16">
      <c r="B6" s="376"/>
      <c r="C6" s="379"/>
      <c r="D6" s="34" t="s">
        <v>12</v>
      </c>
      <c r="E6" s="319" t="s">
        <v>196</v>
      </c>
      <c r="F6" s="10">
        <v>94.4</v>
      </c>
      <c r="G6" s="385"/>
      <c r="H6" s="10">
        <v>109.4</v>
      </c>
      <c r="I6" s="385"/>
      <c r="J6" s="10">
        <v>156.19999999999999</v>
      </c>
      <c r="K6" s="385"/>
      <c r="L6" s="10">
        <v>70.599999999999994</v>
      </c>
      <c r="M6" s="385"/>
      <c r="N6" s="10">
        <v>76.3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409.5</v>
      </c>
      <c r="G7" s="385"/>
      <c r="H7" s="28">
        <v>409.5</v>
      </c>
      <c r="I7" s="385"/>
      <c r="J7" s="28">
        <v>410.6</v>
      </c>
      <c r="K7" s="385"/>
      <c r="L7" s="28">
        <v>410.7</v>
      </c>
      <c r="M7" s="385"/>
      <c r="N7" s="28">
        <v>408.6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24.700000000000205</v>
      </c>
      <c r="G8" s="385"/>
      <c r="H8" s="29">
        <v>21.200000000000035</v>
      </c>
      <c r="I8" s="385"/>
      <c r="J8" s="29">
        <v>17.700000000000294</v>
      </c>
      <c r="K8" s="385"/>
      <c r="L8" s="29">
        <v>21.000000000000092</v>
      </c>
      <c r="M8" s="385"/>
      <c r="N8" s="29">
        <v>30.5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15.9</v>
      </c>
      <c r="G9" s="385"/>
      <c r="H9" s="30">
        <v>15.9</v>
      </c>
      <c r="I9" s="385"/>
      <c r="J9" s="30">
        <v>15.5</v>
      </c>
      <c r="K9" s="385"/>
      <c r="L9" s="30">
        <v>15.5</v>
      </c>
      <c r="M9" s="385"/>
      <c r="N9" s="30">
        <v>14.9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32.5</v>
      </c>
      <c r="G10" s="385"/>
      <c r="H10" s="11">
        <v>32.5</v>
      </c>
      <c r="I10" s="385"/>
      <c r="J10" s="11">
        <v>30</v>
      </c>
      <c r="K10" s="385"/>
      <c r="L10" s="11">
        <v>29.6</v>
      </c>
      <c r="M10" s="385"/>
      <c r="N10" s="11">
        <v>29.6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22</v>
      </c>
      <c r="G11" s="385"/>
      <c r="H11" s="12">
        <v>22.7</v>
      </c>
      <c r="I11" s="385"/>
      <c r="J11" s="12">
        <v>22.4</v>
      </c>
      <c r="K11" s="385"/>
      <c r="L11" s="12">
        <v>23.1</v>
      </c>
      <c r="M11" s="385"/>
      <c r="N11" s="12">
        <v>21.8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812.2</v>
      </c>
      <c r="G12" s="385"/>
      <c r="H12" s="13">
        <v>859.6</v>
      </c>
      <c r="I12" s="385"/>
      <c r="J12" s="13">
        <v>844.2</v>
      </c>
      <c r="K12" s="385"/>
      <c r="L12" s="13">
        <v>399.7</v>
      </c>
      <c r="M12" s="385"/>
      <c r="N12" s="13">
        <v>840.9</v>
      </c>
      <c r="O12" s="385"/>
    </row>
    <row r="13" spans="2:15" ht="16">
      <c r="B13" s="376"/>
      <c r="C13" s="379"/>
      <c r="D13" s="388"/>
      <c r="E13" s="45" t="s">
        <v>27</v>
      </c>
      <c r="F13" s="13">
        <v>12.6</v>
      </c>
      <c r="G13" s="385"/>
      <c r="H13" s="13">
        <v>12.6</v>
      </c>
      <c r="I13" s="385"/>
      <c r="J13" s="13">
        <v>2.6</v>
      </c>
      <c r="K13" s="385"/>
      <c r="L13" s="13">
        <v>5.3</v>
      </c>
      <c r="M13" s="385"/>
      <c r="N13" s="13">
        <v>14.5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109</v>
      </c>
      <c r="G14" s="385"/>
      <c r="H14" s="14">
        <v>78.8</v>
      </c>
      <c r="I14" s="385"/>
      <c r="J14" s="14">
        <v>106.8</v>
      </c>
      <c r="K14" s="385"/>
      <c r="L14" s="14">
        <v>323</v>
      </c>
      <c r="M14" s="385"/>
      <c r="N14" s="14">
        <v>109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1651.6000000000001</v>
      </c>
      <c r="G15" s="385"/>
      <c r="H15" s="15">
        <v>1670.7</v>
      </c>
      <c r="I15" s="385"/>
      <c r="J15" s="15">
        <v>1726.8000000000002</v>
      </c>
      <c r="K15" s="385"/>
      <c r="L15" s="15">
        <v>1417.4</v>
      </c>
      <c r="M15" s="385"/>
      <c r="N15" s="15">
        <v>1652.6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855</v>
      </c>
      <c r="G16" s="385"/>
      <c r="H16" s="8">
        <v>1055</v>
      </c>
      <c r="I16" s="385"/>
      <c r="J16" s="8">
        <v>953.5</v>
      </c>
      <c r="K16" s="385"/>
      <c r="L16" s="8">
        <v>859.2</v>
      </c>
      <c r="M16" s="385"/>
      <c r="N16" s="8">
        <v>953.5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-219.2</v>
      </c>
      <c r="K17" s="385"/>
      <c r="L17" s="16">
        <v>-253.2</v>
      </c>
      <c r="M17" s="385"/>
      <c r="N17" s="16">
        <v>-201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>
        <v>-4.8</v>
      </c>
      <c r="I18" s="385"/>
      <c r="J18" s="17">
        <v>-4.8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-193</v>
      </c>
      <c r="G19" s="385"/>
      <c r="H19" s="18">
        <v>-236</v>
      </c>
      <c r="I19" s="385"/>
      <c r="J19" s="18">
        <v>-236</v>
      </c>
      <c r="K19" s="385"/>
      <c r="L19" s="18">
        <v>-182.1</v>
      </c>
      <c r="M19" s="385"/>
      <c r="N19" s="18">
        <v>-210.5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11.1</v>
      </c>
      <c r="K20" s="385"/>
      <c r="L20" s="19">
        <v>-10.9</v>
      </c>
      <c r="M20" s="385"/>
      <c r="N20" s="19">
        <v>-0.4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1238</v>
      </c>
      <c r="G21" s="386"/>
      <c r="H21" s="27">
        <v>1481</v>
      </c>
      <c r="I21" s="386"/>
      <c r="J21" s="27">
        <v>1402.4</v>
      </c>
      <c r="K21" s="386"/>
      <c r="L21" s="27">
        <v>1310.2</v>
      </c>
      <c r="M21" s="386"/>
      <c r="N21" s="27">
        <v>1370.2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193</v>
      </c>
      <c r="H22" s="6" t="s">
        <v>43</v>
      </c>
      <c r="I22" s="7" t="s">
        <v>193</v>
      </c>
      <c r="J22" s="6" t="s">
        <v>43</v>
      </c>
      <c r="K22" s="7" t="s">
        <v>193</v>
      </c>
      <c r="L22" s="6" t="s">
        <v>43</v>
      </c>
      <c r="M22" s="7" t="s">
        <v>193</v>
      </c>
      <c r="N22" s="6" t="s">
        <v>43</v>
      </c>
      <c r="O22" s="7" t="s">
        <v>193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1651.6000000000001</v>
      </c>
      <c r="G23" s="400"/>
      <c r="H23" s="20">
        <v>1670.7</v>
      </c>
      <c r="I23" s="400"/>
      <c r="J23" s="20">
        <v>1726.8000000000002</v>
      </c>
      <c r="K23" s="400"/>
      <c r="L23" s="20">
        <v>1417.4</v>
      </c>
      <c r="M23" s="400"/>
      <c r="N23" s="20">
        <v>1652.6</v>
      </c>
      <c r="O23" s="400"/>
    </row>
    <row r="24" spans="2:15" ht="16">
      <c r="B24" s="409"/>
      <c r="C24" s="403" t="s">
        <v>37</v>
      </c>
      <c r="D24" s="404"/>
      <c r="E24" s="405"/>
      <c r="F24" s="21">
        <v>1238</v>
      </c>
      <c r="G24" s="401"/>
      <c r="H24" s="21">
        <v>1481</v>
      </c>
      <c r="I24" s="401"/>
      <c r="J24" s="21">
        <v>1402.4</v>
      </c>
      <c r="K24" s="401"/>
      <c r="L24" s="21">
        <v>1310.2</v>
      </c>
      <c r="M24" s="401"/>
      <c r="N24" s="21">
        <v>1370.2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413.60000000000014</v>
      </c>
      <c r="G25" s="402"/>
      <c r="H25" s="67">
        <v>189.70000000000005</v>
      </c>
      <c r="I25" s="402"/>
      <c r="J25" s="67">
        <v>324.40000000000009</v>
      </c>
      <c r="K25" s="402"/>
      <c r="L25" s="67">
        <v>107.20000000000005</v>
      </c>
      <c r="M25" s="402"/>
      <c r="N25" s="67">
        <v>282.39999999999986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日別の需給状況・再エネ出力抑制の必要性（2023年10月）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6A4D-A2C5-411B-A499-12C744779319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45210</v>
      </c>
      <c r="G3" s="26" t="s">
        <v>49</v>
      </c>
      <c r="H3" s="25">
        <v>45211</v>
      </c>
      <c r="I3" s="26" t="s">
        <v>48</v>
      </c>
      <c r="J3" s="25">
        <v>45212</v>
      </c>
      <c r="K3" s="26" t="s">
        <v>48</v>
      </c>
      <c r="L3" s="25">
        <v>45214</v>
      </c>
      <c r="M3" s="26" t="s">
        <v>50</v>
      </c>
      <c r="N3" s="25">
        <v>45215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106.4</v>
      </c>
      <c r="G5" s="384" t="s">
        <v>195</v>
      </c>
      <c r="H5" s="9">
        <v>97.3</v>
      </c>
      <c r="I5" s="384" t="s">
        <v>195</v>
      </c>
      <c r="J5" s="9">
        <v>98</v>
      </c>
      <c r="K5" s="384" t="s">
        <v>195</v>
      </c>
      <c r="L5" s="9">
        <v>73.2</v>
      </c>
      <c r="M5" s="384" t="s">
        <v>195</v>
      </c>
      <c r="N5" s="9">
        <v>86</v>
      </c>
      <c r="O5" s="384" t="s">
        <v>195</v>
      </c>
    </row>
    <row r="6" spans="2:15" ht="16">
      <c r="B6" s="376"/>
      <c r="C6" s="379"/>
      <c r="D6" s="34" t="s">
        <v>12</v>
      </c>
      <c r="E6" s="319" t="s">
        <v>196</v>
      </c>
      <c r="F6" s="10">
        <v>82.4</v>
      </c>
      <c r="G6" s="385"/>
      <c r="H6" s="10">
        <v>82.2</v>
      </c>
      <c r="I6" s="385"/>
      <c r="J6" s="10">
        <v>82.8</v>
      </c>
      <c r="K6" s="385"/>
      <c r="L6" s="10">
        <v>41.5</v>
      </c>
      <c r="M6" s="385"/>
      <c r="N6" s="10">
        <v>60.9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411.1</v>
      </c>
      <c r="G7" s="385"/>
      <c r="H7" s="28">
        <v>411.3</v>
      </c>
      <c r="I7" s="385"/>
      <c r="J7" s="28">
        <v>411.5</v>
      </c>
      <c r="K7" s="385"/>
      <c r="L7" s="28">
        <v>411.6</v>
      </c>
      <c r="M7" s="385"/>
      <c r="N7" s="28">
        <v>407.4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15.600000000000126</v>
      </c>
      <c r="G8" s="385"/>
      <c r="H8" s="29">
        <v>24.300000000000306</v>
      </c>
      <c r="I8" s="385"/>
      <c r="J8" s="29">
        <v>20</v>
      </c>
      <c r="K8" s="385"/>
      <c r="L8" s="29">
        <v>25.2</v>
      </c>
      <c r="M8" s="385"/>
      <c r="N8" s="29">
        <v>15.500000000000421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15.6</v>
      </c>
      <c r="G9" s="385"/>
      <c r="H9" s="30">
        <v>16.100000000000001</v>
      </c>
      <c r="I9" s="385"/>
      <c r="J9" s="30">
        <v>16</v>
      </c>
      <c r="K9" s="385"/>
      <c r="L9" s="30">
        <v>16</v>
      </c>
      <c r="M9" s="385"/>
      <c r="N9" s="30">
        <v>16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31.8</v>
      </c>
      <c r="G10" s="385"/>
      <c r="H10" s="11">
        <v>30.3</v>
      </c>
      <c r="I10" s="385"/>
      <c r="J10" s="11">
        <v>30.3</v>
      </c>
      <c r="K10" s="385"/>
      <c r="L10" s="11">
        <v>29.6</v>
      </c>
      <c r="M10" s="385"/>
      <c r="N10" s="11">
        <v>29.8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21.7</v>
      </c>
      <c r="G11" s="385"/>
      <c r="H11" s="12">
        <v>19.5</v>
      </c>
      <c r="I11" s="385"/>
      <c r="J11" s="12">
        <v>19.600000000000001</v>
      </c>
      <c r="K11" s="385"/>
      <c r="L11" s="12">
        <v>19.899999999999999</v>
      </c>
      <c r="M11" s="385"/>
      <c r="N11" s="12">
        <v>20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847.3</v>
      </c>
      <c r="G12" s="385"/>
      <c r="H12" s="13">
        <v>835.8</v>
      </c>
      <c r="I12" s="385"/>
      <c r="J12" s="13">
        <v>718.1</v>
      </c>
      <c r="K12" s="385"/>
      <c r="L12" s="13">
        <v>815.4</v>
      </c>
      <c r="M12" s="385"/>
      <c r="N12" s="13">
        <v>807.8</v>
      </c>
      <c r="O12" s="385"/>
    </row>
    <row r="13" spans="2:15" ht="16">
      <c r="B13" s="376"/>
      <c r="C13" s="379"/>
      <c r="D13" s="388"/>
      <c r="E13" s="45" t="s">
        <v>27</v>
      </c>
      <c r="F13" s="13">
        <v>10.3</v>
      </c>
      <c r="G13" s="385"/>
      <c r="H13" s="13">
        <v>12.4</v>
      </c>
      <c r="I13" s="385"/>
      <c r="J13" s="13">
        <v>6.9</v>
      </c>
      <c r="K13" s="385"/>
      <c r="L13" s="13">
        <v>23.5</v>
      </c>
      <c r="M13" s="385"/>
      <c r="N13" s="13">
        <v>14.8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103.7</v>
      </c>
      <c r="G14" s="385"/>
      <c r="H14" s="14">
        <v>102.6</v>
      </c>
      <c r="I14" s="385"/>
      <c r="J14" s="14">
        <v>206.3</v>
      </c>
      <c r="K14" s="385"/>
      <c r="L14" s="14">
        <v>109</v>
      </c>
      <c r="M14" s="385"/>
      <c r="N14" s="14">
        <v>109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1645.9</v>
      </c>
      <c r="G15" s="385"/>
      <c r="H15" s="15">
        <v>1631.8000000000002</v>
      </c>
      <c r="I15" s="385"/>
      <c r="J15" s="15">
        <v>1609.5</v>
      </c>
      <c r="K15" s="385"/>
      <c r="L15" s="15">
        <v>1564.9</v>
      </c>
      <c r="M15" s="385"/>
      <c r="N15" s="15">
        <v>1567.2000000000003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952.1</v>
      </c>
      <c r="G16" s="385"/>
      <c r="H16" s="8">
        <v>935</v>
      </c>
      <c r="I16" s="385"/>
      <c r="J16" s="8">
        <v>914.8</v>
      </c>
      <c r="K16" s="385"/>
      <c r="L16" s="8">
        <v>745</v>
      </c>
      <c r="M16" s="385"/>
      <c r="N16" s="8">
        <v>915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-201</v>
      </c>
      <c r="I17" s="385"/>
      <c r="J17" s="16">
        <v>-201</v>
      </c>
      <c r="K17" s="385"/>
      <c r="L17" s="16">
        <v>-253.2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>
        <v>-4.8</v>
      </c>
      <c r="I18" s="385"/>
      <c r="J18" s="17">
        <v>-4.8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-213.5</v>
      </c>
      <c r="G19" s="385"/>
      <c r="H19" s="18">
        <v>-210.5</v>
      </c>
      <c r="I19" s="385"/>
      <c r="J19" s="18">
        <v>-211.6</v>
      </c>
      <c r="K19" s="385"/>
      <c r="L19" s="18">
        <v>-156.9</v>
      </c>
      <c r="M19" s="385"/>
      <c r="N19" s="18">
        <v>-164.5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10.7</v>
      </c>
      <c r="G20" s="385"/>
      <c r="H20" s="19">
        <v>10.7</v>
      </c>
      <c r="I20" s="385"/>
      <c r="J20" s="19">
        <v>10.7</v>
      </c>
      <c r="K20" s="385"/>
      <c r="L20" s="19">
        <v>0</v>
      </c>
      <c r="M20" s="385"/>
      <c r="N20" s="19">
        <v>5.0999999999999996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1360.7</v>
      </c>
      <c r="G21" s="386"/>
      <c r="H21" s="27">
        <v>1340.6000000000001</v>
      </c>
      <c r="I21" s="386"/>
      <c r="J21" s="27">
        <v>1321.5</v>
      </c>
      <c r="K21" s="386"/>
      <c r="L21" s="27">
        <v>1159.9000000000001</v>
      </c>
      <c r="M21" s="386"/>
      <c r="N21" s="27">
        <v>1264.4000000000001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193</v>
      </c>
      <c r="H22" s="6" t="s">
        <v>43</v>
      </c>
      <c r="I22" s="7" t="s">
        <v>193</v>
      </c>
      <c r="J22" s="6" t="s">
        <v>43</v>
      </c>
      <c r="K22" s="7" t="s">
        <v>193</v>
      </c>
      <c r="L22" s="6" t="s">
        <v>43</v>
      </c>
      <c r="M22" s="7" t="s">
        <v>193</v>
      </c>
      <c r="N22" s="6" t="s">
        <v>43</v>
      </c>
      <c r="O22" s="7" t="s">
        <v>193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1645.9</v>
      </c>
      <c r="G23" s="400"/>
      <c r="H23" s="20">
        <v>1631.8000000000002</v>
      </c>
      <c r="I23" s="400"/>
      <c r="J23" s="20">
        <v>1609.5</v>
      </c>
      <c r="K23" s="400"/>
      <c r="L23" s="20">
        <v>1564.9</v>
      </c>
      <c r="M23" s="400"/>
      <c r="N23" s="20">
        <v>1567.2000000000003</v>
      </c>
      <c r="O23" s="400"/>
    </row>
    <row r="24" spans="2:15" ht="16">
      <c r="B24" s="409"/>
      <c r="C24" s="403" t="s">
        <v>37</v>
      </c>
      <c r="D24" s="404"/>
      <c r="E24" s="405"/>
      <c r="F24" s="21">
        <v>1360.7</v>
      </c>
      <c r="G24" s="401"/>
      <c r="H24" s="21">
        <v>1340.6000000000001</v>
      </c>
      <c r="I24" s="401"/>
      <c r="J24" s="21">
        <v>1321.5</v>
      </c>
      <c r="K24" s="401"/>
      <c r="L24" s="21">
        <v>1159.9000000000001</v>
      </c>
      <c r="M24" s="401"/>
      <c r="N24" s="21">
        <v>1264.4000000000001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285.20000000000005</v>
      </c>
      <c r="G25" s="402"/>
      <c r="H25" s="67">
        <v>291.20000000000005</v>
      </c>
      <c r="I25" s="402"/>
      <c r="J25" s="67">
        <v>288</v>
      </c>
      <c r="K25" s="402"/>
      <c r="L25" s="67">
        <v>405</v>
      </c>
      <c r="M25" s="402"/>
      <c r="N25" s="67">
        <v>302.80000000000018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日別の需給状況・再エネ出力抑制の必要性（2023年10月）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D26F-EE82-4176-B5CF-9DED83561B63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190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45216</v>
      </c>
      <c r="G3" s="26" t="s">
        <v>48</v>
      </c>
      <c r="H3" s="25">
        <v>45217</v>
      </c>
      <c r="I3" s="26" t="s">
        <v>48</v>
      </c>
      <c r="J3" s="25">
        <v>45218</v>
      </c>
      <c r="K3" s="26" t="s">
        <v>48</v>
      </c>
      <c r="L3" s="25">
        <v>45220</v>
      </c>
      <c r="M3" s="26" t="s">
        <v>49</v>
      </c>
      <c r="N3" s="25">
        <v>45221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106.3</v>
      </c>
      <c r="G5" s="384" t="s">
        <v>195</v>
      </c>
      <c r="H5" s="9">
        <v>96.7</v>
      </c>
      <c r="I5" s="384" t="s">
        <v>195</v>
      </c>
      <c r="J5" s="9">
        <v>99.8</v>
      </c>
      <c r="K5" s="384" t="s">
        <v>195</v>
      </c>
      <c r="L5" s="9">
        <v>89.4</v>
      </c>
      <c r="M5" s="384" t="s">
        <v>45</v>
      </c>
      <c r="N5" s="9">
        <v>88.4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56.3</v>
      </c>
      <c r="G6" s="385"/>
      <c r="H6" s="10">
        <v>70.099999999999994</v>
      </c>
      <c r="I6" s="385"/>
      <c r="J6" s="10">
        <v>95.5</v>
      </c>
      <c r="K6" s="385"/>
      <c r="L6" s="10">
        <v>73.7</v>
      </c>
      <c r="M6" s="385"/>
      <c r="N6" s="10">
        <v>72.400000000000006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411.6</v>
      </c>
      <c r="G7" s="385"/>
      <c r="H7" s="28">
        <v>411.6</v>
      </c>
      <c r="I7" s="385"/>
      <c r="J7" s="28">
        <v>411.6</v>
      </c>
      <c r="K7" s="385"/>
      <c r="L7" s="28">
        <v>411.6</v>
      </c>
      <c r="M7" s="385"/>
      <c r="N7" s="28">
        <v>411.7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18.5</v>
      </c>
      <c r="G8" s="385"/>
      <c r="H8" s="29">
        <v>12.799999999999898</v>
      </c>
      <c r="I8" s="385"/>
      <c r="J8" s="29">
        <v>11.499999999999721</v>
      </c>
      <c r="K8" s="385"/>
      <c r="L8" s="29">
        <v>17.399999999999864</v>
      </c>
      <c r="M8" s="385"/>
      <c r="N8" s="29">
        <v>19.599999999999863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</v>
      </c>
      <c r="G9" s="385"/>
      <c r="H9" s="30">
        <v>16.2</v>
      </c>
      <c r="I9" s="385"/>
      <c r="J9" s="30">
        <v>16.5</v>
      </c>
      <c r="K9" s="385"/>
      <c r="L9" s="30">
        <v>14</v>
      </c>
      <c r="M9" s="385"/>
      <c r="N9" s="30">
        <v>14.1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30.3</v>
      </c>
      <c r="G10" s="385"/>
      <c r="H10" s="11">
        <v>26.2</v>
      </c>
      <c r="I10" s="385"/>
      <c r="J10" s="11">
        <v>26.2</v>
      </c>
      <c r="K10" s="385"/>
      <c r="L10" s="11">
        <v>26.2</v>
      </c>
      <c r="M10" s="385"/>
      <c r="N10" s="11">
        <v>26.2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20.100000000000001</v>
      </c>
      <c r="G11" s="385"/>
      <c r="H11" s="12">
        <v>20.2</v>
      </c>
      <c r="I11" s="385"/>
      <c r="J11" s="12">
        <v>20.2</v>
      </c>
      <c r="K11" s="385"/>
      <c r="L11" s="12">
        <v>22.6</v>
      </c>
      <c r="M11" s="385"/>
      <c r="N11" s="12">
        <v>22.1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802.7</v>
      </c>
      <c r="G12" s="385"/>
      <c r="H12" s="13">
        <v>822.4</v>
      </c>
      <c r="I12" s="385"/>
      <c r="J12" s="13">
        <v>809.8</v>
      </c>
      <c r="K12" s="385"/>
      <c r="L12" s="13">
        <v>839.9</v>
      </c>
      <c r="M12" s="385"/>
      <c r="N12" s="13">
        <v>816</v>
      </c>
      <c r="O12" s="385"/>
    </row>
    <row r="13" spans="2:15" ht="16">
      <c r="B13" s="376"/>
      <c r="C13" s="379"/>
      <c r="D13" s="388"/>
      <c r="E13" s="45" t="s">
        <v>27</v>
      </c>
      <c r="F13" s="13">
        <v>6.5</v>
      </c>
      <c r="G13" s="385"/>
      <c r="H13" s="13">
        <v>0.7</v>
      </c>
      <c r="I13" s="385"/>
      <c r="J13" s="13">
        <v>4.3</v>
      </c>
      <c r="K13" s="385"/>
      <c r="L13" s="13">
        <v>16.399999999999999</v>
      </c>
      <c r="M13" s="385"/>
      <c r="N13" s="13">
        <v>0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109</v>
      </c>
      <c r="G14" s="385"/>
      <c r="H14" s="14">
        <v>109</v>
      </c>
      <c r="I14" s="385"/>
      <c r="J14" s="14">
        <v>109</v>
      </c>
      <c r="K14" s="385"/>
      <c r="L14" s="14">
        <v>109</v>
      </c>
      <c r="M14" s="385"/>
      <c r="N14" s="14">
        <v>109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1577.3000000000002</v>
      </c>
      <c r="G15" s="385"/>
      <c r="H15" s="15">
        <v>1585.9000000000003</v>
      </c>
      <c r="I15" s="385"/>
      <c r="J15" s="15">
        <v>1604.3999999999999</v>
      </c>
      <c r="K15" s="385"/>
      <c r="L15" s="15">
        <v>1620.2</v>
      </c>
      <c r="M15" s="385"/>
      <c r="N15" s="15">
        <v>1579.5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915</v>
      </c>
      <c r="G16" s="385"/>
      <c r="H16" s="8">
        <v>904.5</v>
      </c>
      <c r="I16" s="385"/>
      <c r="J16" s="8">
        <v>925</v>
      </c>
      <c r="K16" s="385"/>
      <c r="L16" s="8">
        <v>765.7</v>
      </c>
      <c r="M16" s="385"/>
      <c r="N16" s="8">
        <v>715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>
        <v>-4.8</v>
      </c>
      <c r="I18" s="385"/>
      <c r="J18" s="17">
        <v>-4.8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-184.8</v>
      </c>
      <c r="G19" s="385"/>
      <c r="H19" s="18">
        <v>-184.8</v>
      </c>
      <c r="I19" s="385"/>
      <c r="J19" s="18">
        <v>-214.3</v>
      </c>
      <c r="K19" s="385"/>
      <c r="L19" s="18">
        <v>-193</v>
      </c>
      <c r="M19" s="385"/>
      <c r="N19" s="18">
        <v>-193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11.1</v>
      </c>
      <c r="G20" s="385"/>
      <c r="H20" s="19">
        <v>11.1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1312.7</v>
      </c>
      <c r="G21" s="386"/>
      <c r="H21" s="27">
        <v>1302.2</v>
      </c>
      <c r="I21" s="386"/>
      <c r="J21" s="27">
        <v>1363.3</v>
      </c>
      <c r="K21" s="386"/>
      <c r="L21" s="27">
        <v>1182.7</v>
      </c>
      <c r="M21" s="386"/>
      <c r="N21" s="27">
        <v>1132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193</v>
      </c>
      <c r="H22" s="6" t="s">
        <v>43</v>
      </c>
      <c r="I22" s="7" t="s">
        <v>193</v>
      </c>
      <c r="J22" s="6" t="s">
        <v>43</v>
      </c>
      <c r="K22" s="7" t="s">
        <v>193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1577.3000000000002</v>
      </c>
      <c r="G23" s="400"/>
      <c r="H23" s="20">
        <v>1585.9000000000003</v>
      </c>
      <c r="I23" s="400"/>
      <c r="J23" s="20">
        <v>1604.3999999999999</v>
      </c>
      <c r="K23" s="400"/>
      <c r="L23" s="20">
        <v>1620.2</v>
      </c>
      <c r="M23" s="400"/>
      <c r="N23" s="20">
        <v>1579.5</v>
      </c>
      <c r="O23" s="400"/>
    </row>
    <row r="24" spans="2:15" ht="16">
      <c r="B24" s="409"/>
      <c r="C24" s="403" t="s">
        <v>37</v>
      </c>
      <c r="D24" s="404"/>
      <c r="E24" s="405"/>
      <c r="F24" s="21">
        <v>1312.7</v>
      </c>
      <c r="G24" s="401"/>
      <c r="H24" s="21">
        <v>1302.2</v>
      </c>
      <c r="I24" s="401"/>
      <c r="J24" s="21">
        <v>1363.3</v>
      </c>
      <c r="K24" s="401"/>
      <c r="L24" s="21">
        <v>1182.7</v>
      </c>
      <c r="M24" s="401"/>
      <c r="N24" s="21">
        <v>1132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264.60000000000014</v>
      </c>
      <c r="G25" s="402"/>
      <c r="H25" s="67">
        <v>283.70000000000027</v>
      </c>
      <c r="I25" s="402"/>
      <c r="J25" s="67">
        <v>241.09999999999991</v>
      </c>
      <c r="K25" s="402"/>
      <c r="L25" s="67">
        <v>437.5</v>
      </c>
      <c r="M25" s="402"/>
      <c r="N25" s="67">
        <v>447.5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日別の需給状況・再エネ出力抑制の必要性（2023年10月）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1143-8727-4328-90A3-87AEA18D4BC4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45222</v>
      </c>
      <c r="G3" s="26" t="s">
        <v>48</v>
      </c>
      <c r="H3" s="25">
        <v>45223</v>
      </c>
      <c r="I3" s="26" t="s">
        <v>48</v>
      </c>
      <c r="J3" s="25">
        <v>45224</v>
      </c>
      <c r="K3" s="26" t="s">
        <v>48</v>
      </c>
      <c r="L3" s="25">
        <v>45225</v>
      </c>
      <c r="M3" s="26" t="s">
        <v>48</v>
      </c>
      <c r="N3" s="25">
        <v>45226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100.8</v>
      </c>
      <c r="G5" s="384" t="s">
        <v>45</v>
      </c>
      <c r="H5" s="9">
        <v>109.3</v>
      </c>
      <c r="I5" s="384" t="s">
        <v>45</v>
      </c>
      <c r="J5" s="9">
        <v>106.1</v>
      </c>
      <c r="K5" s="384" t="s">
        <v>45</v>
      </c>
      <c r="L5" s="9">
        <v>113.1</v>
      </c>
      <c r="M5" s="384" t="s">
        <v>45</v>
      </c>
      <c r="N5" s="9">
        <v>106.1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75.5</v>
      </c>
      <c r="G6" s="385"/>
      <c r="H6" s="10">
        <v>78.400000000000006</v>
      </c>
      <c r="I6" s="385"/>
      <c r="J6" s="10">
        <v>85.7</v>
      </c>
      <c r="K6" s="385"/>
      <c r="L6" s="10">
        <v>81.599999999999994</v>
      </c>
      <c r="M6" s="385"/>
      <c r="N6" s="10">
        <v>78.5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410.8</v>
      </c>
      <c r="G7" s="385"/>
      <c r="H7" s="28">
        <v>412.2</v>
      </c>
      <c r="I7" s="385"/>
      <c r="J7" s="28">
        <v>412.3</v>
      </c>
      <c r="K7" s="385"/>
      <c r="L7" s="28">
        <v>412.3</v>
      </c>
      <c r="M7" s="385"/>
      <c r="N7" s="28">
        <v>412.3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18.29999999999967</v>
      </c>
      <c r="G8" s="385"/>
      <c r="H8" s="29">
        <v>15.600000000000204</v>
      </c>
      <c r="I8" s="385"/>
      <c r="J8" s="29">
        <v>18.199999999999921</v>
      </c>
      <c r="K8" s="385"/>
      <c r="L8" s="29">
        <v>18.100000000000147</v>
      </c>
      <c r="M8" s="385"/>
      <c r="N8" s="29">
        <v>19.899999999999999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14.1</v>
      </c>
      <c r="G9" s="385"/>
      <c r="H9" s="30">
        <v>9.4</v>
      </c>
      <c r="I9" s="385"/>
      <c r="J9" s="30">
        <v>9.4</v>
      </c>
      <c r="K9" s="385"/>
      <c r="L9" s="30">
        <v>9.4</v>
      </c>
      <c r="M9" s="385"/>
      <c r="N9" s="30">
        <v>9.4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26.2</v>
      </c>
      <c r="G10" s="385"/>
      <c r="H10" s="11">
        <v>26.2</v>
      </c>
      <c r="I10" s="385"/>
      <c r="J10" s="11">
        <v>26.2</v>
      </c>
      <c r="K10" s="385"/>
      <c r="L10" s="11">
        <v>26.2</v>
      </c>
      <c r="M10" s="385"/>
      <c r="N10" s="11">
        <v>26.8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21.7</v>
      </c>
      <c r="G11" s="385"/>
      <c r="H11" s="12">
        <v>21.8</v>
      </c>
      <c r="I11" s="385"/>
      <c r="J11" s="12">
        <v>21.2</v>
      </c>
      <c r="K11" s="385"/>
      <c r="L11" s="12">
        <v>21</v>
      </c>
      <c r="M11" s="385"/>
      <c r="N11" s="12">
        <v>22.9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819.6</v>
      </c>
      <c r="G12" s="385"/>
      <c r="H12" s="13">
        <v>669.6</v>
      </c>
      <c r="I12" s="385"/>
      <c r="J12" s="13">
        <v>815.1</v>
      </c>
      <c r="K12" s="385"/>
      <c r="L12" s="13">
        <v>808.7</v>
      </c>
      <c r="M12" s="385"/>
      <c r="N12" s="13">
        <v>687.1</v>
      </c>
      <c r="O12" s="385"/>
    </row>
    <row r="13" spans="2:15" ht="16">
      <c r="B13" s="376"/>
      <c r="C13" s="379"/>
      <c r="D13" s="388"/>
      <c r="E13" s="45" t="s">
        <v>27</v>
      </c>
      <c r="F13" s="13">
        <v>1.3</v>
      </c>
      <c r="G13" s="385"/>
      <c r="H13" s="13">
        <v>1.3</v>
      </c>
      <c r="I13" s="385"/>
      <c r="J13" s="13">
        <v>4.3</v>
      </c>
      <c r="K13" s="385"/>
      <c r="L13" s="13">
        <v>4.0999999999999996</v>
      </c>
      <c r="M13" s="385"/>
      <c r="N13" s="13">
        <v>16.8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109</v>
      </c>
      <c r="G14" s="385"/>
      <c r="H14" s="14">
        <v>217</v>
      </c>
      <c r="I14" s="385"/>
      <c r="J14" s="14">
        <v>109</v>
      </c>
      <c r="K14" s="385"/>
      <c r="L14" s="14">
        <v>109</v>
      </c>
      <c r="M14" s="385"/>
      <c r="N14" s="14">
        <v>217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1597.2999999999997</v>
      </c>
      <c r="G15" s="385"/>
      <c r="H15" s="15">
        <v>1560.8000000000002</v>
      </c>
      <c r="I15" s="385"/>
      <c r="J15" s="15">
        <v>1607.5</v>
      </c>
      <c r="K15" s="385"/>
      <c r="L15" s="15">
        <v>1603.5</v>
      </c>
      <c r="M15" s="385"/>
      <c r="N15" s="15">
        <v>1596.8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849.9</v>
      </c>
      <c r="G16" s="385"/>
      <c r="H16" s="8">
        <v>855</v>
      </c>
      <c r="I16" s="385"/>
      <c r="J16" s="8">
        <v>885</v>
      </c>
      <c r="K16" s="385"/>
      <c r="L16" s="8">
        <v>905</v>
      </c>
      <c r="M16" s="385"/>
      <c r="N16" s="8">
        <v>885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>
        <v>-4.8</v>
      </c>
      <c r="I18" s="385"/>
      <c r="J18" s="17">
        <v>-4.8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-208.7</v>
      </c>
      <c r="G19" s="385"/>
      <c r="H19" s="18">
        <v>-208.7</v>
      </c>
      <c r="I19" s="385"/>
      <c r="J19" s="18">
        <v>-208.7</v>
      </c>
      <c r="K19" s="385"/>
      <c r="L19" s="18">
        <v>-208.7</v>
      </c>
      <c r="M19" s="385"/>
      <c r="N19" s="18">
        <v>-208.7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2.5</v>
      </c>
      <c r="M20" s="385"/>
      <c r="N20" s="19">
        <v>9.5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1282.5999999999999</v>
      </c>
      <c r="G21" s="386"/>
      <c r="H21" s="27">
        <v>1287.7</v>
      </c>
      <c r="I21" s="386"/>
      <c r="J21" s="27">
        <v>1317.7</v>
      </c>
      <c r="K21" s="386"/>
      <c r="L21" s="27">
        <v>1335.2</v>
      </c>
      <c r="M21" s="386"/>
      <c r="N21" s="27">
        <v>1308.2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1597.2999999999997</v>
      </c>
      <c r="G23" s="400"/>
      <c r="H23" s="20">
        <v>1560.8000000000002</v>
      </c>
      <c r="I23" s="400"/>
      <c r="J23" s="20">
        <v>1607.5</v>
      </c>
      <c r="K23" s="400"/>
      <c r="L23" s="20">
        <v>1603.5</v>
      </c>
      <c r="M23" s="400"/>
      <c r="N23" s="20">
        <v>1596.8</v>
      </c>
      <c r="O23" s="400"/>
    </row>
    <row r="24" spans="2:15" ht="16">
      <c r="B24" s="409"/>
      <c r="C24" s="403" t="s">
        <v>37</v>
      </c>
      <c r="D24" s="404"/>
      <c r="E24" s="405"/>
      <c r="F24" s="21">
        <v>1282.5999999999999</v>
      </c>
      <c r="G24" s="401"/>
      <c r="H24" s="21">
        <v>1287.7</v>
      </c>
      <c r="I24" s="401"/>
      <c r="J24" s="21">
        <v>1317.7</v>
      </c>
      <c r="K24" s="401"/>
      <c r="L24" s="21">
        <v>1335.2</v>
      </c>
      <c r="M24" s="401"/>
      <c r="N24" s="21">
        <v>1308.2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314.69999999999982</v>
      </c>
      <c r="G25" s="402"/>
      <c r="H25" s="67">
        <v>273.10000000000014</v>
      </c>
      <c r="I25" s="402"/>
      <c r="J25" s="67">
        <v>289.79999999999995</v>
      </c>
      <c r="K25" s="402"/>
      <c r="L25" s="67">
        <v>268.29999999999995</v>
      </c>
      <c r="M25" s="402"/>
      <c r="N25" s="67">
        <v>288.59999999999991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日別の需給状況・再エネ出力抑制の必要性（2023年10月）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38B7-66EC-42D5-83F9-D506DE1B8C70}">
  <dimension ref="B1:O69"/>
  <sheetViews>
    <sheetView showGridLines="0" view="pageBreakPreview" zoomScale="85" zoomScaleNormal="70" zoomScaleSheetLayoutView="85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3" ht="15.5" thickBot="1">
      <c r="I1" s="32"/>
      <c r="M1" s="32" t="s">
        <v>24</v>
      </c>
    </row>
    <row r="2" spans="2:13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</row>
    <row r="3" spans="2:13" ht="16.5" thickBot="1">
      <c r="B3" s="3"/>
      <c r="C3" s="372" t="s">
        <v>3</v>
      </c>
      <c r="D3" s="373"/>
      <c r="E3" s="374"/>
      <c r="F3" s="25">
        <v>45227</v>
      </c>
      <c r="G3" s="26" t="s">
        <v>49</v>
      </c>
      <c r="H3" s="25">
        <v>45228</v>
      </c>
      <c r="I3" s="26" t="s">
        <v>50</v>
      </c>
      <c r="J3" s="25">
        <v>45229</v>
      </c>
      <c r="K3" s="26" t="s">
        <v>48</v>
      </c>
      <c r="L3" s="25">
        <v>45230</v>
      </c>
      <c r="M3" s="26" t="s">
        <v>49</v>
      </c>
    </row>
    <row r="4" spans="2:13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</row>
    <row r="5" spans="2:13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93.1</v>
      </c>
      <c r="G5" s="384" t="s">
        <v>45</v>
      </c>
      <c r="H5" s="9">
        <v>72.7</v>
      </c>
      <c r="I5" s="384" t="s">
        <v>45</v>
      </c>
      <c r="J5" s="9">
        <v>85.6</v>
      </c>
      <c r="K5" s="384" t="s">
        <v>45</v>
      </c>
      <c r="L5" s="9">
        <v>106.5</v>
      </c>
      <c r="M5" s="384" t="s">
        <v>45</v>
      </c>
    </row>
    <row r="6" spans="2:13" ht="16">
      <c r="B6" s="376"/>
      <c r="C6" s="379"/>
      <c r="D6" s="34" t="s">
        <v>12</v>
      </c>
      <c r="E6" s="319" t="s">
        <v>196</v>
      </c>
      <c r="F6" s="10">
        <v>73.8</v>
      </c>
      <c r="G6" s="385"/>
      <c r="H6" s="10">
        <v>73.2</v>
      </c>
      <c r="I6" s="385"/>
      <c r="J6" s="10">
        <v>84.6</v>
      </c>
      <c r="K6" s="385"/>
      <c r="L6" s="10">
        <v>79.3</v>
      </c>
      <c r="M6" s="385"/>
    </row>
    <row r="7" spans="2:13" ht="16">
      <c r="B7" s="376"/>
      <c r="C7" s="379"/>
      <c r="D7" s="35" t="s">
        <v>13</v>
      </c>
      <c r="E7" s="36" t="s">
        <v>5</v>
      </c>
      <c r="F7" s="28">
        <v>412.3</v>
      </c>
      <c r="G7" s="385"/>
      <c r="H7" s="28">
        <v>412.3</v>
      </c>
      <c r="I7" s="385"/>
      <c r="J7" s="28">
        <v>412.4</v>
      </c>
      <c r="K7" s="385"/>
      <c r="L7" s="28">
        <v>412.5</v>
      </c>
      <c r="M7" s="385"/>
    </row>
    <row r="8" spans="2:13" ht="16">
      <c r="B8" s="376"/>
      <c r="C8" s="379"/>
      <c r="D8" s="37" t="s">
        <v>14</v>
      </c>
      <c r="E8" s="38" t="s">
        <v>6</v>
      </c>
      <c r="F8" s="29">
        <v>19.499999999999922</v>
      </c>
      <c r="G8" s="385"/>
      <c r="H8" s="29">
        <v>19.60000000000009</v>
      </c>
      <c r="I8" s="385"/>
      <c r="J8" s="29">
        <v>19.300000000000296</v>
      </c>
      <c r="K8" s="385"/>
      <c r="L8" s="29">
        <v>18.7</v>
      </c>
      <c r="M8" s="385"/>
    </row>
    <row r="9" spans="2:13" ht="16">
      <c r="B9" s="376"/>
      <c r="C9" s="379"/>
      <c r="D9" s="39" t="s">
        <v>15</v>
      </c>
      <c r="E9" s="40" t="s">
        <v>7</v>
      </c>
      <c r="F9" s="30">
        <v>14.1</v>
      </c>
      <c r="G9" s="385"/>
      <c r="H9" s="30">
        <v>14.1</v>
      </c>
      <c r="I9" s="385"/>
      <c r="J9" s="30">
        <v>13.9</v>
      </c>
      <c r="K9" s="385"/>
      <c r="L9" s="30">
        <v>13.4</v>
      </c>
      <c r="M9" s="385"/>
    </row>
    <row r="10" spans="2:13" ht="16">
      <c r="B10" s="376"/>
      <c r="C10" s="379"/>
      <c r="D10" s="41" t="s">
        <v>17</v>
      </c>
      <c r="E10" s="42" t="s">
        <v>1</v>
      </c>
      <c r="F10" s="11">
        <v>26.8</v>
      </c>
      <c r="G10" s="385"/>
      <c r="H10" s="11">
        <v>26.8</v>
      </c>
      <c r="I10" s="385"/>
      <c r="J10" s="11">
        <v>27.3</v>
      </c>
      <c r="K10" s="385"/>
      <c r="L10" s="11">
        <v>35.799999999999997</v>
      </c>
      <c r="M10" s="385"/>
    </row>
    <row r="11" spans="2:13" ht="16">
      <c r="B11" s="376"/>
      <c r="C11" s="379"/>
      <c r="D11" s="43" t="s">
        <v>16</v>
      </c>
      <c r="E11" s="44" t="s">
        <v>2</v>
      </c>
      <c r="F11" s="12">
        <v>22.6</v>
      </c>
      <c r="G11" s="385"/>
      <c r="H11" s="12">
        <v>22.5</v>
      </c>
      <c r="I11" s="385"/>
      <c r="J11" s="12">
        <v>22.5</v>
      </c>
      <c r="K11" s="385"/>
      <c r="L11" s="12">
        <v>22.3</v>
      </c>
      <c r="M11" s="385"/>
    </row>
    <row r="12" spans="2:13" ht="16">
      <c r="B12" s="376"/>
      <c r="C12" s="379"/>
      <c r="D12" s="387" t="s">
        <v>18</v>
      </c>
      <c r="E12" s="45" t="s">
        <v>26</v>
      </c>
      <c r="F12" s="13">
        <v>750.5</v>
      </c>
      <c r="G12" s="385"/>
      <c r="H12" s="13">
        <v>774.3</v>
      </c>
      <c r="I12" s="385"/>
      <c r="J12" s="13">
        <v>797.5</v>
      </c>
      <c r="K12" s="385"/>
      <c r="L12" s="13">
        <v>811.2</v>
      </c>
      <c r="M12" s="385"/>
    </row>
    <row r="13" spans="2:13" ht="16">
      <c r="B13" s="376"/>
      <c r="C13" s="379"/>
      <c r="D13" s="388"/>
      <c r="E13" s="45" t="s">
        <v>27</v>
      </c>
      <c r="F13" s="13">
        <v>9.8000000000000007</v>
      </c>
      <c r="G13" s="385"/>
      <c r="H13" s="13">
        <v>5.5</v>
      </c>
      <c r="I13" s="385"/>
      <c r="J13" s="13">
        <v>1.4</v>
      </c>
      <c r="K13" s="385"/>
      <c r="L13" s="13">
        <v>0</v>
      </c>
      <c r="M13" s="385"/>
    </row>
    <row r="14" spans="2:13" ht="16">
      <c r="B14" s="376"/>
      <c r="C14" s="379"/>
      <c r="D14" s="46" t="s">
        <v>19</v>
      </c>
      <c r="E14" s="47" t="s">
        <v>4</v>
      </c>
      <c r="F14" s="14">
        <v>186.5</v>
      </c>
      <c r="G14" s="385"/>
      <c r="H14" s="14">
        <v>158.9</v>
      </c>
      <c r="I14" s="385"/>
      <c r="J14" s="14">
        <v>109</v>
      </c>
      <c r="K14" s="385"/>
      <c r="L14" s="14">
        <v>109</v>
      </c>
      <c r="M14" s="385"/>
    </row>
    <row r="15" spans="2:13" ht="16.5" thickBot="1">
      <c r="B15" s="376"/>
      <c r="C15" s="380"/>
      <c r="D15" s="389" t="s">
        <v>28</v>
      </c>
      <c r="E15" s="390"/>
      <c r="F15" s="15">
        <v>1608.9999999999998</v>
      </c>
      <c r="G15" s="385"/>
      <c r="H15" s="15">
        <v>1579.9</v>
      </c>
      <c r="I15" s="385"/>
      <c r="J15" s="15">
        <v>1573.5000000000002</v>
      </c>
      <c r="K15" s="385"/>
      <c r="L15" s="15">
        <v>1608.6999999999998</v>
      </c>
      <c r="M15" s="385"/>
    </row>
    <row r="16" spans="2:13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772.2</v>
      </c>
      <c r="G16" s="385"/>
      <c r="H16" s="8">
        <v>715</v>
      </c>
      <c r="I16" s="385"/>
      <c r="J16" s="8">
        <v>875</v>
      </c>
      <c r="K16" s="385"/>
      <c r="L16" s="8">
        <v>904.3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-193.1</v>
      </c>
      <c r="M17" s="385"/>
    </row>
    <row r="18" spans="2:15" ht="16.5" thickBot="1">
      <c r="B18" s="376"/>
      <c r="C18" s="392"/>
      <c r="D18" s="395"/>
      <c r="E18" s="51" t="s">
        <v>31</v>
      </c>
      <c r="F18" s="17">
        <v>-4.8</v>
      </c>
      <c r="G18" s="385"/>
      <c r="H18" s="17">
        <v>-4.8</v>
      </c>
      <c r="I18" s="385"/>
      <c r="J18" s="17">
        <v>-4.8</v>
      </c>
      <c r="K18" s="385"/>
      <c r="L18" s="17">
        <v>-4.8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-193</v>
      </c>
      <c r="G19" s="385"/>
      <c r="H19" s="18">
        <v>-180.4</v>
      </c>
      <c r="I19" s="385"/>
      <c r="J19" s="18">
        <v>-188.4</v>
      </c>
      <c r="K19" s="385"/>
      <c r="L19" s="18">
        <v>-208.7</v>
      </c>
      <c r="M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12</v>
      </c>
      <c r="K20" s="385"/>
      <c r="L20" s="19">
        <v>12</v>
      </c>
      <c r="M20" s="385"/>
    </row>
    <row r="21" spans="2:15" ht="16.5" thickBot="1">
      <c r="B21" s="377"/>
      <c r="C21" s="393"/>
      <c r="D21" s="398" t="s">
        <v>34</v>
      </c>
      <c r="E21" s="399"/>
      <c r="F21" s="27">
        <v>1189.2</v>
      </c>
      <c r="G21" s="386"/>
      <c r="H21" s="27">
        <v>1119.4000000000001</v>
      </c>
      <c r="I21" s="386"/>
      <c r="J21" s="27">
        <v>1275.4000000000001</v>
      </c>
      <c r="K21" s="386"/>
      <c r="L21" s="27">
        <v>1298.8999999999999</v>
      </c>
      <c r="M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1608.9999999999998</v>
      </c>
      <c r="G23" s="400"/>
      <c r="H23" s="20">
        <v>1579.9</v>
      </c>
      <c r="I23" s="400"/>
      <c r="J23" s="20">
        <v>1573.5000000000002</v>
      </c>
      <c r="K23" s="400"/>
      <c r="L23" s="20">
        <v>1608.6999999999998</v>
      </c>
      <c r="M23" s="400"/>
    </row>
    <row r="24" spans="2:15" ht="16">
      <c r="B24" s="409"/>
      <c r="C24" s="403" t="s">
        <v>37</v>
      </c>
      <c r="D24" s="404"/>
      <c r="E24" s="405"/>
      <c r="F24" s="21">
        <v>1189.2</v>
      </c>
      <c r="G24" s="401"/>
      <c r="H24" s="21">
        <v>1119.4000000000001</v>
      </c>
      <c r="I24" s="401"/>
      <c r="J24" s="21">
        <v>1275.4000000000001</v>
      </c>
      <c r="K24" s="401"/>
      <c r="L24" s="21">
        <v>1298.8999999999999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419.79999999999973</v>
      </c>
      <c r="G25" s="402"/>
      <c r="H25" s="67">
        <v>460.5</v>
      </c>
      <c r="I25" s="402"/>
      <c r="J25" s="67">
        <v>298.10000000000014</v>
      </c>
      <c r="K25" s="402"/>
      <c r="L25" s="67">
        <v>309.79999999999995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6">
    <mergeCell ref="D25:E25"/>
    <mergeCell ref="D19:D20"/>
    <mergeCell ref="D21:E21"/>
    <mergeCell ref="K5:K21"/>
    <mergeCell ref="M5:M21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C3:E3"/>
    <mergeCell ref="C2:E2"/>
    <mergeCell ref="F2:G2"/>
    <mergeCell ref="H2:I2"/>
    <mergeCell ref="J2:K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日別の需給状況・再エネ出力抑制の必要性（2023年10月）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C7EB-8C88-4710-9201-B0AAE90EAE3D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45200</v>
      </c>
      <c r="G3" s="418"/>
      <c r="H3" s="418"/>
      <c r="I3" s="419"/>
      <c r="J3" s="417">
        <v>45201</v>
      </c>
      <c r="K3" s="418"/>
      <c r="L3" s="418"/>
      <c r="M3" s="419"/>
      <c r="N3" s="417">
        <v>45205</v>
      </c>
      <c r="O3" s="418"/>
      <c r="P3" s="418"/>
      <c r="Q3" s="419"/>
      <c r="R3" s="417">
        <v>45206</v>
      </c>
      <c r="S3" s="418"/>
      <c r="T3" s="418"/>
      <c r="U3" s="419"/>
      <c r="V3" s="417">
        <v>45209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166">
        <v>54.300000000000004</v>
      </c>
      <c r="G8" s="216">
        <v>68.599999999999994</v>
      </c>
      <c r="H8" s="215">
        <v>14.29999999999999</v>
      </c>
      <c r="I8" s="214" t="s">
        <v>173</v>
      </c>
      <c r="J8" s="217">
        <v>58.300000000000004</v>
      </c>
      <c r="K8" s="216">
        <v>58.300000000000004</v>
      </c>
      <c r="L8" s="215">
        <v>0</v>
      </c>
      <c r="M8" s="214"/>
      <c r="N8" s="217">
        <v>56.300000000000004</v>
      </c>
      <c r="O8" s="216">
        <v>70.599999999999994</v>
      </c>
      <c r="P8" s="215">
        <v>14.29999999999999</v>
      </c>
      <c r="Q8" s="214" t="s">
        <v>173</v>
      </c>
      <c r="R8" s="217">
        <v>54.400000000000006</v>
      </c>
      <c r="S8" s="216">
        <v>68.7</v>
      </c>
      <c r="T8" s="215">
        <v>14.299999999999997</v>
      </c>
      <c r="U8" s="214" t="s">
        <v>173</v>
      </c>
      <c r="V8" s="217">
        <v>56.300000000000004</v>
      </c>
      <c r="W8" s="216">
        <v>56.300000000000004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f>SUM(F5:F8)</f>
        <v>104.5</v>
      </c>
      <c r="G9" s="187">
        <f>SUM(G5:G8)</f>
        <v>118.8</v>
      </c>
      <c r="H9" s="187">
        <f>G9-F9</f>
        <v>14.299999999999997</v>
      </c>
      <c r="I9" s="213" t="s">
        <v>81</v>
      </c>
      <c r="J9" s="188">
        <f>SUM(J5:J8)</f>
        <v>108.5</v>
      </c>
      <c r="K9" s="187">
        <f>SUM(K5:K8)</f>
        <v>108.5</v>
      </c>
      <c r="L9" s="187">
        <f>K9-J9</f>
        <v>0</v>
      </c>
      <c r="M9" s="213" t="s">
        <v>81</v>
      </c>
      <c r="N9" s="188">
        <f>SUM(N5:N8)</f>
        <v>106.5</v>
      </c>
      <c r="O9" s="187">
        <f>SUM(O5:O8)</f>
        <v>120.8</v>
      </c>
      <c r="P9" s="187">
        <f>O9-N9</f>
        <v>14.299999999999997</v>
      </c>
      <c r="Q9" s="213" t="s">
        <v>81</v>
      </c>
      <c r="R9" s="188">
        <f>SUM(R5:R8)</f>
        <v>104.60000000000001</v>
      </c>
      <c r="S9" s="187">
        <f>SUM(S5:S8)</f>
        <v>118.9</v>
      </c>
      <c r="T9" s="187">
        <f>S9-R9</f>
        <v>14.299999999999997</v>
      </c>
      <c r="U9" s="213" t="s">
        <v>81</v>
      </c>
      <c r="V9" s="188">
        <f>SUM(V5:V8)</f>
        <v>106.5</v>
      </c>
      <c r="W9" s="187">
        <f>SUM(W5:W8)</f>
        <v>106.5</v>
      </c>
      <c r="X9" s="187">
        <f>W9-V9</f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45200</v>
      </c>
      <c r="G11" s="433"/>
      <c r="H11" s="433"/>
      <c r="I11" s="434"/>
      <c r="J11" s="432">
        <v>45201</v>
      </c>
      <c r="K11" s="433"/>
      <c r="L11" s="433"/>
      <c r="M11" s="434"/>
      <c r="N11" s="432">
        <v>45205</v>
      </c>
      <c r="O11" s="433"/>
      <c r="P11" s="433"/>
      <c r="Q11" s="434"/>
      <c r="R11" s="432">
        <v>45206</v>
      </c>
      <c r="S11" s="433"/>
      <c r="T11" s="433"/>
      <c r="U11" s="434"/>
      <c r="V11" s="432">
        <v>45209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0</v>
      </c>
      <c r="X13" s="164">
        <v>26.1</v>
      </c>
      <c r="Y13" s="325" t="s">
        <v>149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0</v>
      </c>
      <c r="X14" s="164">
        <v>26.1</v>
      </c>
      <c r="Y14" s="325" t="s">
        <v>149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326" t="s">
        <v>149</v>
      </c>
      <c r="J17" s="166">
        <v>-34</v>
      </c>
      <c r="K17" s="165">
        <v>0</v>
      </c>
      <c r="L17" s="164">
        <v>34</v>
      </c>
      <c r="M17" s="326" t="s">
        <v>149</v>
      </c>
      <c r="N17" s="166">
        <v>-34</v>
      </c>
      <c r="O17" s="165">
        <v>-34</v>
      </c>
      <c r="P17" s="164">
        <v>0</v>
      </c>
      <c r="Q17" s="326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0</v>
      </c>
      <c r="P18" s="164">
        <v>34</v>
      </c>
      <c r="Q18" s="326" t="s">
        <v>149</v>
      </c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v>34</v>
      </c>
      <c r="I19" s="326" t="s">
        <v>149</v>
      </c>
      <c r="J19" s="166">
        <v>-34</v>
      </c>
      <c r="K19" s="165">
        <v>0</v>
      </c>
      <c r="L19" s="164">
        <v>34</v>
      </c>
      <c r="M19" s="326" t="s">
        <v>149</v>
      </c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-219.2</v>
      </c>
      <c r="P21" s="187">
        <v>68</v>
      </c>
      <c r="Q21" s="186" t="s">
        <v>81</v>
      </c>
      <c r="R21" s="188">
        <v>-253.2</v>
      </c>
      <c r="S21" s="187">
        <v>-253.2</v>
      </c>
      <c r="T21" s="187">
        <v>0</v>
      </c>
      <c r="U21" s="186" t="s">
        <v>81</v>
      </c>
      <c r="V21" s="188">
        <v>-253.2</v>
      </c>
      <c r="W21" s="187">
        <v>-201</v>
      </c>
      <c r="X21" s="187">
        <v>52.2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45200</v>
      </c>
      <c r="G23" s="433"/>
      <c r="H23" s="433"/>
      <c r="I23" s="434"/>
      <c r="J23" s="432">
        <v>45201</v>
      </c>
      <c r="K23" s="433"/>
      <c r="L23" s="433"/>
      <c r="M23" s="434"/>
      <c r="N23" s="432">
        <v>45205</v>
      </c>
      <c r="O23" s="433"/>
      <c r="P23" s="433"/>
      <c r="Q23" s="434"/>
      <c r="R23" s="432">
        <v>45206</v>
      </c>
      <c r="S23" s="433"/>
      <c r="T23" s="433"/>
      <c r="U23" s="434"/>
      <c r="V23" s="432">
        <v>45209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45200</v>
      </c>
      <c r="G27" s="433"/>
      <c r="H27" s="433"/>
      <c r="I27" s="434"/>
      <c r="J27" s="432">
        <v>45201</v>
      </c>
      <c r="K27" s="433"/>
      <c r="L27" s="433"/>
      <c r="M27" s="434"/>
      <c r="N27" s="432">
        <v>45205</v>
      </c>
      <c r="O27" s="433"/>
      <c r="P27" s="433"/>
      <c r="Q27" s="434"/>
      <c r="R27" s="432">
        <v>45206</v>
      </c>
      <c r="S27" s="433"/>
      <c r="T27" s="433"/>
      <c r="U27" s="434"/>
      <c r="V27" s="432">
        <v>45209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21.2</v>
      </c>
      <c r="H29" s="457">
        <v>-22.599999999999998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21.9</v>
      </c>
      <c r="T29" s="457">
        <v>-21.9</v>
      </c>
      <c r="U29" s="459" t="s">
        <v>146</v>
      </c>
      <c r="V29" s="200">
        <v>43.8</v>
      </c>
      <c r="W29" s="455">
        <v>21.9</v>
      </c>
      <c r="X29" s="457">
        <v>-21.9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95.8</v>
      </c>
      <c r="P31" s="457">
        <v>41.4</v>
      </c>
      <c r="Q31" s="459" t="s">
        <v>149</v>
      </c>
      <c r="R31" s="200">
        <v>54.4</v>
      </c>
      <c r="S31" s="455">
        <v>26.1</v>
      </c>
      <c r="T31" s="457">
        <v>-28.299999999999997</v>
      </c>
      <c r="U31" s="459" t="s">
        <v>146</v>
      </c>
      <c r="V31" s="200">
        <v>54.4</v>
      </c>
      <c r="W31" s="455">
        <v>26.1</v>
      </c>
      <c r="X31" s="457">
        <v>-28.299999999999997</v>
      </c>
      <c r="Y31" s="461" t="s">
        <v>146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 t="s">
        <v>202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31.1</v>
      </c>
      <c r="G33" s="199">
        <v>18.399999999999999</v>
      </c>
      <c r="H33" s="457">
        <v>-12.700000000000003</v>
      </c>
      <c r="I33" s="459" t="s">
        <v>148</v>
      </c>
      <c r="J33" s="200">
        <v>31.1</v>
      </c>
      <c r="K33" s="199">
        <v>32.799999999999997</v>
      </c>
      <c r="L33" s="457">
        <v>1.6999999999999957</v>
      </c>
      <c r="M33" s="459" t="s">
        <v>148</v>
      </c>
      <c r="N33" s="200">
        <v>31.1</v>
      </c>
      <c r="O33" s="199">
        <v>38.200000000000003</v>
      </c>
      <c r="P33" s="457">
        <v>7.1000000000000014</v>
      </c>
      <c r="Q33" s="459" t="s">
        <v>148</v>
      </c>
      <c r="R33" s="200">
        <v>31.1</v>
      </c>
      <c r="S33" s="199">
        <v>22.3</v>
      </c>
      <c r="T33" s="457">
        <v>-8.8000000000000007</v>
      </c>
      <c r="U33" s="459" t="s">
        <v>148</v>
      </c>
      <c r="V33" s="200">
        <v>31.1</v>
      </c>
      <c r="W33" s="199">
        <v>28</v>
      </c>
      <c r="X33" s="457">
        <v>-3.1000000000000014</v>
      </c>
      <c r="Y33" s="461" t="s">
        <v>148</v>
      </c>
    </row>
    <row r="34" spans="3:25" ht="16">
      <c r="C34" s="451"/>
      <c r="D34" s="467"/>
      <c r="E34" s="463" t="s">
        <v>104</v>
      </c>
      <c r="F34" s="198">
        <v>0.22</v>
      </c>
      <c r="G34" s="197">
        <v>0.13</v>
      </c>
      <c r="H34" s="458"/>
      <c r="I34" s="460"/>
      <c r="J34" s="198">
        <v>0.22</v>
      </c>
      <c r="K34" s="197">
        <v>0.24</v>
      </c>
      <c r="L34" s="458"/>
      <c r="M34" s="460"/>
      <c r="N34" s="198">
        <v>0.22</v>
      </c>
      <c r="O34" s="197">
        <v>0.28000000000000003</v>
      </c>
      <c r="P34" s="458"/>
      <c r="Q34" s="460"/>
      <c r="R34" s="198">
        <v>0.22</v>
      </c>
      <c r="S34" s="197">
        <v>0.16</v>
      </c>
      <c r="T34" s="458"/>
      <c r="U34" s="460"/>
      <c r="V34" s="198">
        <v>0.22</v>
      </c>
      <c r="W34" s="197">
        <v>0.2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0.30000000000000571</v>
      </c>
      <c r="L37" s="164">
        <v>-12.699999999999994</v>
      </c>
      <c r="M37" s="189" t="s">
        <v>147</v>
      </c>
      <c r="N37" s="166">
        <v>13</v>
      </c>
      <c r="O37" s="165">
        <v>0.2999999999999986</v>
      </c>
      <c r="P37" s="164">
        <v>-12.700000000000001</v>
      </c>
      <c r="Q37" s="189" t="s">
        <v>147</v>
      </c>
      <c r="R37" s="166">
        <v>13</v>
      </c>
      <c r="S37" s="165">
        <v>0.30000000000000215</v>
      </c>
      <c r="T37" s="164">
        <v>-12.699999999999998</v>
      </c>
      <c r="U37" s="189" t="s">
        <v>147</v>
      </c>
      <c r="V37" s="166">
        <v>13</v>
      </c>
      <c r="W37" s="165">
        <v>0.3</v>
      </c>
      <c r="X37" s="164">
        <v>-12.7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142.29999999999998</v>
      </c>
      <c r="G38" s="187">
        <v>94.4</v>
      </c>
      <c r="H38" s="187">
        <v>-47.9</v>
      </c>
      <c r="I38" s="186"/>
      <c r="J38" s="188">
        <v>142.29999999999998</v>
      </c>
      <c r="K38" s="187">
        <v>109.4</v>
      </c>
      <c r="L38" s="187">
        <v>-32.9</v>
      </c>
      <c r="M38" s="186"/>
      <c r="N38" s="188">
        <v>142.29999999999998</v>
      </c>
      <c r="O38" s="187">
        <v>156.19999999999999</v>
      </c>
      <c r="P38" s="187">
        <v>13.9</v>
      </c>
      <c r="Q38" s="186"/>
      <c r="R38" s="188">
        <v>142.29999999999998</v>
      </c>
      <c r="S38" s="187">
        <v>70.599999999999994</v>
      </c>
      <c r="T38" s="187">
        <v>-71.7</v>
      </c>
      <c r="U38" s="186"/>
      <c r="V38" s="188">
        <v>142.29999999999998</v>
      </c>
      <c r="W38" s="187">
        <v>76.3</v>
      </c>
      <c r="X38" s="187">
        <v>-66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45200</v>
      </c>
      <c r="G40" s="470"/>
      <c r="H40" s="470"/>
      <c r="I40" s="471"/>
      <c r="J40" s="469">
        <v>45201</v>
      </c>
      <c r="K40" s="470"/>
      <c r="L40" s="470"/>
      <c r="M40" s="471"/>
      <c r="N40" s="469">
        <v>45205</v>
      </c>
      <c r="O40" s="470"/>
      <c r="P40" s="470"/>
      <c r="Q40" s="471"/>
      <c r="R40" s="469">
        <v>45206</v>
      </c>
      <c r="S40" s="470"/>
      <c r="T40" s="470"/>
      <c r="U40" s="471"/>
      <c r="V40" s="469">
        <v>45209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10.9</v>
      </c>
      <c r="S42" s="478">
        <v>10.9</v>
      </c>
      <c r="T42" s="457">
        <v>0</v>
      </c>
      <c r="U42" s="459"/>
      <c r="V42" s="178">
        <v>0.4</v>
      </c>
      <c r="W42" s="478">
        <v>0.4</v>
      </c>
      <c r="X42" s="457">
        <v>0</v>
      </c>
      <c r="Y42" s="461"/>
    </row>
    <row r="43" spans="3:25" ht="16.5" thickBot="1">
      <c r="C43" s="474"/>
      <c r="D43" s="475"/>
      <c r="E43" s="477"/>
      <c r="F43" s="183">
        <v>193</v>
      </c>
      <c r="G43" s="479"/>
      <c r="H43" s="480"/>
      <c r="I43" s="481"/>
      <c r="J43" s="183">
        <v>236</v>
      </c>
      <c r="K43" s="479"/>
      <c r="L43" s="480"/>
      <c r="M43" s="481"/>
      <c r="N43" s="183">
        <v>236</v>
      </c>
      <c r="O43" s="479"/>
      <c r="P43" s="480"/>
      <c r="Q43" s="481"/>
      <c r="R43" s="183">
        <v>193</v>
      </c>
      <c r="S43" s="479"/>
      <c r="T43" s="480"/>
      <c r="U43" s="481"/>
      <c r="V43" s="183">
        <v>210.9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45200</v>
      </c>
      <c r="G45" s="470"/>
      <c r="H45" s="470"/>
      <c r="I45" s="471"/>
      <c r="J45" s="469">
        <v>45201</v>
      </c>
      <c r="K45" s="470"/>
      <c r="L45" s="470"/>
      <c r="M45" s="471"/>
      <c r="N45" s="469">
        <v>45205</v>
      </c>
      <c r="O45" s="470"/>
      <c r="P45" s="470"/>
      <c r="Q45" s="471"/>
      <c r="R45" s="469">
        <v>45206</v>
      </c>
      <c r="S45" s="470"/>
      <c r="T45" s="470"/>
      <c r="U45" s="471"/>
      <c r="V45" s="469">
        <v>45209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30.8</v>
      </c>
      <c r="G47" s="478">
        <v>32.5</v>
      </c>
      <c r="H47" s="457">
        <v>1.6999999999999993</v>
      </c>
      <c r="I47" s="459" t="s">
        <v>149</v>
      </c>
      <c r="J47" s="178">
        <v>29.4</v>
      </c>
      <c r="K47" s="478">
        <v>32.5</v>
      </c>
      <c r="L47" s="457">
        <v>3.1000000000000014</v>
      </c>
      <c r="M47" s="459" t="s">
        <v>149</v>
      </c>
      <c r="N47" s="178">
        <v>29.4</v>
      </c>
      <c r="O47" s="478">
        <v>30</v>
      </c>
      <c r="P47" s="457">
        <v>0.60000000000000142</v>
      </c>
      <c r="Q47" s="459" t="s">
        <v>149</v>
      </c>
      <c r="R47" s="178">
        <v>29.4</v>
      </c>
      <c r="S47" s="478">
        <v>29.6</v>
      </c>
      <c r="T47" s="457">
        <v>0.20000000000000284</v>
      </c>
      <c r="U47" s="459" t="s">
        <v>149</v>
      </c>
      <c r="V47" s="178">
        <v>29.4</v>
      </c>
      <c r="W47" s="478">
        <v>29.6</v>
      </c>
      <c r="X47" s="457">
        <v>0.20000000000000284</v>
      </c>
      <c r="Y47" s="461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1"/>
      <c r="V48" s="177">
        <v>0.65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45200</v>
      </c>
      <c r="G50" s="470"/>
      <c r="H50" s="470"/>
      <c r="I50" s="471"/>
      <c r="J50" s="469">
        <v>45201</v>
      </c>
      <c r="K50" s="470"/>
      <c r="L50" s="470"/>
      <c r="M50" s="471"/>
      <c r="N50" s="469">
        <v>45205</v>
      </c>
      <c r="O50" s="470"/>
      <c r="P50" s="470"/>
      <c r="Q50" s="471"/>
      <c r="R50" s="469">
        <v>45206</v>
      </c>
      <c r="S50" s="470"/>
      <c r="T50" s="470"/>
      <c r="U50" s="471"/>
      <c r="V50" s="469">
        <v>45209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22</v>
      </c>
      <c r="H53" s="223" t="s">
        <v>81</v>
      </c>
      <c r="I53" s="222" t="s">
        <v>201</v>
      </c>
      <c r="J53" s="225">
        <v>0</v>
      </c>
      <c r="K53" s="224">
        <v>22.7</v>
      </c>
      <c r="L53" s="223" t="s">
        <v>81</v>
      </c>
      <c r="M53" s="222" t="s">
        <v>201</v>
      </c>
      <c r="N53" s="225">
        <v>0</v>
      </c>
      <c r="O53" s="224">
        <v>22.4</v>
      </c>
      <c r="P53" s="223" t="s">
        <v>81</v>
      </c>
      <c r="Q53" s="222" t="s">
        <v>201</v>
      </c>
      <c r="R53" s="225">
        <v>0</v>
      </c>
      <c r="S53" s="224">
        <v>23.1</v>
      </c>
      <c r="T53" s="223" t="s">
        <v>81</v>
      </c>
      <c r="U53" s="222" t="s">
        <v>201</v>
      </c>
      <c r="V53" s="225">
        <v>0</v>
      </c>
      <c r="W53" s="224">
        <v>21.8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B4BE-391E-4845-9667-40D650EBFDB5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45210</v>
      </c>
      <c r="G3" s="418"/>
      <c r="H3" s="418"/>
      <c r="I3" s="419"/>
      <c r="J3" s="417">
        <v>45211</v>
      </c>
      <c r="K3" s="418"/>
      <c r="L3" s="418"/>
      <c r="M3" s="419"/>
      <c r="N3" s="417">
        <v>45212</v>
      </c>
      <c r="O3" s="418"/>
      <c r="P3" s="418"/>
      <c r="Q3" s="419"/>
      <c r="R3" s="417">
        <v>45214</v>
      </c>
      <c r="S3" s="418"/>
      <c r="T3" s="418"/>
      <c r="U3" s="419"/>
      <c r="V3" s="417">
        <v>45215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33.799999999999997</v>
      </c>
      <c r="P5" s="164">
        <v>1.1000000000000001</v>
      </c>
      <c r="Q5" s="219" t="s">
        <v>151</v>
      </c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8.4</v>
      </c>
      <c r="W7" s="165">
        <v>9.4</v>
      </c>
      <c r="X7" s="164">
        <v>1</v>
      </c>
      <c r="Y7" s="325" t="s">
        <v>148</v>
      </c>
    </row>
    <row r="8" spans="3:25" ht="16">
      <c r="C8" s="423"/>
      <c r="D8" s="426"/>
      <c r="E8" s="218" t="s">
        <v>133</v>
      </c>
      <c r="F8" s="217">
        <v>56.2</v>
      </c>
      <c r="G8" s="216">
        <v>56.2</v>
      </c>
      <c r="H8" s="215">
        <v>0</v>
      </c>
      <c r="I8" s="214"/>
      <c r="J8" s="217">
        <v>55.900000000000006</v>
      </c>
      <c r="K8" s="216">
        <v>55.900000000000006</v>
      </c>
      <c r="L8" s="215">
        <v>0</v>
      </c>
      <c r="M8" s="214"/>
      <c r="N8" s="217">
        <v>55.5</v>
      </c>
      <c r="O8" s="216">
        <v>55.5</v>
      </c>
      <c r="P8" s="215">
        <v>0</v>
      </c>
      <c r="Q8" s="214"/>
      <c r="R8" s="217">
        <v>52.1</v>
      </c>
      <c r="S8" s="216">
        <v>52.1</v>
      </c>
      <c r="T8" s="215">
        <v>0</v>
      </c>
      <c r="U8" s="214"/>
      <c r="V8" s="217">
        <v>55.5</v>
      </c>
      <c r="W8" s="216">
        <v>55.5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f>SUM(F5:F8)</f>
        <v>106.4</v>
      </c>
      <c r="G9" s="187">
        <f>SUM(G5:G8)</f>
        <v>106.4</v>
      </c>
      <c r="H9" s="187">
        <f>G9-F9</f>
        <v>0</v>
      </c>
      <c r="I9" s="213" t="s">
        <v>81</v>
      </c>
      <c r="J9" s="188">
        <f>SUM(J5:J8)</f>
        <v>97.300000000000011</v>
      </c>
      <c r="K9" s="187">
        <f>SUM(K5:K8)</f>
        <v>97.300000000000011</v>
      </c>
      <c r="L9" s="187">
        <f>K9-J9</f>
        <v>0</v>
      </c>
      <c r="M9" s="213" t="s">
        <v>81</v>
      </c>
      <c r="N9" s="188">
        <f>SUM(N5:N8)</f>
        <v>96.9</v>
      </c>
      <c r="O9" s="187">
        <f>SUM(O5:O8)</f>
        <v>98</v>
      </c>
      <c r="P9" s="187">
        <f>O9-N9</f>
        <v>1.0999999999999943</v>
      </c>
      <c r="Q9" s="213" t="s">
        <v>81</v>
      </c>
      <c r="R9" s="188">
        <f>SUM(R5:R8)</f>
        <v>73.2</v>
      </c>
      <c r="S9" s="187">
        <f>SUM(S5:S8)</f>
        <v>73.2</v>
      </c>
      <c r="T9" s="187">
        <f>S9-R9</f>
        <v>0</v>
      </c>
      <c r="U9" s="213" t="s">
        <v>81</v>
      </c>
      <c r="V9" s="188">
        <f>SUM(V5:V8)</f>
        <v>85</v>
      </c>
      <c r="W9" s="187">
        <f>SUM(W5:W8)</f>
        <v>86</v>
      </c>
      <c r="X9" s="187">
        <f>W9-V9</f>
        <v>1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45210</v>
      </c>
      <c r="G11" s="433"/>
      <c r="H11" s="433"/>
      <c r="I11" s="434"/>
      <c r="J11" s="432">
        <v>45211</v>
      </c>
      <c r="K11" s="433"/>
      <c r="L11" s="433"/>
      <c r="M11" s="434"/>
      <c r="N11" s="432">
        <v>45212</v>
      </c>
      <c r="O11" s="433"/>
      <c r="P11" s="433"/>
      <c r="Q11" s="434"/>
      <c r="R11" s="432">
        <v>45214</v>
      </c>
      <c r="S11" s="433"/>
      <c r="T11" s="433"/>
      <c r="U11" s="434"/>
      <c r="V11" s="432">
        <v>45215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326" t="s">
        <v>149</v>
      </c>
      <c r="J13" s="166">
        <v>-26.1</v>
      </c>
      <c r="K13" s="165">
        <v>0</v>
      </c>
      <c r="L13" s="164">
        <v>26.1</v>
      </c>
      <c r="M13" s="326" t="s">
        <v>149</v>
      </c>
      <c r="N13" s="166">
        <v>-26.1</v>
      </c>
      <c r="O13" s="165">
        <v>0</v>
      </c>
      <c r="P13" s="164">
        <v>26.1</v>
      </c>
      <c r="Q13" s="326" t="s">
        <v>149</v>
      </c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326" t="s">
        <v>149</v>
      </c>
      <c r="J14" s="166">
        <v>-26.1</v>
      </c>
      <c r="K14" s="165">
        <v>0</v>
      </c>
      <c r="L14" s="164">
        <v>26.1</v>
      </c>
      <c r="M14" s="326" t="s">
        <v>149</v>
      </c>
      <c r="N14" s="166">
        <v>-26.1</v>
      </c>
      <c r="O14" s="165">
        <v>0</v>
      </c>
      <c r="P14" s="164">
        <v>26.1</v>
      </c>
      <c r="Q14" s="326" t="s">
        <v>149</v>
      </c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0</v>
      </c>
      <c r="X19" s="164">
        <v>34</v>
      </c>
      <c r="Y19" s="325" t="s">
        <v>149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0</v>
      </c>
      <c r="X20" s="164">
        <v>34</v>
      </c>
      <c r="Y20" s="325" t="s">
        <v>149</v>
      </c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-201</v>
      </c>
      <c r="H21" s="187">
        <v>52.2</v>
      </c>
      <c r="I21" s="186" t="s">
        <v>81</v>
      </c>
      <c r="J21" s="188">
        <v>-253.2</v>
      </c>
      <c r="K21" s="187">
        <v>-201</v>
      </c>
      <c r="L21" s="187">
        <v>52.2</v>
      </c>
      <c r="M21" s="186" t="s">
        <v>81</v>
      </c>
      <c r="N21" s="188">
        <v>-253.2</v>
      </c>
      <c r="O21" s="187">
        <v>-201</v>
      </c>
      <c r="P21" s="187">
        <v>52.2</v>
      </c>
      <c r="Q21" s="186" t="s">
        <v>81</v>
      </c>
      <c r="R21" s="188">
        <v>-253.2</v>
      </c>
      <c r="S21" s="187">
        <v>-253.2</v>
      </c>
      <c r="T21" s="187">
        <v>0</v>
      </c>
      <c r="U21" s="186" t="s">
        <v>81</v>
      </c>
      <c r="V21" s="188">
        <v>-253.2</v>
      </c>
      <c r="W21" s="187">
        <v>-185.2</v>
      </c>
      <c r="X21" s="187">
        <v>68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45210</v>
      </c>
      <c r="G23" s="433"/>
      <c r="H23" s="433"/>
      <c r="I23" s="434"/>
      <c r="J23" s="432">
        <v>45211</v>
      </c>
      <c r="K23" s="433"/>
      <c r="L23" s="433"/>
      <c r="M23" s="434"/>
      <c r="N23" s="432">
        <v>45212</v>
      </c>
      <c r="O23" s="433"/>
      <c r="P23" s="433"/>
      <c r="Q23" s="434"/>
      <c r="R23" s="432">
        <v>45214</v>
      </c>
      <c r="S23" s="433"/>
      <c r="T23" s="433"/>
      <c r="U23" s="434"/>
      <c r="V23" s="432">
        <v>45215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45210</v>
      </c>
      <c r="G27" s="433"/>
      <c r="H27" s="433"/>
      <c r="I27" s="434"/>
      <c r="J27" s="432">
        <v>45211</v>
      </c>
      <c r="K27" s="433"/>
      <c r="L27" s="433"/>
      <c r="M27" s="434"/>
      <c r="N27" s="432">
        <v>45212</v>
      </c>
      <c r="O27" s="433"/>
      <c r="P27" s="433"/>
      <c r="Q27" s="434"/>
      <c r="R27" s="432">
        <v>45214</v>
      </c>
      <c r="S27" s="433"/>
      <c r="T27" s="433"/>
      <c r="U27" s="434"/>
      <c r="V27" s="432">
        <v>45215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22.3</v>
      </c>
      <c r="T29" s="457">
        <v>-21.5</v>
      </c>
      <c r="U29" s="459" t="s">
        <v>203</v>
      </c>
      <c r="V29" s="200">
        <v>43.8</v>
      </c>
      <c r="W29" s="455">
        <v>21.9</v>
      </c>
      <c r="X29" s="457">
        <v>-21.9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26.1</v>
      </c>
      <c r="H31" s="457">
        <v>-28.299999999999997</v>
      </c>
      <c r="I31" s="459" t="s">
        <v>146</v>
      </c>
      <c r="J31" s="200">
        <v>54.4</v>
      </c>
      <c r="K31" s="455">
        <v>26.1</v>
      </c>
      <c r="L31" s="457">
        <v>-28.299999999999997</v>
      </c>
      <c r="M31" s="459" t="s">
        <v>146</v>
      </c>
      <c r="N31" s="200">
        <v>54.4</v>
      </c>
      <c r="O31" s="455">
        <v>26.1</v>
      </c>
      <c r="P31" s="457">
        <v>-28.299999999999997</v>
      </c>
      <c r="Q31" s="459" t="s">
        <v>146</v>
      </c>
      <c r="R31" s="200">
        <v>54.4</v>
      </c>
      <c r="S31" s="455">
        <v>0</v>
      </c>
      <c r="T31" s="457">
        <v>-54.4</v>
      </c>
      <c r="U31" s="580" t="s">
        <v>204</v>
      </c>
      <c r="V31" s="200">
        <v>54.4</v>
      </c>
      <c r="W31" s="455">
        <v>0</v>
      </c>
      <c r="X31" s="457">
        <v>-54.4</v>
      </c>
      <c r="Y31" s="581" t="s">
        <v>204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31.1</v>
      </c>
      <c r="G33" s="199">
        <v>34.1</v>
      </c>
      <c r="H33" s="457">
        <v>3</v>
      </c>
      <c r="I33" s="459" t="s">
        <v>148</v>
      </c>
      <c r="J33" s="200">
        <v>31.1</v>
      </c>
      <c r="K33" s="199">
        <v>34</v>
      </c>
      <c r="L33" s="457">
        <v>2.8999999999999986</v>
      </c>
      <c r="M33" s="459" t="s">
        <v>148</v>
      </c>
      <c r="N33" s="200">
        <v>31.1</v>
      </c>
      <c r="O33" s="199">
        <v>34.6</v>
      </c>
      <c r="P33" s="457">
        <v>3.5</v>
      </c>
      <c r="Q33" s="459" t="s">
        <v>148</v>
      </c>
      <c r="R33" s="200">
        <v>31.1</v>
      </c>
      <c r="S33" s="199">
        <v>19</v>
      </c>
      <c r="T33" s="457">
        <v>-12.100000000000001</v>
      </c>
      <c r="U33" s="459" t="s">
        <v>148</v>
      </c>
      <c r="V33" s="200">
        <v>31.1</v>
      </c>
      <c r="W33" s="199">
        <v>38.799999999999997</v>
      </c>
      <c r="X33" s="457">
        <v>7.6999999999999957</v>
      </c>
      <c r="Y33" s="461" t="s">
        <v>148</v>
      </c>
    </row>
    <row r="34" spans="3:25" ht="16">
      <c r="C34" s="451"/>
      <c r="D34" s="467"/>
      <c r="E34" s="463" t="s">
        <v>104</v>
      </c>
      <c r="F34" s="198">
        <v>0.22</v>
      </c>
      <c r="G34" s="197">
        <v>0.25</v>
      </c>
      <c r="H34" s="458"/>
      <c r="I34" s="460"/>
      <c r="J34" s="198">
        <v>0.22</v>
      </c>
      <c r="K34" s="197">
        <v>0.25</v>
      </c>
      <c r="L34" s="458"/>
      <c r="M34" s="460"/>
      <c r="N34" s="198">
        <v>0.22</v>
      </c>
      <c r="O34" s="197">
        <v>0.25</v>
      </c>
      <c r="P34" s="458"/>
      <c r="Q34" s="460"/>
      <c r="R34" s="198">
        <v>0.22</v>
      </c>
      <c r="S34" s="197">
        <v>0.14000000000000001</v>
      </c>
      <c r="T34" s="458"/>
      <c r="U34" s="460"/>
      <c r="V34" s="198">
        <v>0.22</v>
      </c>
      <c r="W34" s="197">
        <v>0.28000000000000003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0.3</v>
      </c>
      <c r="H37" s="164">
        <v>-12.7</v>
      </c>
      <c r="I37" s="189" t="s">
        <v>147</v>
      </c>
      <c r="J37" s="166">
        <v>13</v>
      </c>
      <c r="K37" s="165">
        <v>0.20000000000000567</v>
      </c>
      <c r="L37" s="164">
        <v>-12.799999999999994</v>
      </c>
      <c r="M37" s="189" t="s">
        <v>147</v>
      </c>
      <c r="N37" s="166">
        <v>13</v>
      </c>
      <c r="O37" s="165">
        <v>0.19999999999999857</v>
      </c>
      <c r="P37" s="164">
        <v>-12.8</v>
      </c>
      <c r="Q37" s="189" t="s">
        <v>147</v>
      </c>
      <c r="R37" s="166">
        <v>13</v>
      </c>
      <c r="S37" s="165">
        <v>0.19999999999999857</v>
      </c>
      <c r="T37" s="164">
        <v>-12.8</v>
      </c>
      <c r="U37" s="189" t="s">
        <v>147</v>
      </c>
      <c r="V37" s="166">
        <v>13</v>
      </c>
      <c r="W37" s="165">
        <v>0.20000000000000567</v>
      </c>
      <c r="X37" s="164">
        <v>-12.799999999999994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142.29999999999998</v>
      </c>
      <c r="G38" s="187">
        <v>82.399999999999991</v>
      </c>
      <c r="H38" s="187">
        <v>-59.899999999999991</v>
      </c>
      <c r="I38" s="186"/>
      <c r="J38" s="188">
        <v>142.29999999999998</v>
      </c>
      <c r="K38" s="187">
        <v>82.2</v>
      </c>
      <c r="L38" s="187">
        <v>-60.099999999999994</v>
      </c>
      <c r="M38" s="186"/>
      <c r="N38" s="188">
        <v>142.29999999999998</v>
      </c>
      <c r="O38" s="187">
        <v>82.8</v>
      </c>
      <c r="P38" s="187">
        <v>-59.5</v>
      </c>
      <c r="Q38" s="186"/>
      <c r="R38" s="188">
        <v>142.29999999999998</v>
      </c>
      <c r="S38" s="187">
        <v>41.499999999999993</v>
      </c>
      <c r="T38" s="187">
        <v>-100.8</v>
      </c>
      <c r="U38" s="186"/>
      <c r="V38" s="188">
        <v>142.29999999999998</v>
      </c>
      <c r="W38" s="187">
        <v>60.9</v>
      </c>
      <c r="X38" s="187">
        <v>-81.399999999999991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45210</v>
      </c>
      <c r="G40" s="470"/>
      <c r="H40" s="470"/>
      <c r="I40" s="471"/>
      <c r="J40" s="469">
        <v>45211</v>
      </c>
      <c r="K40" s="470"/>
      <c r="L40" s="470"/>
      <c r="M40" s="471"/>
      <c r="N40" s="469">
        <v>45212</v>
      </c>
      <c r="O40" s="470"/>
      <c r="P40" s="470"/>
      <c r="Q40" s="471"/>
      <c r="R40" s="469">
        <v>45214</v>
      </c>
      <c r="S40" s="470"/>
      <c r="T40" s="470"/>
      <c r="U40" s="471"/>
      <c r="V40" s="469">
        <v>45215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0.4</v>
      </c>
      <c r="G42" s="478">
        <v>0.4</v>
      </c>
      <c r="H42" s="457">
        <v>0</v>
      </c>
      <c r="I42" s="459"/>
      <c r="J42" s="178">
        <v>0.4</v>
      </c>
      <c r="K42" s="478">
        <v>0.4</v>
      </c>
      <c r="L42" s="457">
        <v>0</v>
      </c>
      <c r="M42" s="459"/>
      <c r="N42" s="178">
        <v>0.4</v>
      </c>
      <c r="O42" s="478">
        <v>0.4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213.9</v>
      </c>
      <c r="G43" s="479"/>
      <c r="H43" s="480"/>
      <c r="I43" s="481"/>
      <c r="J43" s="183">
        <v>210.9</v>
      </c>
      <c r="K43" s="479"/>
      <c r="L43" s="480"/>
      <c r="M43" s="481"/>
      <c r="N43" s="183">
        <v>212</v>
      </c>
      <c r="O43" s="479"/>
      <c r="P43" s="480"/>
      <c r="Q43" s="481"/>
      <c r="R43" s="183">
        <v>156.9</v>
      </c>
      <c r="S43" s="479"/>
      <c r="T43" s="480"/>
      <c r="U43" s="481"/>
      <c r="V43" s="183">
        <v>164.5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45210</v>
      </c>
      <c r="G45" s="470"/>
      <c r="H45" s="470"/>
      <c r="I45" s="471"/>
      <c r="J45" s="469">
        <v>45211</v>
      </c>
      <c r="K45" s="470"/>
      <c r="L45" s="470"/>
      <c r="M45" s="471"/>
      <c r="N45" s="469">
        <v>45212</v>
      </c>
      <c r="O45" s="470"/>
      <c r="P45" s="470"/>
      <c r="Q45" s="471"/>
      <c r="R45" s="469">
        <v>45214</v>
      </c>
      <c r="S45" s="470"/>
      <c r="T45" s="470"/>
      <c r="U45" s="471"/>
      <c r="V45" s="469">
        <v>45215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29.4</v>
      </c>
      <c r="G47" s="478">
        <v>31.8</v>
      </c>
      <c r="H47" s="457">
        <v>2.4000000000000021</v>
      </c>
      <c r="I47" s="459" t="s">
        <v>149</v>
      </c>
      <c r="J47" s="178">
        <v>29.4</v>
      </c>
      <c r="K47" s="478">
        <v>30.3</v>
      </c>
      <c r="L47" s="457">
        <v>0.90000000000000213</v>
      </c>
      <c r="M47" s="459" t="s">
        <v>149</v>
      </c>
      <c r="N47" s="178">
        <v>29.4</v>
      </c>
      <c r="O47" s="478">
        <v>30.3</v>
      </c>
      <c r="P47" s="457">
        <v>0.90000000000000213</v>
      </c>
      <c r="Q47" s="459" t="s">
        <v>149</v>
      </c>
      <c r="R47" s="178">
        <v>29.4</v>
      </c>
      <c r="S47" s="478">
        <v>29.6</v>
      </c>
      <c r="T47" s="457">
        <v>0.20000000000000284</v>
      </c>
      <c r="U47" s="459" t="s">
        <v>149</v>
      </c>
      <c r="V47" s="178">
        <v>29.4</v>
      </c>
      <c r="W47" s="478">
        <v>29.8</v>
      </c>
      <c r="X47" s="457">
        <v>0.40000000000000213</v>
      </c>
      <c r="Y47" s="461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1"/>
      <c r="V48" s="177">
        <v>0.65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45210</v>
      </c>
      <c r="G50" s="470"/>
      <c r="H50" s="470"/>
      <c r="I50" s="471"/>
      <c r="J50" s="469">
        <v>45211</v>
      </c>
      <c r="K50" s="470"/>
      <c r="L50" s="470"/>
      <c r="M50" s="471"/>
      <c r="N50" s="469">
        <v>45212</v>
      </c>
      <c r="O50" s="470"/>
      <c r="P50" s="470"/>
      <c r="Q50" s="471"/>
      <c r="R50" s="469">
        <v>45214</v>
      </c>
      <c r="S50" s="470"/>
      <c r="T50" s="470"/>
      <c r="U50" s="471"/>
      <c r="V50" s="469">
        <v>45215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21.7</v>
      </c>
      <c r="H53" s="223" t="s">
        <v>81</v>
      </c>
      <c r="I53" s="222" t="s">
        <v>201</v>
      </c>
      <c r="J53" s="225">
        <v>0</v>
      </c>
      <c r="K53" s="224">
        <v>19.5</v>
      </c>
      <c r="L53" s="223" t="s">
        <v>81</v>
      </c>
      <c r="M53" s="222" t="s">
        <v>201</v>
      </c>
      <c r="N53" s="225">
        <v>0</v>
      </c>
      <c r="O53" s="224">
        <v>19.600000000000001</v>
      </c>
      <c r="P53" s="223" t="s">
        <v>81</v>
      </c>
      <c r="Q53" s="222" t="s">
        <v>201</v>
      </c>
      <c r="R53" s="225">
        <v>0</v>
      </c>
      <c r="S53" s="224">
        <v>19.899999999999999</v>
      </c>
      <c r="T53" s="223" t="s">
        <v>81</v>
      </c>
      <c r="U53" s="222" t="s">
        <v>201</v>
      </c>
      <c r="V53" s="225">
        <v>0</v>
      </c>
      <c r="W53" s="224">
        <v>20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1EFA-4666-406A-9751-D6F708B35357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45216</v>
      </c>
      <c r="G3" s="418"/>
      <c r="H3" s="418"/>
      <c r="I3" s="419"/>
      <c r="J3" s="417">
        <v>45217</v>
      </c>
      <c r="K3" s="418"/>
      <c r="L3" s="418"/>
      <c r="M3" s="419"/>
      <c r="N3" s="417">
        <v>45218</v>
      </c>
      <c r="O3" s="418"/>
      <c r="P3" s="418"/>
      <c r="Q3" s="419"/>
      <c r="R3" s="417">
        <v>45220</v>
      </c>
      <c r="S3" s="418"/>
      <c r="T3" s="418"/>
      <c r="U3" s="419"/>
      <c r="V3" s="417">
        <v>45221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17.5</v>
      </c>
      <c r="S6" s="165">
        <v>8.8000000000000007</v>
      </c>
      <c r="T6" s="164">
        <v>-8.6999999999999993</v>
      </c>
      <c r="U6" s="219" t="s">
        <v>145</v>
      </c>
      <c r="V6" s="166">
        <v>17.5</v>
      </c>
      <c r="W6" s="165">
        <v>8.8000000000000007</v>
      </c>
      <c r="X6" s="164">
        <v>-8.6999999999999993</v>
      </c>
      <c r="Y6" s="263" t="s">
        <v>145</v>
      </c>
    </row>
    <row r="7" spans="3:25" ht="16">
      <c r="C7" s="422"/>
      <c r="D7" s="425" t="s">
        <v>135</v>
      </c>
      <c r="E7" s="211" t="s">
        <v>134</v>
      </c>
      <c r="F7" s="166">
        <v>8.4</v>
      </c>
      <c r="G7" s="165">
        <v>9.4</v>
      </c>
      <c r="H7" s="164">
        <v>1</v>
      </c>
      <c r="I7" s="326" t="s">
        <v>149</v>
      </c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55.5</v>
      </c>
      <c r="G8" s="216">
        <v>55.5</v>
      </c>
      <c r="H8" s="215">
        <v>0</v>
      </c>
      <c r="I8" s="214"/>
      <c r="J8" s="217">
        <v>55.300000000000004</v>
      </c>
      <c r="K8" s="216">
        <v>55.300000000000004</v>
      </c>
      <c r="L8" s="215">
        <v>0</v>
      </c>
      <c r="M8" s="214"/>
      <c r="N8" s="217">
        <v>55.7</v>
      </c>
      <c r="O8" s="216">
        <v>58.4</v>
      </c>
      <c r="P8" s="215">
        <v>2.6999999999999957</v>
      </c>
      <c r="Q8" s="214" t="s">
        <v>145</v>
      </c>
      <c r="R8" s="217">
        <v>52.5</v>
      </c>
      <c r="S8" s="216">
        <v>47.900000000000006</v>
      </c>
      <c r="T8" s="215">
        <v>-4.5999999999999996</v>
      </c>
      <c r="U8" s="214" t="s">
        <v>145</v>
      </c>
      <c r="V8" s="217">
        <v>51.5</v>
      </c>
      <c r="W8" s="216">
        <v>46.900000000000006</v>
      </c>
      <c r="X8" s="215">
        <v>-4.5999999999999996</v>
      </c>
      <c r="Y8" s="264" t="s">
        <v>145</v>
      </c>
    </row>
    <row r="9" spans="3:25" ht="16.5" thickBot="1">
      <c r="C9" s="424"/>
      <c r="D9" s="427" t="s">
        <v>101</v>
      </c>
      <c r="E9" s="428"/>
      <c r="F9" s="188">
        <f>SUM(F5:F8)</f>
        <v>105.30000000000001</v>
      </c>
      <c r="G9" s="187">
        <f>SUM(G5:G8)</f>
        <v>106.30000000000001</v>
      </c>
      <c r="H9" s="187">
        <f>G9-F9</f>
        <v>1</v>
      </c>
      <c r="I9" s="213" t="s">
        <v>81</v>
      </c>
      <c r="J9" s="188">
        <f>SUM(J5:J8)</f>
        <v>96.700000000000017</v>
      </c>
      <c r="K9" s="187">
        <f>SUM(K5:K8)</f>
        <v>96.700000000000017</v>
      </c>
      <c r="L9" s="187">
        <f>K9-J9</f>
        <v>0</v>
      </c>
      <c r="M9" s="213" t="s">
        <v>81</v>
      </c>
      <c r="N9" s="188">
        <f>SUM(N5:N8)</f>
        <v>97.100000000000009</v>
      </c>
      <c r="O9" s="187">
        <f>SUM(O5:O8)</f>
        <v>99.800000000000011</v>
      </c>
      <c r="P9" s="187">
        <f>O9-N9</f>
        <v>2.7000000000000028</v>
      </c>
      <c r="Q9" s="213" t="s">
        <v>81</v>
      </c>
      <c r="R9" s="188">
        <f>SUM(R5:R8)</f>
        <v>102.7</v>
      </c>
      <c r="S9" s="187">
        <f>SUM(S5:S8)</f>
        <v>89.4</v>
      </c>
      <c r="T9" s="187">
        <f>S9-R9</f>
        <v>-13.299999999999997</v>
      </c>
      <c r="U9" s="213" t="s">
        <v>81</v>
      </c>
      <c r="V9" s="188">
        <f>SUM(V5:V8)</f>
        <v>101.7</v>
      </c>
      <c r="W9" s="187">
        <f>SUM(W5:W8)</f>
        <v>88.4</v>
      </c>
      <c r="X9" s="187">
        <f>W9-V9</f>
        <v>-13.299999999999997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45216</v>
      </c>
      <c r="G11" s="433"/>
      <c r="H11" s="433"/>
      <c r="I11" s="434"/>
      <c r="J11" s="432">
        <v>45217</v>
      </c>
      <c r="K11" s="433"/>
      <c r="L11" s="433"/>
      <c r="M11" s="434"/>
      <c r="N11" s="432">
        <v>45218</v>
      </c>
      <c r="O11" s="433"/>
      <c r="P11" s="433"/>
      <c r="Q11" s="434"/>
      <c r="R11" s="432">
        <v>45220</v>
      </c>
      <c r="S11" s="433"/>
      <c r="T11" s="433"/>
      <c r="U11" s="434"/>
      <c r="V11" s="432">
        <v>45221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326" t="s">
        <v>149</v>
      </c>
      <c r="J20" s="166">
        <v>-34</v>
      </c>
      <c r="K20" s="165">
        <v>0</v>
      </c>
      <c r="L20" s="164">
        <v>34</v>
      </c>
      <c r="M20" s="326" t="s">
        <v>149</v>
      </c>
      <c r="N20" s="166">
        <v>-34</v>
      </c>
      <c r="O20" s="165">
        <v>0</v>
      </c>
      <c r="P20" s="164">
        <v>34</v>
      </c>
      <c r="Q20" s="326" t="s">
        <v>149</v>
      </c>
      <c r="R20" s="166">
        <v>-34</v>
      </c>
      <c r="S20" s="165">
        <v>0</v>
      </c>
      <c r="T20" s="164">
        <v>34</v>
      </c>
      <c r="U20" s="326" t="s">
        <v>149</v>
      </c>
      <c r="V20" s="166">
        <v>-34</v>
      </c>
      <c r="W20" s="165">
        <v>0</v>
      </c>
      <c r="X20" s="164">
        <v>34</v>
      </c>
      <c r="Y20" s="325" t="s">
        <v>149</v>
      </c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45216</v>
      </c>
      <c r="G23" s="433"/>
      <c r="H23" s="433"/>
      <c r="I23" s="434"/>
      <c r="J23" s="432">
        <v>45217</v>
      </c>
      <c r="K23" s="433"/>
      <c r="L23" s="433"/>
      <c r="M23" s="434"/>
      <c r="N23" s="432">
        <v>45218</v>
      </c>
      <c r="O23" s="433"/>
      <c r="P23" s="433"/>
      <c r="Q23" s="434"/>
      <c r="R23" s="432">
        <v>45220</v>
      </c>
      <c r="S23" s="433"/>
      <c r="T23" s="433"/>
      <c r="U23" s="434"/>
      <c r="V23" s="432">
        <v>45221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45216</v>
      </c>
      <c r="G27" s="433"/>
      <c r="H27" s="433"/>
      <c r="I27" s="434"/>
      <c r="J27" s="432">
        <v>45217</v>
      </c>
      <c r="K27" s="433"/>
      <c r="L27" s="433"/>
      <c r="M27" s="434"/>
      <c r="N27" s="432">
        <v>45218</v>
      </c>
      <c r="O27" s="433"/>
      <c r="P27" s="433"/>
      <c r="Q27" s="434"/>
      <c r="R27" s="432">
        <v>45220</v>
      </c>
      <c r="S27" s="433"/>
      <c r="T27" s="433"/>
      <c r="U27" s="434"/>
      <c r="V27" s="432">
        <v>45221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21.9</v>
      </c>
      <c r="T29" s="457">
        <v>-21.9</v>
      </c>
      <c r="U29" s="459" t="s">
        <v>146</v>
      </c>
      <c r="V29" s="200">
        <v>43.8</v>
      </c>
      <c r="W29" s="455">
        <v>21.9</v>
      </c>
      <c r="X29" s="457" t="s">
        <v>205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0</v>
      </c>
      <c r="H31" s="457">
        <v>-54.4</v>
      </c>
      <c r="I31" s="580" t="s">
        <v>204</v>
      </c>
      <c r="J31" s="200">
        <v>54.4</v>
      </c>
      <c r="K31" s="455">
        <v>0</v>
      </c>
      <c r="L31" s="457">
        <v>-54.4</v>
      </c>
      <c r="M31" s="580" t="s">
        <v>204</v>
      </c>
      <c r="N31" s="200">
        <v>54.4</v>
      </c>
      <c r="O31" s="455">
        <v>29.5</v>
      </c>
      <c r="P31" s="457">
        <v>-24.9</v>
      </c>
      <c r="Q31" s="580" t="s">
        <v>206</v>
      </c>
      <c r="R31" s="200">
        <v>54.4</v>
      </c>
      <c r="S31" s="455">
        <v>27.2</v>
      </c>
      <c r="T31" s="457">
        <v>-27.2</v>
      </c>
      <c r="U31" s="459" t="s">
        <v>150</v>
      </c>
      <c r="V31" s="200">
        <v>54.4</v>
      </c>
      <c r="W31" s="455">
        <v>27.2</v>
      </c>
      <c r="X31" s="457">
        <v>-27.2</v>
      </c>
      <c r="Y31" s="461" t="s">
        <v>150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31.1</v>
      </c>
      <c r="G33" s="199">
        <v>34</v>
      </c>
      <c r="H33" s="457">
        <v>2.8999999999999986</v>
      </c>
      <c r="I33" s="459" t="s">
        <v>148</v>
      </c>
      <c r="J33" s="200">
        <v>31.1</v>
      </c>
      <c r="K33" s="199">
        <v>47.8</v>
      </c>
      <c r="L33" s="457">
        <v>16.699999999999996</v>
      </c>
      <c r="M33" s="459" t="s">
        <v>148</v>
      </c>
      <c r="N33" s="200">
        <v>31.1</v>
      </c>
      <c r="O33" s="199">
        <v>43.7</v>
      </c>
      <c r="P33" s="457">
        <v>12.600000000000001</v>
      </c>
      <c r="Q33" s="459" t="s">
        <v>148</v>
      </c>
      <c r="R33" s="200">
        <v>31.1</v>
      </c>
      <c r="S33" s="199">
        <v>24.1</v>
      </c>
      <c r="T33" s="457">
        <v>-7</v>
      </c>
      <c r="U33" s="459" t="s">
        <v>146</v>
      </c>
      <c r="V33" s="200">
        <v>31.1</v>
      </c>
      <c r="W33" s="199">
        <v>22.8</v>
      </c>
      <c r="X33" s="457">
        <v>-8.3000000000000007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0.22</v>
      </c>
      <c r="G34" s="197">
        <v>0.25</v>
      </c>
      <c r="H34" s="458"/>
      <c r="I34" s="460"/>
      <c r="J34" s="198">
        <v>0.22</v>
      </c>
      <c r="K34" s="197">
        <v>0.35</v>
      </c>
      <c r="L34" s="458"/>
      <c r="M34" s="460"/>
      <c r="N34" s="198">
        <v>0.22</v>
      </c>
      <c r="O34" s="197">
        <v>0.32</v>
      </c>
      <c r="P34" s="458"/>
      <c r="Q34" s="460"/>
      <c r="R34" s="198">
        <v>0.22</v>
      </c>
      <c r="S34" s="197">
        <v>0.17</v>
      </c>
      <c r="T34" s="458"/>
      <c r="U34" s="460"/>
      <c r="V34" s="198">
        <v>0.22</v>
      </c>
      <c r="W34" s="197">
        <v>0.16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147</v>
      </c>
      <c r="N37" s="166">
        <v>13</v>
      </c>
      <c r="O37" s="165">
        <v>0.4</v>
      </c>
      <c r="P37" s="164">
        <v>-12.6</v>
      </c>
      <c r="Q37" s="189" t="s">
        <v>147</v>
      </c>
      <c r="R37" s="166">
        <v>13</v>
      </c>
      <c r="S37" s="165">
        <v>0.49999999999999856</v>
      </c>
      <c r="T37" s="164">
        <v>-12.500000000000002</v>
      </c>
      <c r="U37" s="189" t="s">
        <v>147</v>
      </c>
      <c r="V37" s="166">
        <v>13</v>
      </c>
      <c r="W37" s="165">
        <v>0.49999999999999856</v>
      </c>
      <c r="X37" s="164">
        <v>-12.500000000000002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142.29999999999998</v>
      </c>
      <c r="G38" s="187">
        <v>56.3</v>
      </c>
      <c r="H38" s="187">
        <v>-86</v>
      </c>
      <c r="I38" s="186"/>
      <c r="J38" s="188">
        <v>142.29999999999998</v>
      </c>
      <c r="K38" s="187">
        <v>70.099999999999994</v>
      </c>
      <c r="L38" s="187">
        <v>-72.2</v>
      </c>
      <c r="M38" s="186"/>
      <c r="N38" s="188">
        <v>142.29999999999998</v>
      </c>
      <c r="O38" s="187">
        <v>95.5</v>
      </c>
      <c r="P38" s="187">
        <v>-46.8</v>
      </c>
      <c r="Q38" s="186"/>
      <c r="R38" s="188">
        <v>142.29999999999998</v>
      </c>
      <c r="S38" s="187">
        <v>73.699999999999989</v>
      </c>
      <c r="T38" s="187">
        <v>-68.599999999999994</v>
      </c>
      <c r="U38" s="186"/>
      <c r="V38" s="188">
        <v>142.29999999999998</v>
      </c>
      <c r="W38" s="187">
        <v>72.399999999999991</v>
      </c>
      <c r="X38" s="187">
        <v>-69.899999999999991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45216</v>
      </c>
      <c r="G40" s="470"/>
      <c r="H40" s="470"/>
      <c r="I40" s="471"/>
      <c r="J40" s="469">
        <v>45217</v>
      </c>
      <c r="K40" s="470"/>
      <c r="L40" s="470"/>
      <c r="M40" s="471"/>
      <c r="N40" s="469">
        <v>45218</v>
      </c>
      <c r="O40" s="470"/>
      <c r="P40" s="470"/>
      <c r="Q40" s="471"/>
      <c r="R40" s="469">
        <v>45220</v>
      </c>
      <c r="S40" s="470"/>
      <c r="T40" s="470"/>
      <c r="U40" s="471"/>
      <c r="V40" s="469">
        <v>45221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184.8</v>
      </c>
      <c r="G43" s="479"/>
      <c r="H43" s="480"/>
      <c r="I43" s="481"/>
      <c r="J43" s="183">
        <v>184.8</v>
      </c>
      <c r="K43" s="479"/>
      <c r="L43" s="480"/>
      <c r="M43" s="481"/>
      <c r="N43" s="183">
        <v>214.3</v>
      </c>
      <c r="O43" s="479"/>
      <c r="P43" s="480"/>
      <c r="Q43" s="481"/>
      <c r="R43" s="183">
        <v>193</v>
      </c>
      <c r="S43" s="479"/>
      <c r="T43" s="480"/>
      <c r="U43" s="481"/>
      <c r="V43" s="183">
        <v>193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45216</v>
      </c>
      <c r="G45" s="470"/>
      <c r="H45" s="470"/>
      <c r="I45" s="471"/>
      <c r="J45" s="469">
        <v>45217</v>
      </c>
      <c r="K45" s="470"/>
      <c r="L45" s="470"/>
      <c r="M45" s="471"/>
      <c r="N45" s="469">
        <v>45218</v>
      </c>
      <c r="O45" s="470"/>
      <c r="P45" s="470"/>
      <c r="Q45" s="471"/>
      <c r="R45" s="469">
        <v>45220</v>
      </c>
      <c r="S45" s="470"/>
      <c r="T45" s="470"/>
      <c r="U45" s="471"/>
      <c r="V45" s="469">
        <v>45221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29.4</v>
      </c>
      <c r="G47" s="478">
        <v>30.3</v>
      </c>
      <c r="H47" s="457">
        <v>0.90000000000000213</v>
      </c>
      <c r="I47" s="459" t="s">
        <v>149</v>
      </c>
      <c r="J47" s="178">
        <v>26</v>
      </c>
      <c r="K47" s="478">
        <v>26.2</v>
      </c>
      <c r="L47" s="457">
        <v>0.19999999999999929</v>
      </c>
      <c r="M47" s="459" t="s">
        <v>149</v>
      </c>
      <c r="N47" s="178">
        <v>26</v>
      </c>
      <c r="O47" s="478">
        <v>26.2</v>
      </c>
      <c r="P47" s="457">
        <v>0.19999999999999929</v>
      </c>
      <c r="Q47" s="459" t="s">
        <v>149</v>
      </c>
      <c r="R47" s="178">
        <v>26</v>
      </c>
      <c r="S47" s="478">
        <v>26.2</v>
      </c>
      <c r="T47" s="457">
        <v>0.19999999999999929</v>
      </c>
      <c r="U47" s="459" t="s">
        <v>149</v>
      </c>
      <c r="V47" s="178">
        <v>26</v>
      </c>
      <c r="W47" s="478">
        <v>26.2</v>
      </c>
      <c r="X47" s="457">
        <v>0.19999999999999929</v>
      </c>
      <c r="Y47" s="461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45216</v>
      </c>
      <c r="G50" s="470"/>
      <c r="H50" s="470"/>
      <c r="I50" s="471"/>
      <c r="J50" s="469">
        <v>45217</v>
      </c>
      <c r="K50" s="470"/>
      <c r="L50" s="470"/>
      <c r="M50" s="471"/>
      <c r="N50" s="469">
        <v>45218</v>
      </c>
      <c r="O50" s="470"/>
      <c r="P50" s="470"/>
      <c r="Q50" s="471"/>
      <c r="R50" s="469">
        <v>45220</v>
      </c>
      <c r="S50" s="470"/>
      <c r="T50" s="470"/>
      <c r="U50" s="471"/>
      <c r="V50" s="469">
        <v>45221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20.100000000000001</v>
      </c>
      <c r="H53" s="223" t="s">
        <v>81</v>
      </c>
      <c r="I53" s="222" t="s">
        <v>201</v>
      </c>
      <c r="J53" s="225">
        <v>0</v>
      </c>
      <c r="K53" s="224">
        <v>20.2</v>
      </c>
      <c r="L53" s="223" t="s">
        <v>81</v>
      </c>
      <c r="M53" s="222" t="s">
        <v>201</v>
      </c>
      <c r="N53" s="225">
        <v>0</v>
      </c>
      <c r="O53" s="224">
        <v>20.2</v>
      </c>
      <c r="P53" s="223" t="s">
        <v>81</v>
      </c>
      <c r="Q53" s="222" t="s">
        <v>201</v>
      </c>
      <c r="R53" s="225">
        <v>0</v>
      </c>
      <c r="S53" s="224">
        <v>22.6</v>
      </c>
      <c r="T53" s="223" t="s">
        <v>81</v>
      </c>
      <c r="U53" s="222" t="s">
        <v>201</v>
      </c>
      <c r="V53" s="225">
        <v>0</v>
      </c>
      <c r="W53" s="224">
        <v>22.1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2900-5F59-4226-A30A-CEE1D36CE0A3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45222</v>
      </c>
      <c r="G3" s="418"/>
      <c r="H3" s="418"/>
      <c r="I3" s="419"/>
      <c r="J3" s="417">
        <v>45223</v>
      </c>
      <c r="K3" s="418"/>
      <c r="L3" s="418"/>
      <c r="M3" s="419"/>
      <c r="N3" s="417">
        <v>45224</v>
      </c>
      <c r="O3" s="418"/>
      <c r="P3" s="418"/>
      <c r="Q3" s="419"/>
      <c r="R3" s="417">
        <v>45225</v>
      </c>
      <c r="S3" s="418"/>
      <c r="T3" s="418"/>
      <c r="U3" s="419"/>
      <c r="V3" s="417">
        <v>45226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42.4</v>
      </c>
      <c r="H5" s="164">
        <v>9.6999999999999993</v>
      </c>
      <c r="I5" s="219" t="s">
        <v>151</v>
      </c>
      <c r="J5" s="166">
        <v>32.700000000000003</v>
      </c>
      <c r="K5" s="165">
        <v>42.4</v>
      </c>
      <c r="L5" s="164">
        <v>9.6999999999999993</v>
      </c>
      <c r="M5" s="219" t="s">
        <v>151</v>
      </c>
      <c r="N5" s="166">
        <v>32.700000000000003</v>
      </c>
      <c r="O5" s="165">
        <v>42.4</v>
      </c>
      <c r="P5" s="164">
        <v>9.6999999999999993</v>
      </c>
      <c r="Q5" s="219" t="s">
        <v>151</v>
      </c>
      <c r="R5" s="166">
        <v>32.700000000000003</v>
      </c>
      <c r="S5" s="165">
        <v>42.4</v>
      </c>
      <c r="T5" s="164">
        <v>9.6999999999999993</v>
      </c>
      <c r="U5" s="219" t="s">
        <v>151</v>
      </c>
      <c r="V5" s="166">
        <v>32.700000000000003</v>
      </c>
      <c r="W5" s="165">
        <v>42.4</v>
      </c>
      <c r="X5" s="164">
        <v>9.6999999999999993</v>
      </c>
      <c r="Y5" s="263" t="s">
        <v>151</v>
      </c>
    </row>
    <row r="6" spans="3:25" ht="16">
      <c r="C6" s="422"/>
      <c r="D6" s="426"/>
      <c r="E6" s="211" t="s">
        <v>136</v>
      </c>
      <c r="F6" s="166">
        <v>17.5</v>
      </c>
      <c r="G6" s="165">
        <v>8.8000000000000007</v>
      </c>
      <c r="H6" s="164">
        <v>-8.6999999999999993</v>
      </c>
      <c r="I6" s="219" t="s">
        <v>145</v>
      </c>
      <c r="J6" s="166">
        <v>17.5</v>
      </c>
      <c r="K6" s="165">
        <v>8.8000000000000007</v>
      </c>
      <c r="L6" s="164">
        <v>-8.6999999999999993</v>
      </c>
      <c r="M6" s="219" t="s">
        <v>145</v>
      </c>
      <c r="N6" s="166">
        <v>17.5</v>
      </c>
      <c r="O6" s="165">
        <v>8.8000000000000007</v>
      </c>
      <c r="P6" s="164">
        <v>-8.6999999999999993</v>
      </c>
      <c r="Q6" s="219" t="s">
        <v>145</v>
      </c>
      <c r="R6" s="166">
        <v>17.5</v>
      </c>
      <c r="S6" s="165">
        <v>8.8000000000000007</v>
      </c>
      <c r="T6" s="164">
        <v>-8.6999999999999993</v>
      </c>
      <c r="U6" s="219" t="s">
        <v>145</v>
      </c>
      <c r="V6" s="166">
        <v>17.5</v>
      </c>
      <c r="W6" s="165">
        <v>8.8000000000000007</v>
      </c>
      <c r="X6" s="164">
        <v>-8.6999999999999993</v>
      </c>
      <c r="Y6" s="263" t="s">
        <v>145</v>
      </c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54.2</v>
      </c>
      <c r="G8" s="216">
        <v>49.6</v>
      </c>
      <c r="H8" s="215">
        <v>-4.5999999999999996</v>
      </c>
      <c r="I8" s="214" t="s">
        <v>149</v>
      </c>
      <c r="J8" s="217">
        <v>54.3</v>
      </c>
      <c r="K8" s="216">
        <v>58.1</v>
      </c>
      <c r="L8" s="215">
        <v>3.8</v>
      </c>
      <c r="M8" s="214" t="s">
        <v>149</v>
      </c>
      <c r="N8" s="217">
        <v>54.900000000000006</v>
      </c>
      <c r="O8" s="216">
        <v>54.900000000000006</v>
      </c>
      <c r="P8" s="215">
        <v>0</v>
      </c>
      <c r="Q8" s="214"/>
      <c r="R8" s="217">
        <v>51.3</v>
      </c>
      <c r="S8" s="216">
        <v>61.9</v>
      </c>
      <c r="T8" s="215">
        <v>10.6</v>
      </c>
      <c r="U8" s="214" t="s">
        <v>145</v>
      </c>
      <c r="V8" s="217">
        <v>54.900000000000006</v>
      </c>
      <c r="W8" s="216">
        <v>54.900000000000006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f>SUM(F5:F8)</f>
        <v>104.4</v>
      </c>
      <c r="G9" s="187">
        <f>SUM(G5:G8)</f>
        <v>100.80000000000001</v>
      </c>
      <c r="H9" s="187">
        <f>G9-F9</f>
        <v>-3.5999999999999943</v>
      </c>
      <c r="I9" s="213" t="s">
        <v>81</v>
      </c>
      <c r="J9" s="188">
        <f>SUM(J5:J8)</f>
        <v>104.5</v>
      </c>
      <c r="K9" s="187">
        <f>SUM(K5:K8)</f>
        <v>109.30000000000001</v>
      </c>
      <c r="L9" s="187">
        <f>K9-J9</f>
        <v>4.8000000000000114</v>
      </c>
      <c r="M9" s="213" t="s">
        <v>81</v>
      </c>
      <c r="N9" s="188">
        <f>SUM(N5:N8)</f>
        <v>105.10000000000001</v>
      </c>
      <c r="O9" s="187">
        <f>SUM(O5:O8)</f>
        <v>106.10000000000001</v>
      </c>
      <c r="P9" s="187">
        <f>O9-N9</f>
        <v>1</v>
      </c>
      <c r="Q9" s="213" t="s">
        <v>81</v>
      </c>
      <c r="R9" s="188">
        <f>SUM(R5:R8)</f>
        <v>101.5</v>
      </c>
      <c r="S9" s="187">
        <f>SUM(S5:S8)</f>
        <v>113.1</v>
      </c>
      <c r="T9" s="187">
        <f>S9-R9</f>
        <v>11.599999999999994</v>
      </c>
      <c r="U9" s="213" t="s">
        <v>81</v>
      </c>
      <c r="V9" s="188">
        <f>SUM(V5:V8)</f>
        <v>105.10000000000001</v>
      </c>
      <c r="W9" s="187">
        <f>SUM(W5:W8)</f>
        <v>106.10000000000001</v>
      </c>
      <c r="X9" s="187">
        <f>W9-V9</f>
        <v>1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45222</v>
      </c>
      <c r="G11" s="433"/>
      <c r="H11" s="433"/>
      <c r="I11" s="434"/>
      <c r="J11" s="432">
        <v>45223</v>
      </c>
      <c r="K11" s="433"/>
      <c r="L11" s="433"/>
      <c r="M11" s="434"/>
      <c r="N11" s="432">
        <v>45224</v>
      </c>
      <c r="O11" s="433"/>
      <c r="P11" s="433"/>
      <c r="Q11" s="434"/>
      <c r="R11" s="432">
        <v>45225</v>
      </c>
      <c r="S11" s="433"/>
      <c r="T11" s="433"/>
      <c r="U11" s="434"/>
      <c r="V11" s="432">
        <v>45226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326" t="s">
        <v>149</v>
      </c>
      <c r="J20" s="166">
        <v>-34</v>
      </c>
      <c r="K20" s="165">
        <v>0</v>
      </c>
      <c r="L20" s="164">
        <v>34</v>
      </c>
      <c r="M20" s="326" t="s">
        <v>149</v>
      </c>
      <c r="N20" s="166">
        <v>-34</v>
      </c>
      <c r="O20" s="165">
        <v>0</v>
      </c>
      <c r="P20" s="164">
        <v>34</v>
      </c>
      <c r="Q20" s="326" t="s">
        <v>149</v>
      </c>
      <c r="R20" s="166">
        <v>-34</v>
      </c>
      <c r="S20" s="165">
        <v>0</v>
      </c>
      <c r="T20" s="164">
        <v>34</v>
      </c>
      <c r="U20" s="326" t="s">
        <v>149</v>
      </c>
      <c r="V20" s="166">
        <v>-34</v>
      </c>
      <c r="W20" s="165">
        <v>0</v>
      </c>
      <c r="X20" s="164">
        <v>34</v>
      </c>
      <c r="Y20" s="325" t="s">
        <v>149</v>
      </c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45222</v>
      </c>
      <c r="G23" s="433"/>
      <c r="H23" s="433"/>
      <c r="I23" s="434"/>
      <c r="J23" s="432">
        <v>45223</v>
      </c>
      <c r="K23" s="433"/>
      <c r="L23" s="433"/>
      <c r="M23" s="434"/>
      <c r="N23" s="432">
        <v>45224</v>
      </c>
      <c r="O23" s="433"/>
      <c r="P23" s="433"/>
      <c r="Q23" s="434"/>
      <c r="R23" s="432">
        <v>45225</v>
      </c>
      <c r="S23" s="433"/>
      <c r="T23" s="433"/>
      <c r="U23" s="434"/>
      <c r="V23" s="432">
        <v>45226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45222</v>
      </c>
      <c r="G27" s="433"/>
      <c r="H27" s="433"/>
      <c r="I27" s="434"/>
      <c r="J27" s="432">
        <v>45223</v>
      </c>
      <c r="K27" s="433"/>
      <c r="L27" s="433"/>
      <c r="M27" s="434"/>
      <c r="N27" s="432">
        <v>45224</v>
      </c>
      <c r="O27" s="433"/>
      <c r="P27" s="433"/>
      <c r="Q27" s="434"/>
      <c r="R27" s="432">
        <v>45225</v>
      </c>
      <c r="S27" s="433"/>
      <c r="T27" s="433"/>
      <c r="U27" s="434"/>
      <c r="V27" s="432">
        <v>45226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21.9</v>
      </c>
      <c r="T29" s="457">
        <v>-21.9</v>
      </c>
      <c r="U29" s="459" t="s">
        <v>146</v>
      </c>
      <c r="V29" s="200">
        <v>43.8</v>
      </c>
      <c r="W29" s="455">
        <v>21.9</v>
      </c>
      <c r="X29" s="457">
        <v>-21.9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27.2</v>
      </c>
      <c r="H31" s="457">
        <v>-27.2</v>
      </c>
      <c r="I31" s="459" t="s">
        <v>150</v>
      </c>
      <c r="J31" s="200">
        <v>54.4</v>
      </c>
      <c r="K31" s="455">
        <v>27.2</v>
      </c>
      <c r="L31" s="457">
        <v>-27.2</v>
      </c>
      <c r="M31" s="459" t="s">
        <v>150</v>
      </c>
      <c r="N31" s="200">
        <v>54.4</v>
      </c>
      <c r="O31" s="455">
        <v>27.2</v>
      </c>
      <c r="P31" s="457">
        <v>-27.2</v>
      </c>
      <c r="Q31" s="459" t="s">
        <v>150</v>
      </c>
      <c r="R31" s="200">
        <v>54.4</v>
      </c>
      <c r="S31" s="455">
        <v>27.2</v>
      </c>
      <c r="T31" s="457">
        <v>-27.2</v>
      </c>
      <c r="U31" s="459" t="s">
        <v>150</v>
      </c>
      <c r="V31" s="200">
        <v>54.4</v>
      </c>
      <c r="W31" s="455">
        <v>27.2</v>
      </c>
      <c r="X31" s="457">
        <v>-27.2</v>
      </c>
      <c r="Y31" s="461" t="s">
        <v>150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22.1</v>
      </c>
      <c r="G33" s="199">
        <v>21.4</v>
      </c>
      <c r="H33" s="457">
        <v>-0.70000000000000284</v>
      </c>
      <c r="I33" s="459" t="s">
        <v>146</v>
      </c>
      <c r="J33" s="200">
        <v>31.1</v>
      </c>
      <c r="K33" s="199">
        <v>28.7</v>
      </c>
      <c r="L33" s="457">
        <v>-2.4000000000000021</v>
      </c>
      <c r="M33" s="459" t="s">
        <v>146</v>
      </c>
      <c r="N33" s="200">
        <v>31.1</v>
      </c>
      <c r="O33" s="199">
        <v>36.299999999999997</v>
      </c>
      <c r="P33" s="457">
        <v>5.1999999999999957</v>
      </c>
      <c r="Q33" s="459" t="s">
        <v>148</v>
      </c>
      <c r="R33" s="200">
        <v>31.1</v>
      </c>
      <c r="S33" s="199">
        <v>28.4</v>
      </c>
      <c r="T33" s="457">
        <v>-2.7000000000000028</v>
      </c>
      <c r="U33" s="459" t="s">
        <v>146</v>
      </c>
      <c r="V33" s="200">
        <v>31.1</v>
      </c>
      <c r="W33" s="199">
        <v>29</v>
      </c>
      <c r="X33" s="457">
        <v>-2.1000000000000014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</v>
      </c>
      <c r="G34" s="197">
        <v>0.2</v>
      </c>
      <c r="H34" s="458"/>
      <c r="I34" s="460"/>
      <c r="J34" s="198">
        <v>0.22</v>
      </c>
      <c r="K34" s="197">
        <v>0.21</v>
      </c>
      <c r="L34" s="458"/>
      <c r="M34" s="460"/>
      <c r="N34" s="198">
        <v>0.22</v>
      </c>
      <c r="O34" s="197">
        <v>0.26</v>
      </c>
      <c r="P34" s="458"/>
      <c r="Q34" s="460"/>
      <c r="R34" s="198">
        <v>0.22</v>
      </c>
      <c r="S34" s="197">
        <v>0.2</v>
      </c>
      <c r="T34" s="458"/>
      <c r="U34" s="460"/>
      <c r="V34" s="198">
        <v>0.22</v>
      </c>
      <c r="W34" s="197">
        <v>0.21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0.6</v>
      </c>
      <c r="H37" s="164">
        <v>-12.4</v>
      </c>
      <c r="I37" s="189" t="s">
        <v>147</v>
      </c>
      <c r="J37" s="166">
        <v>13</v>
      </c>
      <c r="K37" s="165">
        <v>0.6</v>
      </c>
      <c r="L37" s="164">
        <v>-12.4</v>
      </c>
      <c r="M37" s="189" t="s">
        <v>147</v>
      </c>
      <c r="N37" s="166">
        <v>13</v>
      </c>
      <c r="O37" s="165">
        <v>0.3</v>
      </c>
      <c r="P37" s="164">
        <v>-12.7</v>
      </c>
      <c r="Q37" s="189" t="s">
        <v>147</v>
      </c>
      <c r="R37" s="166">
        <v>13</v>
      </c>
      <c r="S37" s="165">
        <v>0.30000000000000215</v>
      </c>
      <c r="T37" s="164">
        <v>-12.699999999999998</v>
      </c>
      <c r="U37" s="189" t="s">
        <v>147</v>
      </c>
      <c r="V37" s="166">
        <v>13</v>
      </c>
      <c r="W37" s="165">
        <v>0.4</v>
      </c>
      <c r="X37" s="164">
        <v>-12.6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133.29999999999998</v>
      </c>
      <c r="G38" s="187">
        <v>71.099999999999994</v>
      </c>
      <c r="H38" s="187">
        <v>-62.199999999999996</v>
      </c>
      <c r="I38" s="186"/>
      <c r="J38" s="188">
        <v>142.29999999999998</v>
      </c>
      <c r="K38" s="187">
        <v>78.399999999999991</v>
      </c>
      <c r="L38" s="187">
        <v>-63.9</v>
      </c>
      <c r="M38" s="186"/>
      <c r="N38" s="188">
        <v>142.29999999999998</v>
      </c>
      <c r="O38" s="187">
        <v>85.699999999999989</v>
      </c>
      <c r="P38" s="187">
        <v>-56.599999999999994</v>
      </c>
      <c r="Q38" s="186"/>
      <c r="R38" s="188">
        <v>142.29999999999998</v>
      </c>
      <c r="S38" s="187">
        <v>77.8</v>
      </c>
      <c r="T38" s="187">
        <v>-64.5</v>
      </c>
      <c r="U38" s="186"/>
      <c r="V38" s="188">
        <v>142.29999999999998</v>
      </c>
      <c r="W38" s="187">
        <v>78.5</v>
      </c>
      <c r="X38" s="187">
        <v>-63.8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45222</v>
      </c>
      <c r="G40" s="470"/>
      <c r="H40" s="470"/>
      <c r="I40" s="471"/>
      <c r="J40" s="469">
        <v>45223</v>
      </c>
      <c r="K40" s="470"/>
      <c r="L40" s="470"/>
      <c r="M40" s="471"/>
      <c r="N40" s="469">
        <v>45224</v>
      </c>
      <c r="O40" s="470"/>
      <c r="P40" s="470"/>
      <c r="Q40" s="471"/>
      <c r="R40" s="469">
        <v>45225</v>
      </c>
      <c r="S40" s="470"/>
      <c r="T40" s="470"/>
      <c r="U40" s="471"/>
      <c r="V40" s="469">
        <v>45226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208.7</v>
      </c>
      <c r="G43" s="479"/>
      <c r="H43" s="480"/>
      <c r="I43" s="481"/>
      <c r="J43" s="183">
        <v>208.7</v>
      </c>
      <c r="K43" s="479"/>
      <c r="L43" s="480"/>
      <c r="M43" s="481"/>
      <c r="N43" s="183">
        <v>208.7</v>
      </c>
      <c r="O43" s="479"/>
      <c r="P43" s="480"/>
      <c r="Q43" s="481"/>
      <c r="R43" s="183">
        <v>208.7</v>
      </c>
      <c r="S43" s="479"/>
      <c r="T43" s="480"/>
      <c r="U43" s="481"/>
      <c r="V43" s="183">
        <v>208.7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45222</v>
      </c>
      <c r="G45" s="470"/>
      <c r="H45" s="470"/>
      <c r="I45" s="471"/>
      <c r="J45" s="469">
        <v>45223</v>
      </c>
      <c r="K45" s="470"/>
      <c r="L45" s="470"/>
      <c r="M45" s="471"/>
      <c r="N45" s="469">
        <v>45224</v>
      </c>
      <c r="O45" s="470"/>
      <c r="P45" s="470"/>
      <c r="Q45" s="471"/>
      <c r="R45" s="469">
        <v>45225</v>
      </c>
      <c r="S45" s="470"/>
      <c r="T45" s="470"/>
      <c r="U45" s="471"/>
      <c r="V45" s="469">
        <v>45226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26</v>
      </c>
      <c r="G47" s="478">
        <v>26.2</v>
      </c>
      <c r="H47" s="457">
        <v>0.19999999999999929</v>
      </c>
      <c r="I47" s="459" t="s">
        <v>149</v>
      </c>
      <c r="J47" s="178">
        <v>26</v>
      </c>
      <c r="K47" s="478">
        <v>26.2</v>
      </c>
      <c r="L47" s="457">
        <v>0.19999999999999929</v>
      </c>
      <c r="M47" s="459" t="s">
        <v>149</v>
      </c>
      <c r="N47" s="178">
        <v>26</v>
      </c>
      <c r="O47" s="478">
        <v>26.2</v>
      </c>
      <c r="P47" s="457">
        <v>0.19999999999999929</v>
      </c>
      <c r="Q47" s="459" t="s">
        <v>149</v>
      </c>
      <c r="R47" s="178">
        <v>26</v>
      </c>
      <c r="S47" s="478">
        <v>26.2</v>
      </c>
      <c r="T47" s="457">
        <v>0.19999999999999929</v>
      </c>
      <c r="U47" s="459" t="s">
        <v>149</v>
      </c>
      <c r="V47" s="178">
        <v>26</v>
      </c>
      <c r="W47" s="478">
        <v>26.8</v>
      </c>
      <c r="X47" s="457">
        <v>0.80000000000000071</v>
      </c>
      <c r="Y47" s="461" t="s">
        <v>149</v>
      </c>
    </row>
    <row r="48" spans="3:25" ht="16.5" thickBot="1">
      <c r="C48" s="486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45222</v>
      </c>
      <c r="G50" s="470"/>
      <c r="H50" s="470"/>
      <c r="I50" s="471"/>
      <c r="J50" s="469">
        <v>45223</v>
      </c>
      <c r="K50" s="470"/>
      <c r="L50" s="470"/>
      <c r="M50" s="471"/>
      <c r="N50" s="469">
        <v>45224</v>
      </c>
      <c r="O50" s="470"/>
      <c r="P50" s="470"/>
      <c r="Q50" s="471"/>
      <c r="R50" s="469">
        <v>45225</v>
      </c>
      <c r="S50" s="470"/>
      <c r="T50" s="470"/>
      <c r="U50" s="471"/>
      <c r="V50" s="469">
        <v>45226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21.7</v>
      </c>
      <c r="H53" s="223" t="s">
        <v>81</v>
      </c>
      <c r="I53" s="222" t="s">
        <v>201</v>
      </c>
      <c r="J53" s="225">
        <v>0</v>
      </c>
      <c r="K53" s="224">
        <v>21.8</v>
      </c>
      <c r="L53" s="223" t="s">
        <v>81</v>
      </c>
      <c r="M53" s="222" t="s">
        <v>201</v>
      </c>
      <c r="N53" s="225">
        <v>0</v>
      </c>
      <c r="O53" s="224">
        <v>21.3</v>
      </c>
      <c r="P53" s="223" t="s">
        <v>81</v>
      </c>
      <c r="Q53" s="222" t="s">
        <v>201</v>
      </c>
      <c r="R53" s="225">
        <v>0</v>
      </c>
      <c r="S53" s="224">
        <v>21</v>
      </c>
      <c r="T53" s="223" t="s">
        <v>81</v>
      </c>
      <c r="U53" s="222" t="s">
        <v>201</v>
      </c>
      <c r="V53" s="225">
        <v>0</v>
      </c>
      <c r="W53" s="224">
        <v>22.9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F54D-19C5-4B9E-9AFD-A1FE421BF67D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</row>
    <row r="3" spans="3:25" ht="17" thickTop="1" thickBot="1">
      <c r="C3" s="435" t="s">
        <v>142</v>
      </c>
      <c r="D3" s="436"/>
      <c r="E3" s="437"/>
      <c r="F3" s="417">
        <v>45227</v>
      </c>
      <c r="G3" s="418"/>
      <c r="H3" s="418"/>
      <c r="I3" s="419"/>
      <c r="J3" s="417">
        <v>45228</v>
      </c>
      <c r="K3" s="418"/>
      <c r="L3" s="418"/>
      <c r="M3" s="419"/>
      <c r="N3" s="417">
        <v>45229</v>
      </c>
      <c r="O3" s="418"/>
      <c r="P3" s="418"/>
      <c r="Q3" s="419"/>
      <c r="R3" s="417">
        <v>45230</v>
      </c>
      <c r="S3" s="418"/>
      <c r="T3" s="418"/>
      <c r="U3" s="420"/>
      <c r="V3" s="558"/>
      <c r="W3" s="558"/>
      <c r="X3" s="558"/>
      <c r="Y3" s="558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262" t="s">
        <v>92</v>
      </c>
      <c r="V4" s="252"/>
      <c r="W4" s="234"/>
      <c r="X4" s="234"/>
      <c r="Y4" s="243"/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34.799999999999997</v>
      </c>
      <c r="H5" s="164">
        <v>22.4</v>
      </c>
      <c r="I5" s="219" t="s">
        <v>151</v>
      </c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22.1</v>
      </c>
      <c r="P5" s="164">
        <v>9.7000000000000011</v>
      </c>
      <c r="Q5" s="219" t="s">
        <v>183</v>
      </c>
      <c r="R5" s="166">
        <v>32.700000000000003</v>
      </c>
      <c r="S5" s="165">
        <v>42.4</v>
      </c>
      <c r="T5" s="164">
        <v>9.6999999999999993</v>
      </c>
      <c r="U5" s="263" t="s">
        <v>183</v>
      </c>
      <c r="V5" s="238"/>
      <c r="W5" s="238"/>
      <c r="X5" s="237"/>
      <c r="Y5" s="233"/>
    </row>
    <row r="6" spans="3:25" ht="16">
      <c r="C6" s="422"/>
      <c r="D6" s="426"/>
      <c r="E6" s="211" t="s">
        <v>136</v>
      </c>
      <c r="F6" s="166">
        <v>17.5</v>
      </c>
      <c r="G6" s="165">
        <v>8.8000000000000007</v>
      </c>
      <c r="H6" s="164">
        <v>-8.6999999999999993</v>
      </c>
      <c r="I6" s="219" t="s">
        <v>145</v>
      </c>
      <c r="J6" s="166">
        <v>17.5</v>
      </c>
      <c r="K6" s="165">
        <v>8.8000000000000007</v>
      </c>
      <c r="L6" s="164">
        <v>-8.6999999999999993</v>
      </c>
      <c r="M6" s="219" t="s">
        <v>145</v>
      </c>
      <c r="N6" s="166">
        <v>17.5</v>
      </c>
      <c r="O6" s="165">
        <v>8.8000000000000007</v>
      </c>
      <c r="P6" s="164">
        <v>-8.6999999999999993</v>
      </c>
      <c r="Q6" s="219" t="s">
        <v>145</v>
      </c>
      <c r="R6" s="166">
        <v>17.5</v>
      </c>
      <c r="S6" s="165">
        <v>8.8000000000000007</v>
      </c>
      <c r="T6" s="164">
        <v>-8.6999999999999993</v>
      </c>
      <c r="U6" s="263" t="s">
        <v>145</v>
      </c>
      <c r="V6" s="238"/>
      <c r="W6" s="238"/>
      <c r="X6" s="237"/>
      <c r="Y6" s="23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63"/>
      <c r="V7" s="238"/>
      <c r="W7" s="238"/>
      <c r="X7" s="237"/>
      <c r="Y7" s="233"/>
    </row>
    <row r="8" spans="3:25" ht="16">
      <c r="C8" s="423"/>
      <c r="D8" s="426"/>
      <c r="E8" s="218" t="s">
        <v>133</v>
      </c>
      <c r="F8" s="217">
        <v>48.6</v>
      </c>
      <c r="G8" s="216">
        <v>49.499999999999993</v>
      </c>
      <c r="H8" s="215">
        <v>0.9</v>
      </c>
      <c r="I8" s="214" t="s">
        <v>145</v>
      </c>
      <c r="J8" s="217">
        <v>51.5</v>
      </c>
      <c r="K8" s="216">
        <v>51.5</v>
      </c>
      <c r="L8" s="215">
        <v>0</v>
      </c>
      <c r="M8" s="214"/>
      <c r="N8" s="217">
        <v>54.7</v>
      </c>
      <c r="O8" s="216">
        <v>54.7</v>
      </c>
      <c r="P8" s="215">
        <v>0</v>
      </c>
      <c r="Q8" s="214"/>
      <c r="R8" s="217">
        <v>55.300000000000004</v>
      </c>
      <c r="S8" s="216">
        <v>55.300000000000004</v>
      </c>
      <c r="T8" s="215">
        <v>0</v>
      </c>
      <c r="U8" s="264"/>
      <c r="V8" s="257"/>
      <c r="W8" s="257"/>
      <c r="X8" s="256"/>
      <c r="Y8" s="255"/>
    </row>
    <row r="9" spans="3:25" ht="16.5" thickBot="1">
      <c r="C9" s="424"/>
      <c r="D9" s="427" t="s">
        <v>101</v>
      </c>
      <c r="E9" s="428"/>
      <c r="F9" s="188">
        <f>SUM(F5:F8)</f>
        <v>78.5</v>
      </c>
      <c r="G9" s="187">
        <f>SUM(G5:G8)</f>
        <v>93.1</v>
      </c>
      <c r="H9" s="187">
        <f>G9-F9</f>
        <v>14.599999999999994</v>
      </c>
      <c r="I9" s="213" t="s">
        <v>81</v>
      </c>
      <c r="J9" s="188">
        <f>SUM(J5:J8)</f>
        <v>81.400000000000006</v>
      </c>
      <c r="K9" s="187">
        <f>SUM(K5:K8)</f>
        <v>72.7</v>
      </c>
      <c r="L9" s="187">
        <f>K9-J9</f>
        <v>-8.7000000000000028</v>
      </c>
      <c r="M9" s="213" t="s">
        <v>81</v>
      </c>
      <c r="N9" s="188">
        <f>SUM(N5:N8)</f>
        <v>84.6</v>
      </c>
      <c r="O9" s="187">
        <f>SUM(O5:O8)</f>
        <v>85.600000000000009</v>
      </c>
      <c r="P9" s="187">
        <f>O9-N9</f>
        <v>1.0000000000000142</v>
      </c>
      <c r="Q9" s="213" t="s">
        <v>81</v>
      </c>
      <c r="R9" s="188">
        <f>SUM(R5:R8)</f>
        <v>105.5</v>
      </c>
      <c r="S9" s="187">
        <f>SUM(S5:S8)</f>
        <v>106.5</v>
      </c>
      <c r="T9" s="187">
        <f>S9-R9</f>
        <v>1</v>
      </c>
      <c r="U9" s="265" t="s">
        <v>81</v>
      </c>
      <c r="V9" s="246"/>
      <c r="W9" s="246"/>
      <c r="X9" s="246"/>
      <c r="Y9" s="254"/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266"/>
    </row>
    <row r="11" spans="3:25" ht="16.5" thickBot="1">
      <c r="C11" s="429" t="s">
        <v>132</v>
      </c>
      <c r="D11" s="430"/>
      <c r="E11" s="431"/>
      <c r="F11" s="432">
        <v>45227</v>
      </c>
      <c r="G11" s="433"/>
      <c r="H11" s="433"/>
      <c r="I11" s="434"/>
      <c r="J11" s="432">
        <v>45228</v>
      </c>
      <c r="K11" s="433"/>
      <c r="L11" s="433"/>
      <c r="M11" s="434"/>
      <c r="N11" s="432">
        <v>45229</v>
      </c>
      <c r="O11" s="433"/>
      <c r="P11" s="433"/>
      <c r="Q11" s="434"/>
      <c r="R11" s="432">
        <v>45230</v>
      </c>
      <c r="S11" s="433"/>
      <c r="T11" s="433"/>
      <c r="U11" s="438"/>
      <c r="V11" s="559"/>
      <c r="W11" s="559"/>
      <c r="X11" s="559"/>
      <c r="Y11" s="559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262" t="s">
        <v>92</v>
      </c>
      <c r="V12" s="252"/>
      <c r="W12" s="234"/>
      <c r="X12" s="234"/>
      <c r="Y12" s="243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0</v>
      </c>
      <c r="T13" s="164">
        <v>26.1</v>
      </c>
      <c r="U13" s="325" t="s">
        <v>149</v>
      </c>
      <c r="V13" s="238"/>
      <c r="W13" s="238"/>
      <c r="X13" s="237"/>
      <c r="Y13" s="238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267"/>
      <c r="V14" s="238"/>
      <c r="W14" s="238"/>
      <c r="X14" s="237"/>
      <c r="Y14" s="238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267"/>
      <c r="V15" s="238"/>
      <c r="W15" s="238"/>
      <c r="X15" s="237"/>
      <c r="Y15" s="238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267"/>
      <c r="V16" s="238"/>
      <c r="W16" s="238"/>
      <c r="X16" s="237"/>
      <c r="Y16" s="238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86"/>
      <c r="V17" s="238"/>
      <c r="W17" s="238"/>
      <c r="X17" s="237"/>
      <c r="Y17" s="253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267"/>
      <c r="V18" s="238"/>
      <c r="W18" s="238"/>
      <c r="X18" s="237"/>
      <c r="Y18" s="238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267"/>
      <c r="V19" s="238"/>
      <c r="W19" s="238"/>
      <c r="X19" s="237"/>
      <c r="Y19" s="238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326" t="s">
        <v>149</v>
      </c>
      <c r="J20" s="166">
        <v>-34</v>
      </c>
      <c r="K20" s="165">
        <v>0</v>
      </c>
      <c r="L20" s="164">
        <v>34</v>
      </c>
      <c r="M20" s="326" t="s">
        <v>149</v>
      </c>
      <c r="N20" s="166">
        <v>-34</v>
      </c>
      <c r="O20" s="165">
        <v>0</v>
      </c>
      <c r="P20" s="164">
        <v>34</v>
      </c>
      <c r="Q20" s="326" t="s">
        <v>149</v>
      </c>
      <c r="R20" s="166">
        <v>-34</v>
      </c>
      <c r="S20" s="165">
        <v>0</v>
      </c>
      <c r="T20" s="164">
        <v>34</v>
      </c>
      <c r="U20" s="325" t="s">
        <v>149</v>
      </c>
      <c r="V20" s="238"/>
      <c r="W20" s="238"/>
      <c r="X20" s="237"/>
      <c r="Y20" s="238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-193.1</v>
      </c>
      <c r="T21" s="187">
        <v>60.1</v>
      </c>
      <c r="U21" s="268" t="s">
        <v>81</v>
      </c>
      <c r="V21" s="246"/>
      <c r="W21" s="246"/>
      <c r="X21" s="246"/>
      <c r="Y21" s="246"/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266"/>
    </row>
    <row r="23" spans="3:25" ht="16.5" thickBot="1">
      <c r="C23" s="429" t="s">
        <v>120</v>
      </c>
      <c r="D23" s="430"/>
      <c r="E23" s="431"/>
      <c r="F23" s="432">
        <v>45227</v>
      </c>
      <c r="G23" s="433"/>
      <c r="H23" s="433"/>
      <c r="I23" s="434"/>
      <c r="J23" s="432">
        <v>45228</v>
      </c>
      <c r="K23" s="433"/>
      <c r="L23" s="433"/>
      <c r="M23" s="434"/>
      <c r="N23" s="432">
        <v>45229</v>
      </c>
      <c r="O23" s="433"/>
      <c r="P23" s="433"/>
      <c r="Q23" s="434"/>
      <c r="R23" s="432">
        <v>45230</v>
      </c>
      <c r="S23" s="433"/>
      <c r="T23" s="433"/>
      <c r="U23" s="438"/>
      <c r="V23" s="559"/>
      <c r="W23" s="559"/>
      <c r="X23" s="559"/>
      <c r="Y23" s="559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262" t="s">
        <v>92</v>
      </c>
      <c r="V24" s="252"/>
      <c r="W24" s="234"/>
      <c r="X24" s="234"/>
      <c r="Y24" s="243"/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69" t="s">
        <v>150</v>
      </c>
      <c r="V25" s="238"/>
      <c r="W25" s="238"/>
      <c r="X25" s="237"/>
      <c r="Y25" s="238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266"/>
    </row>
    <row r="27" spans="3:25" ht="16.5" thickBot="1">
      <c r="C27" s="429" t="s">
        <v>116</v>
      </c>
      <c r="D27" s="430"/>
      <c r="E27" s="431"/>
      <c r="F27" s="432">
        <v>45227</v>
      </c>
      <c r="G27" s="433"/>
      <c r="H27" s="433"/>
      <c r="I27" s="434"/>
      <c r="J27" s="432">
        <v>45228</v>
      </c>
      <c r="K27" s="433"/>
      <c r="L27" s="433"/>
      <c r="M27" s="434"/>
      <c r="N27" s="432">
        <v>45229</v>
      </c>
      <c r="O27" s="433"/>
      <c r="P27" s="433"/>
      <c r="Q27" s="434"/>
      <c r="R27" s="432">
        <v>45230</v>
      </c>
      <c r="S27" s="433"/>
      <c r="T27" s="433"/>
      <c r="U27" s="438"/>
      <c r="V27" s="559"/>
      <c r="W27" s="559"/>
      <c r="X27" s="559"/>
      <c r="Y27" s="559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262" t="s">
        <v>92</v>
      </c>
      <c r="V28" s="251"/>
      <c r="W28" s="234"/>
      <c r="X28" s="234"/>
      <c r="Y28" s="243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21.9</v>
      </c>
      <c r="T29" s="457">
        <v>-21.9</v>
      </c>
      <c r="U29" s="461" t="s">
        <v>146</v>
      </c>
      <c r="V29" s="238"/>
      <c r="W29" s="560"/>
      <c r="X29" s="561"/>
      <c r="Y29" s="562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2"/>
      <c r="V30" s="242"/>
      <c r="W30" s="560"/>
      <c r="X30" s="561"/>
      <c r="Y30" s="562"/>
    </row>
    <row r="31" spans="3:25" ht="16">
      <c r="C31" s="451"/>
      <c r="D31" s="443"/>
      <c r="E31" s="453" t="s">
        <v>109</v>
      </c>
      <c r="F31" s="200">
        <v>54.4</v>
      </c>
      <c r="G31" s="455">
        <v>27.2</v>
      </c>
      <c r="H31" s="457">
        <v>-27.2</v>
      </c>
      <c r="I31" s="459" t="s">
        <v>150</v>
      </c>
      <c r="J31" s="200">
        <v>54.4</v>
      </c>
      <c r="K31" s="455">
        <v>27.2</v>
      </c>
      <c r="L31" s="457">
        <v>-27.2</v>
      </c>
      <c r="M31" s="459" t="s">
        <v>150</v>
      </c>
      <c r="N31" s="200">
        <v>54.4</v>
      </c>
      <c r="O31" s="455">
        <v>27.2</v>
      </c>
      <c r="P31" s="457">
        <v>-27.2</v>
      </c>
      <c r="Q31" s="459" t="s">
        <v>150</v>
      </c>
      <c r="R31" s="200">
        <v>54.4</v>
      </c>
      <c r="S31" s="455">
        <v>27.2</v>
      </c>
      <c r="T31" s="457">
        <v>-27.2</v>
      </c>
      <c r="U31" s="461" t="s">
        <v>150</v>
      </c>
      <c r="V31" s="238"/>
      <c r="W31" s="560"/>
      <c r="X31" s="561"/>
      <c r="Y31" s="562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2"/>
      <c r="V32" s="242"/>
      <c r="W32" s="560"/>
      <c r="X32" s="561"/>
      <c r="Y32" s="562"/>
    </row>
    <row r="33" spans="3:25" ht="16">
      <c r="C33" s="451"/>
      <c r="D33" s="466" t="s">
        <v>107</v>
      </c>
      <c r="E33" s="201" t="s">
        <v>106</v>
      </c>
      <c r="F33" s="200">
        <v>31.1</v>
      </c>
      <c r="G33" s="199">
        <v>24.3</v>
      </c>
      <c r="H33" s="457">
        <v>-6.8000000000000007</v>
      </c>
      <c r="I33" s="459" t="s">
        <v>146</v>
      </c>
      <c r="J33" s="200">
        <v>31.1</v>
      </c>
      <c r="K33" s="199">
        <v>23.7</v>
      </c>
      <c r="L33" s="457">
        <v>-7.4000000000000021</v>
      </c>
      <c r="M33" s="459" t="s">
        <v>146</v>
      </c>
      <c r="N33" s="200">
        <v>31.1</v>
      </c>
      <c r="O33" s="199">
        <v>35.1</v>
      </c>
      <c r="P33" s="457">
        <v>4</v>
      </c>
      <c r="Q33" s="459" t="s">
        <v>148</v>
      </c>
      <c r="R33" s="200">
        <v>31.1</v>
      </c>
      <c r="S33" s="199">
        <v>29.8</v>
      </c>
      <c r="T33" s="457">
        <v>-1.3000000000000007</v>
      </c>
      <c r="U33" s="461" t="s">
        <v>146</v>
      </c>
      <c r="V33" s="238"/>
      <c r="W33" s="250"/>
      <c r="X33" s="561"/>
      <c r="Y33" s="562"/>
    </row>
    <row r="34" spans="3:25" ht="16">
      <c r="C34" s="451"/>
      <c r="D34" s="467"/>
      <c r="E34" s="463" t="s">
        <v>104</v>
      </c>
      <c r="F34" s="198">
        <v>0.22</v>
      </c>
      <c r="G34" s="197">
        <v>0.18</v>
      </c>
      <c r="H34" s="458"/>
      <c r="I34" s="460"/>
      <c r="J34" s="198">
        <v>0.22</v>
      </c>
      <c r="K34" s="197">
        <v>0.17</v>
      </c>
      <c r="L34" s="458"/>
      <c r="M34" s="460"/>
      <c r="N34" s="198">
        <v>0.22</v>
      </c>
      <c r="O34" s="197">
        <v>0.25</v>
      </c>
      <c r="P34" s="458"/>
      <c r="Q34" s="460"/>
      <c r="R34" s="198">
        <v>0.22</v>
      </c>
      <c r="S34" s="197">
        <v>0.22</v>
      </c>
      <c r="T34" s="458"/>
      <c r="U34" s="462"/>
      <c r="V34" s="242"/>
      <c r="W34" s="249"/>
      <c r="X34" s="561"/>
      <c r="Y34" s="5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270"/>
      <c r="V35" s="248"/>
      <c r="W35" s="237"/>
      <c r="X35" s="237"/>
      <c r="Y35" s="237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271"/>
      <c r="V36" s="247"/>
      <c r="W36" s="237"/>
      <c r="X36" s="237"/>
      <c r="Y36" s="237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147</v>
      </c>
      <c r="N37" s="166">
        <v>13</v>
      </c>
      <c r="O37" s="165">
        <v>0.4</v>
      </c>
      <c r="P37" s="164">
        <v>-12.6</v>
      </c>
      <c r="Q37" s="189" t="s">
        <v>147</v>
      </c>
      <c r="R37" s="166">
        <v>13</v>
      </c>
      <c r="S37" s="165">
        <v>0.4</v>
      </c>
      <c r="T37" s="164">
        <v>-12.6</v>
      </c>
      <c r="U37" s="267" t="s">
        <v>147</v>
      </c>
      <c r="V37" s="238"/>
      <c r="W37" s="238"/>
      <c r="X37" s="237"/>
      <c r="Y37" s="238"/>
    </row>
    <row r="38" spans="3:25" ht="16.5" thickBot="1">
      <c r="C38" s="452"/>
      <c r="D38" s="427" t="s">
        <v>101</v>
      </c>
      <c r="E38" s="428"/>
      <c r="F38" s="188">
        <v>142.29999999999998</v>
      </c>
      <c r="G38" s="187">
        <v>73.8</v>
      </c>
      <c r="H38" s="187">
        <v>-68.499999999999986</v>
      </c>
      <c r="I38" s="186"/>
      <c r="J38" s="188">
        <v>142.29999999999998</v>
      </c>
      <c r="K38" s="187">
        <v>73.2</v>
      </c>
      <c r="L38" s="187">
        <v>-69.099999999999994</v>
      </c>
      <c r="M38" s="186"/>
      <c r="N38" s="188">
        <v>142.29999999999998</v>
      </c>
      <c r="O38" s="187">
        <v>84.6</v>
      </c>
      <c r="P38" s="187">
        <v>-57.699999999999996</v>
      </c>
      <c r="Q38" s="186"/>
      <c r="R38" s="188">
        <v>142.29999999999998</v>
      </c>
      <c r="S38" s="187">
        <v>79.3</v>
      </c>
      <c r="T38" s="187">
        <v>-62.999999999999993</v>
      </c>
      <c r="U38" s="268"/>
      <c r="V38" s="246"/>
      <c r="W38" s="246"/>
      <c r="X38" s="246"/>
      <c r="Y38" s="24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266"/>
    </row>
    <row r="40" spans="3:25" ht="16.5" thickBot="1">
      <c r="C40" s="429" t="s">
        <v>100</v>
      </c>
      <c r="D40" s="430"/>
      <c r="E40" s="431"/>
      <c r="F40" s="469">
        <v>45227</v>
      </c>
      <c r="G40" s="470"/>
      <c r="H40" s="470"/>
      <c r="I40" s="471"/>
      <c r="J40" s="469">
        <v>45228</v>
      </c>
      <c r="K40" s="470"/>
      <c r="L40" s="470"/>
      <c r="M40" s="471"/>
      <c r="N40" s="469">
        <v>45229</v>
      </c>
      <c r="O40" s="470"/>
      <c r="P40" s="470"/>
      <c r="Q40" s="471"/>
      <c r="R40" s="469">
        <v>45230</v>
      </c>
      <c r="S40" s="470"/>
      <c r="T40" s="470"/>
      <c r="U40" s="472"/>
      <c r="V40" s="559"/>
      <c r="W40" s="559"/>
      <c r="X40" s="559"/>
      <c r="Y40" s="559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262" t="s">
        <v>92</v>
      </c>
      <c r="V41" s="245"/>
      <c r="W41" s="234"/>
      <c r="X41" s="234"/>
      <c r="Y41" s="243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61"/>
      <c r="V42" s="238"/>
      <c r="W42" s="562"/>
      <c r="X42" s="561"/>
      <c r="Y42" s="562"/>
    </row>
    <row r="43" spans="3:25" ht="16.5" thickBot="1">
      <c r="C43" s="474"/>
      <c r="D43" s="475"/>
      <c r="E43" s="477"/>
      <c r="F43" s="183">
        <v>193</v>
      </c>
      <c r="G43" s="479"/>
      <c r="H43" s="480"/>
      <c r="I43" s="481"/>
      <c r="J43" s="183">
        <v>180.4</v>
      </c>
      <c r="K43" s="479"/>
      <c r="L43" s="480"/>
      <c r="M43" s="481"/>
      <c r="N43" s="183">
        <v>188.4</v>
      </c>
      <c r="O43" s="479"/>
      <c r="P43" s="480"/>
      <c r="Q43" s="481"/>
      <c r="R43" s="183">
        <v>208.7</v>
      </c>
      <c r="S43" s="479"/>
      <c r="T43" s="480"/>
      <c r="U43" s="482"/>
      <c r="V43" s="244"/>
      <c r="W43" s="562"/>
      <c r="X43" s="561"/>
      <c r="Y43" s="56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266"/>
    </row>
    <row r="45" spans="3:25" ht="16.5" thickBot="1">
      <c r="C45" s="429" t="s">
        <v>94</v>
      </c>
      <c r="D45" s="430"/>
      <c r="E45" s="431"/>
      <c r="F45" s="469">
        <v>45227</v>
      </c>
      <c r="G45" s="470"/>
      <c r="H45" s="470"/>
      <c r="I45" s="471"/>
      <c r="J45" s="469">
        <v>45228</v>
      </c>
      <c r="K45" s="470"/>
      <c r="L45" s="470"/>
      <c r="M45" s="471"/>
      <c r="N45" s="469">
        <v>45229</v>
      </c>
      <c r="O45" s="470"/>
      <c r="P45" s="470"/>
      <c r="Q45" s="471"/>
      <c r="R45" s="469">
        <v>45230</v>
      </c>
      <c r="S45" s="470"/>
      <c r="T45" s="470"/>
      <c r="U45" s="472"/>
      <c r="V45" s="559"/>
      <c r="W45" s="559"/>
      <c r="X45" s="559"/>
      <c r="Y45" s="559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262" t="s">
        <v>92</v>
      </c>
      <c r="V46" s="241"/>
      <c r="W46" s="234"/>
      <c r="X46" s="234"/>
      <c r="Y46" s="243"/>
    </row>
    <row r="47" spans="3:25" ht="16">
      <c r="C47" s="444"/>
      <c r="D47" s="483"/>
      <c r="E47" s="488" t="s">
        <v>91</v>
      </c>
      <c r="F47" s="178">
        <v>26</v>
      </c>
      <c r="G47" s="478">
        <v>26.8</v>
      </c>
      <c r="H47" s="457">
        <v>0.80000000000000071</v>
      </c>
      <c r="I47" s="459" t="s">
        <v>149</v>
      </c>
      <c r="J47" s="178">
        <v>26</v>
      </c>
      <c r="K47" s="478">
        <v>26.8</v>
      </c>
      <c r="L47" s="457">
        <v>0.80000000000000071</v>
      </c>
      <c r="M47" s="459" t="s">
        <v>149</v>
      </c>
      <c r="N47" s="178">
        <v>30.8</v>
      </c>
      <c r="O47" s="478">
        <v>27.3</v>
      </c>
      <c r="P47" s="457">
        <v>-3.5</v>
      </c>
      <c r="Q47" s="459" t="s">
        <v>154</v>
      </c>
      <c r="R47" s="178">
        <v>30.8</v>
      </c>
      <c r="S47" s="478">
        <v>35.799999999999997</v>
      </c>
      <c r="T47" s="457">
        <v>4.9999999999999964</v>
      </c>
      <c r="U47" s="461" t="s">
        <v>149</v>
      </c>
      <c r="V47" s="238"/>
      <c r="W47" s="562"/>
      <c r="X47" s="561"/>
      <c r="Y47" s="562"/>
    </row>
    <row r="48" spans="3:25" ht="16.5" thickBot="1">
      <c r="C48" s="486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2"/>
      <c r="V48" s="242"/>
      <c r="W48" s="562"/>
      <c r="X48" s="561"/>
      <c r="Y48" s="56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266"/>
    </row>
    <row r="50" spans="1:25" ht="16.5" thickBot="1">
      <c r="C50" s="429" t="s">
        <v>89</v>
      </c>
      <c r="D50" s="430"/>
      <c r="E50" s="431"/>
      <c r="F50" s="469">
        <v>45227</v>
      </c>
      <c r="G50" s="470"/>
      <c r="H50" s="470"/>
      <c r="I50" s="471"/>
      <c r="J50" s="469">
        <v>45228</v>
      </c>
      <c r="K50" s="470"/>
      <c r="L50" s="470"/>
      <c r="M50" s="471"/>
      <c r="N50" s="469">
        <v>45229</v>
      </c>
      <c r="O50" s="470"/>
      <c r="P50" s="470"/>
      <c r="Q50" s="471"/>
      <c r="R50" s="469">
        <v>45230</v>
      </c>
      <c r="S50" s="470"/>
      <c r="T50" s="470"/>
      <c r="U50" s="472"/>
      <c r="V50" s="559"/>
      <c r="W50" s="559"/>
      <c r="X50" s="559"/>
      <c r="Y50" s="559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272" t="s">
        <v>84</v>
      </c>
      <c r="V51" s="241"/>
      <c r="W51" s="240"/>
      <c r="X51" s="240"/>
      <c r="Y51" s="239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273" t="s">
        <v>81</v>
      </c>
      <c r="V52" s="238"/>
      <c r="W52" s="238"/>
      <c r="X52" s="237"/>
      <c r="Y52" s="237"/>
    </row>
    <row r="53" spans="1:25" ht="16.5" thickBot="1">
      <c r="C53" s="484"/>
      <c r="D53" s="485"/>
      <c r="E53" s="226" t="s">
        <v>82</v>
      </c>
      <c r="F53" s="225">
        <v>0</v>
      </c>
      <c r="G53" s="224">
        <v>22.6</v>
      </c>
      <c r="H53" s="223" t="s">
        <v>81</v>
      </c>
      <c r="I53" s="222" t="s">
        <v>201</v>
      </c>
      <c r="J53" s="225">
        <v>0</v>
      </c>
      <c r="K53" s="224">
        <v>22.5</v>
      </c>
      <c r="L53" s="223" t="s">
        <v>81</v>
      </c>
      <c r="M53" s="222" t="s">
        <v>201</v>
      </c>
      <c r="N53" s="225">
        <v>0</v>
      </c>
      <c r="O53" s="224">
        <v>22.5</v>
      </c>
      <c r="P53" s="223" t="s">
        <v>81</v>
      </c>
      <c r="Q53" s="222" t="s">
        <v>201</v>
      </c>
      <c r="R53" s="225">
        <v>0</v>
      </c>
      <c r="S53" s="224">
        <v>22.3</v>
      </c>
      <c r="T53" s="223" t="s">
        <v>81</v>
      </c>
      <c r="U53" s="327" t="s">
        <v>201</v>
      </c>
      <c r="V53" s="235"/>
      <c r="W53" s="233"/>
      <c r="X53" s="234"/>
      <c r="Y53" s="233"/>
    </row>
    <row r="54" spans="1:25" ht="15.5" thickTop="1">
      <c r="C54" s="1" t="s">
        <v>79</v>
      </c>
      <c r="U54" s="328"/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8309-38AD-4070-B336-24836F9165C3}">
  <sheetPr>
    <pageSetUpPr fitToPage="1"/>
  </sheetPr>
  <dimension ref="A1:Z57"/>
  <sheetViews>
    <sheetView showGridLines="0" view="pageBreakPreview" topLeftCell="A15" zoomScale="70" zoomScaleNormal="55" zoomScaleSheetLayoutView="70" zoomScalePageLayoutView="8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6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6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6" ht="17" thickTop="1" thickBot="1">
      <c r="C3" s="435" t="s">
        <v>142</v>
      </c>
      <c r="D3" s="436"/>
      <c r="E3" s="437"/>
      <c r="F3" s="417">
        <v>45778</v>
      </c>
      <c r="G3" s="418"/>
      <c r="H3" s="418"/>
      <c r="I3" s="419"/>
      <c r="J3" s="417">
        <v>45779</v>
      </c>
      <c r="K3" s="418"/>
      <c r="L3" s="418"/>
      <c r="M3" s="419"/>
      <c r="N3" s="417">
        <v>45780</v>
      </c>
      <c r="O3" s="418"/>
      <c r="P3" s="418"/>
      <c r="Q3" s="419"/>
      <c r="R3" s="417">
        <v>45781</v>
      </c>
      <c r="S3" s="418"/>
      <c r="T3" s="418"/>
      <c r="U3" s="419"/>
      <c r="V3" s="417">
        <v>45782</v>
      </c>
      <c r="W3" s="418"/>
      <c r="X3" s="418"/>
      <c r="Y3" s="420"/>
      <c r="Z3" s="261"/>
    </row>
    <row r="4" spans="3:26" ht="16.149999999999999" customHeight="1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212</v>
      </c>
      <c r="W4" s="181" t="s">
        <v>162</v>
      </c>
      <c r="X4" s="180" t="s">
        <v>161</v>
      </c>
      <c r="Y4" s="262" t="s">
        <v>166</v>
      </c>
      <c r="Z4" s="261"/>
    </row>
    <row r="5" spans="3:26" ht="16">
      <c r="C5" s="422"/>
      <c r="D5" s="425" t="s">
        <v>138</v>
      </c>
      <c r="E5" s="211" t="s">
        <v>137</v>
      </c>
      <c r="F5" s="166">
        <v>20.3</v>
      </c>
      <c r="G5" s="165">
        <v>20.3</v>
      </c>
      <c r="H5" s="164">
        <f t="shared" ref="H5:H8" si="0">SUM(G5,-F5)</f>
        <v>0</v>
      </c>
      <c r="I5" s="219"/>
      <c r="J5" s="166">
        <v>15.7</v>
      </c>
      <c r="K5" s="165">
        <v>15.7</v>
      </c>
      <c r="L5" s="164">
        <f t="shared" ref="L5:L8" si="1">SUM(K5,-J5)</f>
        <v>0</v>
      </c>
      <c r="M5" s="219"/>
      <c r="N5" s="166">
        <v>15.7</v>
      </c>
      <c r="O5" s="165">
        <v>15.7</v>
      </c>
      <c r="P5" s="164">
        <f>SUM(O5,-N5)</f>
        <v>0</v>
      </c>
      <c r="Q5" s="219"/>
      <c r="R5" s="166">
        <v>15.7</v>
      </c>
      <c r="S5" s="165">
        <v>15.7</v>
      </c>
      <c r="T5" s="164">
        <f>SUM(S5,-R5)</f>
        <v>0</v>
      </c>
      <c r="U5" s="219"/>
      <c r="V5" s="166">
        <v>15.7</v>
      </c>
      <c r="W5" s="165">
        <v>15.7</v>
      </c>
      <c r="X5" s="164">
        <f>SUM(W5,-V5)</f>
        <v>0</v>
      </c>
      <c r="Y5" s="263"/>
      <c r="Z5" s="261"/>
    </row>
    <row r="6" spans="3:26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  <c r="Z6" s="261"/>
    </row>
    <row r="7" spans="3:26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  <c r="Z7" s="261"/>
    </row>
    <row r="8" spans="3:26" ht="16">
      <c r="C8" s="423"/>
      <c r="D8" s="426"/>
      <c r="E8" s="218" t="s">
        <v>133</v>
      </c>
      <c r="F8" s="217">
        <v>53.1</v>
      </c>
      <c r="G8" s="216">
        <v>53.1</v>
      </c>
      <c r="H8" s="215">
        <f t="shared" si="0"/>
        <v>0</v>
      </c>
      <c r="I8" s="214"/>
      <c r="J8" s="217">
        <v>52.900000000000006</v>
      </c>
      <c r="K8" s="216">
        <v>52.900000000000006</v>
      </c>
      <c r="L8" s="215">
        <f t="shared" si="1"/>
        <v>0</v>
      </c>
      <c r="M8" s="214"/>
      <c r="N8" s="217">
        <v>51.300000000000004</v>
      </c>
      <c r="O8" s="216">
        <v>51.300000000000004</v>
      </c>
      <c r="P8" s="215">
        <f>SUM(O8,-N8)</f>
        <v>0</v>
      </c>
      <c r="Q8" s="189"/>
      <c r="R8" s="217">
        <v>50.7</v>
      </c>
      <c r="S8" s="216">
        <v>50.7</v>
      </c>
      <c r="T8" s="215">
        <f>SUM(S8,-R8)</f>
        <v>0</v>
      </c>
      <c r="U8" s="189"/>
      <c r="V8" s="217">
        <v>51.900000000000006</v>
      </c>
      <c r="W8" s="216">
        <v>51.900000000000006</v>
      </c>
      <c r="X8" s="215">
        <f>SUM(W8,-V8)</f>
        <v>0</v>
      </c>
      <c r="Y8" s="264"/>
      <c r="Z8" s="261"/>
    </row>
    <row r="9" spans="3:26" ht="16.5" thickBot="1">
      <c r="C9" s="424"/>
      <c r="D9" s="427" t="s">
        <v>101</v>
      </c>
      <c r="E9" s="428"/>
      <c r="F9" s="188">
        <f t="shared" ref="F9:H9" si="5">SUM(F5:F8)</f>
        <v>82.2</v>
      </c>
      <c r="G9" s="187">
        <f t="shared" si="5"/>
        <v>82.2</v>
      </c>
      <c r="H9" s="187">
        <f t="shared" si="5"/>
        <v>0</v>
      </c>
      <c r="I9" s="213" t="s">
        <v>159</v>
      </c>
      <c r="J9" s="188">
        <f>SUM(J5:J8)</f>
        <v>77.400000000000006</v>
      </c>
      <c r="K9" s="187">
        <f>SUM(K5:K8)</f>
        <v>77.400000000000006</v>
      </c>
      <c r="L9" s="187">
        <f t="shared" ref="L9" si="6">SUM(L5:L8)</f>
        <v>0</v>
      </c>
      <c r="M9" s="213" t="s">
        <v>159</v>
      </c>
      <c r="N9" s="188">
        <f>SUM(N5:N8)</f>
        <v>75.800000000000011</v>
      </c>
      <c r="O9" s="187">
        <f>SUM(O5:O8)</f>
        <v>75.800000000000011</v>
      </c>
      <c r="P9" s="187">
        <f>SUM(P5:P8)</f>
        <v>0</v>
      </c>
      <c r="Q9" s="213" t="s">
        <v>159</v>
      </c>
      <c r="R9" s="188">
        <f>SUM(R5:R8)</f>
        <v>75.2</v>
      </c>
      <c r="S9" s="187">
        <f>SUM(S5:S8)</f>
        <v>75.2</v>
      </c>
      <c r="T9" s="187">
        <f>SUM(T5:T8)</f>
        <v>0</v>
      </c>
      <c r="U9" s="213" t="s">
        <v>159</v>
      </c>
      <c r="V9" s="188">
        <f>SUM(V5:V8)</f>
        <v>76.400000000000006</v>
      </c>
      <c r="W9" s="187">
        <f>SUM(W5:W8)</f>
        <v>76.400000000000006</v>
      </c>
      <c r="X9" s="187">
        <f>SUM(X5:X8)</f>
        <v>0</v>
      </c>
      <c r="Y9" s="265" t="s">
        <v>159</v>
      </c>
      <c r="Z9" s="261"/>
    </row>
    <row r="10" spans="3:26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  <c r="Z10" s="261"/>
    </row>
    <row r="11" spans="3:26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  <c r="Z11" s="261"/>
    </row>
    <row r="12" spans="3:26" ht="16.149999999999999" customHeight="1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  <c r="Z12" s="261"/>
    </row>
    <row r="13" spans="3:26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  <c r="Z13" s="261"/>
    </row>
    <row r="14" spans="3:26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  <c r="Z14" s="261"/>
    </row>
    <row r="15" spans="3:26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1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-32.5</v>
      </c>
      <c r="X15" s="164">
        <f t="shared" si="11"/>
        <v>0</v>
      </c>
      <c r="Y15" s="267"/>
      <c r="Z15" s="261"/>
    </row>
    <row r="16" spans="3:26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2"/>
      <c r="J16" s="166">
        <v>-32.5</v>
      </c>
      <c r="K16" s="165">
        <v>-32.5</v>
      </c>
      <c r="L16" s="164">
        <f t="shared" si="8"/>
        <v>0</v>
      </c>
      <c r="M16" s="189"/>
      <c r="N16" s="166">
        <v>-32.5</v>
      </c>
      <c r="O16" s="165">
        <v>-32.5</v>
      </c>
      <c r="P16" s="164">
        <f t="shared" si="9"/>
        <v>0</v>
      </c>
      <c r="Q16" s="189"/>
      <c r="R16" s="166">
        <v>-32.5</v>
      </c>
      <c r="S16" s="165">
        <v>-32.5</v>
      </c>
      <c r="T16" s="164">
        <f t="shared" si="10"/>
        <v>0</v>
      </c>
      <c r="U16" s="189"/>
      <c r="V16" s="166">
        <v>-32.5</v>
      </c>
      <c r="W16" s="165">
        <v>-32.5</v>
      </c>
      <c r="X16" s="164">
        <f t="shared" si="11"/>
        <v>0</v>
      </c>
      <c r="Y16" s="267"/>
      <c r="Z16" s="261"/>
    </row>
    <row r="17" spans="3:26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7"/>
        <v>0</v>
      </c>
      <c r="I17" s="232"/>
      <c r="J17" s="166">
        <v>-34</v>
      </c>
      <c r="K17" s="165">
        <v>-34</v>
      </c>
      <c r="L17" s="164">
        <f t="shared" si="8"/>
        <v>0</v>
      </c>
      <c r="M17" s="189"/>
      <c r="N17" s="166">
        <v>-34</v>
      </c>
      <c r="O17" s="165">
        <v>-34</v>
      </c>
      <c r="P17" s="164">
        <f t="shared" si="9"/>
        <v>0</v>
      </c>
      <c r="Q17" s="189"/>
      <c r="R17" s="166">
        <v>-34</v>
      </c>
      <c r="S17" s="165">
        <v>-34</v>
      </c>
      <c r="T17" s="164">
        <f t="shared" si="10"/>
        <v>0</v>
      </c>
      <c r="U17" s="189"/>
      <c r="V17" s="166">
        <v>-34</v>
      </c>
      <c r="W17" s="165">
        <v>-34</v>
      </c>
      <c r="X17" s="164">
        <f t="shared" si="11"/>
        <v>0</v>
      </c>
      <c r="Y17" s="267"/>
      <c r="Z17" s="261"/>
    </row>
    <row r="18" spans="3:26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-34</v>
      </c>
      <c r="L18" s="164">
        <f t="shared" si="8"/>
        <v>0</v>
      </c>
      <c r="M18" s="189"/>
      <c r="N18" s="166">
        <v>-34</v>
      </c>
      <c r="O18" s="165">
        <v>-34</v>
      </c>
      <c r="P18" s="164">
        <f t="shared" si="9"/>
        <v>0</v>
      </c>
      <c r="Q18" s="189"/>
      <c r="R18" s="166">
        <v>-34</v>
      </c>
      <c r="S18" s="165">
        <v>-34</v>
      </c>
      <c r="T18" s="164">
        <f t="shared" si="10"/>
        <v>0</v>
      </c>
      <c r="U18" s="189"/>
      <c r="V18" s="166">
        <v>-34</v>
      </c>
      <c r="W18" s="165">
        <v>-34</v>
      </c>
      <c r="X18" s="164">
        <f t="shared" si="11"/>
        <v>0</v>
      </c>
      <c r="Y18" s="267"/>
      <c r="Z18" s="261"/>
    </row>
    <row r="19" spans="3:26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  <c r="Z19" s="261"/>
    </row>
    <row r="20" spans="3:26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-34</v>
      </c>
      <c r="X20" s="164">
        <f t="shared" si="11"/>
        <v>0</v>
      </c>
      <c r="Y20" s="267"/>
      <c r="Z20" s="261"/>
    </row>
    <row r="21" spans="3:26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-227.1</v>
      </c>
      <c r="H21" s="187">
        <f t="shared" si="12"/>
        <v>26.1</v>
      </c>
      <c r="I21" s="186" t="s">
        <v>159</v>
      </c>
      <c r="J21" s="188">
        <f t="shared" si="12"/>
        <v>-253.2</v>
      </c>
      <c r="K21" s="187">
        <f t="shared" si="12"/>
        <v>-227.1</v>
      </c>
      <c r="L21" s="187">
        <f t="shared" ref="L21" si="13"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v>-253.2</v>
      </c>
      <c r="W21" s="187">
        <f>SUM(W13:W20)</f>
        <v>-227.1</v>
      </c>
      <c r="X21" s="187">
        <f>SUM(X13:X20)</f>
        <v>26.1</v>
      </c>
      <c r="Y21" s="268" t="s">
        <v>159</v>
      </c>
      <c r="Z21" s="261"/>
    </row>
    <row r="22" spans="3:26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  <c r="Z22" s="261"/>
    </row>
    <row r="23" spans="3:26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  <c r="Z23" s="261"/>
    </row>
    <row r="24" spans="3:26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  <c r="Z24" s="261"/>
    </row>
    <row r="25" spans="3:26" ht="16.5" thickBot="1">
      <c r="C25" s="446"/>
      <c r="D25" s="447"/>
      <c r="E25" s="449"/>
      <c r="F25" s="209">
        <v>-5</v>
      </c>
      <c r="G25" s="208">
        <v>-4.5</v>
      </c>
      <c r="H25" s="207">
        <f t="shared" ref="H25" si="14">SUM(G25,-F25)</f>
        <v>0.5</v>
      </c>
      <c r="I25" s="232" t="s">
        <v>150</v>
      </c>
      <c r="J25" s="209">
        <v>-5</v>
      </c>
      <c r="K25" s="208">
        <v>-4.5</v>
      </c>
      <c r="L25" s="207">
        <f t="shared" ref="L25" si="15">SUM(K25,-J25)</f>
        <v>0.5</v>
      </c>
      <c r="M25" s="206" t="s">
        <v>173</v>
      </c>
      <c r="N25" s="209">
        <v>-5</v>
      </c>
      <c r="O25" s="208">
        <v>-4.4000000000000004</v>
      </c>
      <c r="P25" s="207">
        <f t="shared" ref="P25" si="16">SUM(O25,-N25)</f>
        <v>0.59999999999999964</v>
      </c>
      <c r="Q25" s="206" t="s">
        <v>173</v>
      </c>
      <c r="R25" s="209">
        <v>-5</v>
      </c>
      <c r="S25" s="208">
        <v>-4.4000000000000004</v>
      </c>
      <c r="T25" s="207">
        <f>SUM(S25,-R25)</f>
        <v>0.59999999999999964</v>
      </c>
      <c r="U25" s="206" t="s">
        <v>173</v>
      </c>
      <c r="V25" s="209">
        <v>-5</v>
      </c>
      <c r="W25" s="208">
        <v>-4.4000000000000004</v>
      </c>
      <c r="X25" s="207">
        <f>SUM(W25,-V25)</f>
        <v>0.59999999999999964</v>
      </c>
      <c r="Y25" s="269" t="s">
        <v>173</v>
      </c>
      <c r="Z25" s="261"/>
    </row>
    <row r="26" spans="3:26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  <c r="Z26" s="261"/>
    </row>
    <row r="27" spans="3:26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  <c r="Z27" s="261"/>
    </row>
    <row r="28" spans="3:26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  <c r="Z28" s="261"/>
    </row>
    <row r="29" spans="3:26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7">SUM(G29,-F29)</f>
        <v>0</v>
      </c>
      <c r="I29" s="459"/>
      <c r="J29" s="200">
        <v>0</v>
      </c>
      <c r="K29" s="455">
        <v>0</v>
      </c>
      <c r="L29" s="457">
        <f t="shared" ref="L29" si="18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461"/>
      <c r="Z29" s="261"/>
    </row>
    <row r="30" spans="3:26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2"/>
      <c r="Z30" s="261"/>
    </row>
    <row r="31" spans="3:26" ht="16">
      <c r="C31" s="451"/>
      <c r="D31" s="443"/>
      <c r="E31" s="453" t="s">
        <v>109</v>
      </c>
      <c r="F31" s="200">
        <v>0</v>
      </c>
      <c r="G31" s="455">
        <v>0</v>
      </c>
      <c r="H31" s="457">
        <f t="shared" ref="H31" si="19">SUM(G31,-F31)</f>
        <v>0</v>
      </c>
      <c r="I31" s="459"/>
      <c r="J31" s="200">
        <v>0</v>
      </c>
      <c r="K31" s="455">
        <v>0</v>
      </c>
      <c r="L31" s="457">
        <f t="shared" ref="L31" si="20">SUM(K31,-J31)</f>
        <v>0</v>
      </c>
      <c r="M31" s="459"/>
      <c r="N31" s="200">
        <v>0</v>
      </c>
      <c r="O31" s="455">
        <v>0</v>
      </c>
      <c r="P31" s="457">
        <f t="shared" ref="P31" si="21">SUM(O31,-N31)</f>
        <v>0</v>
      </c>
      <c r="Q31" s="459"/>
      <c r="R31" s="200">
        <v>0</v>
      </c>
      <c r="S31" s="455">
        <v>0</v>
      </c>
      <c r="T31" s="457">
        <f t="shared" ref="T31" si="22">SUM(S31,-R31)</f>
        <v>0</v>
      </c>
      <c r="U31" s="459"/>
      <c r="V31" s="200">
        <v>0</v>
      </c>
      <c r="W31" s="455">
        <v>0</v>
      </c>
      <c r="X31" s="457">
        <f t="shared" ref="X31" si="23">SUM(W31,-V31)</f>
        <v>0</v>
      </c>
      <c r="Y31" s="461"/>
      <c r="Z31" s="261"/>
    </row>
    <row r="32" spans="3:26" ht="16">
      <c r="C32" s="451"/>
      <c r="D32" s="442"/>
      <c r="E32" s="454"/>
      <c r="F32" s="202">
        <v>0</v>
      </c>
      <c r="G32" s="456">
        <v>0</v>
      </c>
      <c r="H32" s="458"/>
      <c r="I32" s="460"/>
      <c r="J32" s="202">
        <v>0</v>
      </c>
      <c r="K32" s="456">
        <v>0</v>
      </c>
      <c r="L32" s="458"/>
      <c r="M32" s="460"/>
      <c r="N32" s="202">
        <v>0</v>
      </c>
      <c r="O32" s="456">
        <v>0</v>
      </c>
      <c r="P32" s="458"/>
      <c r="Q32" s="460"/>
      <c r="R32" s="202">
        <v>0</v>
      </c>
      <c r="S32" s="456">
        <v>0</v>
      </c>
      <c r="T32" s="458"/>
      <c r="U32" s="460"/>
      <c r="V32" s="202">
        <v>0</v>
      </c>
      <c r="W32" s="456">
        <v>0</v>
      </c>
      <c r="X32" s="458"/>
      <c r="Y32" s="462"/>
      <c r="Z32" s="261"/>
    </row>
    <row r="33" spans="3:26" ht="16.149999999999999" customHeight="1">
      <c r="C33" s="451"/>
      <c r="D33" s="466" t="s">
        <v>107</v>
      </c>
      <c r="E33" s="201" t="s">
        <v>106</v>
      </c>
      <c r="F33" s="200">
        <v>23.9</v>
      </c>
      <c r="G33" s="199">
        <v>22.8</v>
      </c>
      <c r="H33" s="457">
        <f t="shared" ref="H33" si="24">SUM(G33,-F33)</f>
        <v>-1.0999999999999979</v>
      </c>
      <c r="I33" s="459" t="s">
        <v>146</v>
      </c>
      <c r="J33" s="200">
        <v>23.9</v>
      </c>
      <c r="K33" s="199">
        <v>18.2</v>
      </c>
      <c r="L33" s="457">
        <f t="shared" ref="L33" si="25">SUM(K33,-J33)</f>
        <v>-5.6999999999999993</v>
      </c>
      <c r="M33" s="459" t="s">
        <v>146</v>
      </c>
      <c r="N33" s="200">
        <v>23.9</v>
      </c>
      <c r="O33" s="199">
        <v>17.8</v>
      </c>
      <c r="P33" s="457">
        <f t="shared" ref="P33" si="26">SUM(O33,-N33)</f>
        <v>-6.0999999999999979</v>
      </c>
      <c r="Q33" s="459" t="s">
        <v>146</v>
      </c>
      <c r="R33" s="200">
        <v>23.9</v>
      </c>
      <c r="S33" s="199">
        <v>17.7</v>
      </c>
      <c r="T33" s="457">
        <f t="shared" ref="T33" si="27">SUM(S33,-R33)</f>
        <v>-6.1999999999999993</v>
      </c>
      <c r="U33" s="459" t="s">
        <v>146</v>
      </c>
      <c r="V33" s="200">
        <v>23.9</v>
      </c>
      <c r="W33" s="199">
        <v>20.2</v>
      </c>
      <c r="X33" s="457">
        <f t="shared" ref="X33" si="28">SUM(W33,-V33)</f>
        <v>-3.6999999999999993</v>
      </c>
      <c r="Y33" s="461" t="s">
        <v>146</v>
      </c>
      <c r="Z33" s="261"/>
    </row>
    <row r="34" spans="3:26" ht="16.149999999999999" customHeight="1">
      <c r="C34" s="451"/>
      <c r="D34" s="467"/>
      <c r="E34" s="463" t="s">
        <v>104</v>
      </c>
      <c r="F34" s="198">
        <v>0.2</v>
      </c>
      <c r="G34" s="230">
        <v>19</v>
      </c>
      <c r="H34" s="458"/>
      <c r="I34" s="460"/>
      <c r="J34" s="198">
        <v>0.2</v>
      </c>
      <c r="K34" s="230">
        <v>15</v>
      </c>
      <c r="L34" s="458"/>
      <c r="M34" s="460"/>
      <c r="N34" s="198">
        <v>0.2</v>
      </c>
      <c r="O34" s="230">
        <v>15</v>
      </c>
      <c r="P34" s="458"/>
      <c r="Q34" s="460"/>
      <c r="R34" s="198">
        <v>0.2</v>
      </c>
      <c r="S34" s="230">
        <v>14</v>
      </c>
      <c r="T34" s="458"/>
      <c r="U34" s="460"/>
      <c r="V34" s="198">
        <v>0.2</v>
      </c>
      <c r="W34" s="230">
        <v>17</v>
      </c>
      <c r="X34" s="458"/>
      <c r="Y34" s="462"/>
      <c r="Z34" s="261"/>
    </row>
    <row r="35" spans="3:26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  <c r="Z35" s="261"/>
    </row>
    <row r="36" spans="3:26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  <c r="Z36" s="261"/>
    </row>
    <row r="37" spans="3:26" ht="16">
      <c r="C37" s="451"/>
      <c r="D37" s="467"/>
      <c r="E37" s="190" t="s">
        <v>103</v>
      </c>
      <c r="F37" s="166">
        <v>10</v>
      </c>
      <c r="G37" s="165">
        <v>0.4</v>
      </c>
      <c r="H37" s="164">
        <f t="shared" ref="H37" si="29">SUM(G37,-F37)</f>
        <v>-9.6</v>
      </c>
      <c r="I37" s="189" t="s">
        <v>147</v>
      </c>
      <c r="J37" s="166">
        <v>10</v>
      </c>
      <c r="K37" s="165">
        <v>0.4</v>
      </c>
      <c r="L37" s="164">
        <f t="shared" ref="L37" si="30">SUM(K37,-J37)</f>
        <v>-9.6</v>
      </c>
      <c r="M37" s="189" t="s">
        <v>147</v>
      </c>
      <c r="N37" s="166">
        <v>10</v>
      </c>
      <c r="O37" s="165">
        <v>0.4</v>
      </c>
      <c r="P37" s="164">
        <f t="shared" ref="P37" si="31">SUM(O37,-N37)</f>
        <v>-9.6</v>
      </c>
      <c r="Q37" s="189" t="s">
        <v>147</v>
      </c>
      <c r="R37" s="166">
        <v>10</v>
      </c>
      <c r="S37" s="165">
        <v>0.3</v>
      </c>
      <c r="T37" s="164">
        <f t="shared" ref="T37" si="32">SUM(S37,-R37)</f>
        <v>-9.6999999999999993</v>
      </c>
      <c r="U37" s="189" t="s">
        <v>170</v>
      </c>
      <c r="V37" s="166">
        <v>10</v>
      </c>
      <c r="W37" s="165">
        <v>0.3</v>
      </c>
      <c r="X37" s="164">
        <f t="shared" ref="X37" si="33">SUM(W37,-V37)</f>
        <v>-9.6999999999999993</v>
      </c>
      <c r="Y37" s="267" t="s">
        <v>170</v>
      </c>
      <c r="Z37" s="261"/>
    </row>
    <row r="38" spans="3:26" ht="16.5" thickBot="1">
      <c r="C38" s="452"/>
      <c r="D38" s="427" t="s">
        <v>101</v>
      </c>
      <c r="E38" s="428"/>
      <c r="F38" s="188">
        <f t="shared" ref="F38" si="34">SUM(F29,F31,F33,F37)</f>
        <v>33.9</v>
      </c>
      <c r="G38" s="187">
        <f t="shared" ref="G38" si="35">SUM(G29:G33,G37)</f>
        <v>23.2</v>
      </c>
      <c r="H38" s="187">
        <f t="shared" ref="H38" si="36">SUM(H29:H34,H37)</f>
        <v>-10.699999999999998</v>
      </c>
      <c r="I38" s="186"/>
      <c r="J38" s="188">
        <f t="shared" ref="J38" si="37">SUM(J29,J31,J33,J37)</f>
        <v>33.9</v>
      </c>
      <c r="K38" s="187">
        <f t="shared" ref="K38" si="38">SUM(K29:K33,K37)</f>
        <v>18.599999999999998</v>
      </c>
      <c r="L38" s="187">
        <f t="shared" ref="L38" si="39">SUM(L29:L34,L37)</f>
        <v>-15.299999999999999</v>
      </c>
      <c r="M38" s="186"/>
      <c r="N38" s="188">
        <f>SUM(N29,N31,N33,N37)</f>
        <v>33.9</v>
      </c>
      <c r="O38" s="187">
        <f>SUM(O29:O33,O37)</f>
        <v>18.2</v>
      </c>
      <c r="P38" s="187">
        <f>SUM(P29:P34,P37)</f>
        <v>-15.699999999999998</v>
      </c>
      <c r="Q38" s="186"/>
      <c r="R38" s="188">
        <f>SUM(R29,R31,R33,R37)</f>
        <v>33.9</v>
      </c>
      <c r="S38" s="187">
        <f>SUM(S29:S33,S37)</f>
        <v>18</v>
      </c>
      <c r="T38" s="187">
        <f>SUM(T29:T34,T37)</f>
        <v>-15.899999999999999</v>
      </c>
      <c r="U38" s="186"/>
      <c r="V38" s="188">
        <f>SUM(V29,V31,V33,V37)</f>
        <v>33.9</v>
      </c>
      <c r="W38" s="187">
        <f>SUM(W29:W33,W37)</f>
        <v>20.5</v>
      </c>
      <c r="X38" s="187">
        <f>SUM(X29:X34,X37)</f>
        <v>-13.399999999999999</v>
      </c>
      <c r="Y38" s="268"/>
      <c r="Z38" s="261"/>
    </row>
    <row r="39" spans="3:26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  <c r="Z39" s="261"/>
    </row>
    <row r="40" spans="3:26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  <c r="Z40" s="261"/>
    </row>
    <row r="41" spans="3:26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  <c r="Z41" s="261"/>
    </row>
    <row r="42" spans="3:26" ht="16.5" customHeight="1">
      <c r="C42" s="444"/>
      <c r="D42" s="445"/>
      <c r="E42" s="476" t="s">
        <v>96</v>
      </c>
      <c r="F42" s="178">
        <v>81.099999999999994</v>
      </c>
      <c r="G42" s="478">
        <v>0</v>
      </c>
      <c r="H42" s="457">
        <f t="shared" ref="H42" si="40">SUM(G42,-F42)</f>
        <v>-81.099999999999994</v>
      </c>
      <c r="I42" s="459" t="s">
        <v>151</v>
      </c>
      <c r="J42" s="178">
        <v>0</v>
      </c>
      <c r="K42" s="478">
        <v>0</v>
      </c>
      <c r="L42" s="457">
        <f t="shared" ref="L42" si="41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35.4</v>
      </c>
      <c r="W42" s="478">
        <v>11.1</v>
      </c>
      <c r="X42" s="457">
        <f>SUM(W42,-V42)</f>
        <v>-24.299999999999997</v>
      </c>
      <c r="Y42" s="461" t="s">
        <v>151</v>
      </c>
      <c r="Z42" s="261"/>
    </row>
    <row r="43" spans="3:26" ht="16.5" thickBot="1">
      <c r="C43" s="474"/>
      <c r="D43" s="475"/>
      <c r="E43" s="477"/>
      <c r="F43" s="183">
        <v>147.4</v>
      </c>
      <c r="G43" s="479"/>
      <c r="H43" s="480"/>
      <c r="I43" s="481"/>
      <c r="J43" s="183">
        <v>142.80000000000001</v>
      </c>
      <c r="K43" s="479"/>
      <c r="L43" s="480"/>
      <c r="M43" s="481"/>
      <c r="N43" s="183">
        <v>139.1</v>
      </c>
      <c r="O43" s="479"/>
      <c r="P43" s="480"/>
      <c r="Q43" s="481"/>
      <c r="R43" s="183">
        <v>140.1</v>
      </c>
      <c r="S43" s="479"/>
      <c r="T43" s="480"/>
      <c r="U43" s="481"/>
      <c r="V43" s="183">
        <v>139.1</v>
      </c>
      <c r="W43" s="479"/>
      <c r="X43" s="480"/>
      <c r="Y43" s="482"/>
      <c r="Z43" s="261"/>
    </row>
    <row r="44" spans="3:26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  <c r="Z44" s="261"/>
    </row>
    <row r="45" spans="3:26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  <c r="Z45" s="261"/>
    </row>
    <row r="46" spans="3:26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  <c r="Z46" s="261"/>
    </row>
    <row r="47" spans="3:26" ht="16.149999999999999" customHeight="1">
      <c r="C47" s="444"/>
      <c r="D47" s="483"/>
      <c r="E47" s="488" t="s">
        <v>91</v>
      </c>
      <c r="F47" s="178">
        <v>38.533000000000001</v>
      </c>
      <c r="G47" s="478">
        <v>41.2</v>
      </c>
      <c r="H47" s="457">
        <f t="shared" ref="H47" si="42">SUM(G47,-F47)</f>
        <v>2.6670000000000016</v>
      </c>
      <c r="I47" s="459" t="s">
        <v>149</v>
      </c>
      <c r="J47" s="178">
        <v>38.5</v>
      </c>
      <c r="K47" s="478">
        <v>30.7</v>
      </c>
      <c r="L47" s="457">
        <f t="shared" ref="L47" si="43">SUM(K47,-J47)</f>
        <v>-7.8000000000000007</v>
      </c>
      <c r="M47" s="459" t="s">
        <v>146</v>
      </c>
      <c r="N47" s="178">
        <v>33.299999999999997</v>
      </c>
      <c r="O47" s="478">
        <v>33.299999999999997</v>
      </c>
      <c r="P47" s="457">
        <f>SUM(O47,-N47)</f>
        <v>0</v>
      </c>
      <c r="Q47" s="459"/>
      <c r="R47" s="178">
        <v>33.5</v>
      </c>
      <c r="S47" s="478">
        <v>33.299999999999997</v>
      </c>
      <c r="T47" s="457">
        <f>SUM(S47,-R47)</f>
        <v>-0.20000000000000284</v>
      </c>
      <c r="U47" s="459" t="s">
        <v>146</v>
      </c>
      <c r="V47" s="178">
        <v>33.299999999999997</v>
      </c>
      <c r="W47" s="478">
        <v>33.299999999999997</v>
      </c>
      <c r="X47" s="457">
        <f>SUM(W47,-V47)</f>
        <v>0</v>
      </c>
      <c r="Y47" s="461"/>
      <c r="Z47" s="261"/>
    </row>
    <row r="48" spans="3:26" ht="16.5" thickBot="1">
      <c r="C48" s="486"/>
      <c r="D48" s="487"/>
      <c r="E48" s="489"/>
      <c r="F48" s="177">
        <v>0.57658237318569505</v>
      </c>
      <c r="G48" s="479"/>
      <c r="H48" s="480"/>
      <c r="I48" s="481"/>
      <c r="J48" s="177">
        <v>0.57999999999999996</v>
      </c>
      <c r="K48" s="479"/>
      <c r="L48" s="480"/>
      <c r="M48" s="481"/>
      <c r="N48" s="177">
        <v>0.6</v>
      </c>
      <c r="O48" s="479"/>
      <c r="P48" s="480"/>
      <c r="Q48" s="481"/>
      <c r="R48" s="177">
        <v>0.6</v>
      </c>
      <c r="S48" s="479"/>
      <c r="T48" s="480"/>
      <c r="U48" s="481"/>
      <c r="V48" s="177">
        <v>0.6</v>
      </c>
      <c r="W48" s="479"/>
      <c r="X48" s="480"/>
      <c r="Y48" s="482"/>
      <c r="Z48" s="261"/>
    </row>
    <row r="49" spans="1:26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  <c r="Z49" s="261"/>
    </row>
    <row r="50" spans="1:26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  <c r="Z50" s="261"/>
    </row>
    <row r="51" spans="1:26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  <c r="Z51" s="261"/>
    </row>
    <row r="52" spans="1:26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4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5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  <c r="Z52" s="261"/>
    </row>
    <row r="53" spans="1:26" ht="16.5" thickBot="1">
      <c r="C53" s="484"/>
      <c r="D53" s="485"/>
      <c r="E53" s="226" t="s">
        <v>82</v>
      </c>
      <c r="F53" s="225">
        <v>0</v>
      </c>
      <c r="G53" s="229">
        <v>30.6</v>
      </c>
      <c r="H53" s="223" t="s">
        <v>159</v>
      </c>
      <c r="I53" s="222" t="s">
        <v>213</v>
      </c>
      <c r="J53" s="225">
        <v>0</v>
      </c>
      <c r="K53" s="229">
        <v>29.4</v>
      </c>
      <c r="L53" s="223" t="s">
        <v>159</v>
      </c>
      <c r="M53" s="222" t="s">
        <v>213</v>
      </c>
      <c r="N53" s="225">
        <v>0</v>
      </c>
      <c r="O53" s="229">
        <v>30.2</v>
      </c>
      <c r="P53" s="223" t="s">
        <v>159</v>
      </c>
      <c r="Q53" s="222" t="s">
        <v>213</v>
      </c>
      <c r="R53" s="225">
        <v>0</v>
      </c>
      <c r="S53" s="229">
        <v>30.6</v>
      </c>
      <c r="T53" s="223" t="s">
        <v>159</v>
      </c>
      <c r="U53" s="222" t="s">
        <v>213</v>
      </c>
      <c r="V53" s="225">
        <v>0</v>
      </c>
      <c r="W53" s="229">
        <v>30.5</v>
      </c>
      <c r="X53" s="223" t="s">
        <v>159</v>
      </c>
      <c r="Y53" s="274" t="s">
        <v>213</v>
      </c>
      <c r="Z53" s="261"/>
    </row>
    <row r="54" spans="1:26" ht="15.5" thickTop="1">
      <c r="C54" s="1" t="s">
        <v>79</v>
      </c>
    </row>
    <row r="56" spans="1:26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6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7A80-69BC-463A-A456-820842289430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45231</v>
      </c>
      <c r="G3" s="26" t="s">
        <v>48</v>
      </c>
      <c r="H3" s="115">
        <v>45232</v>
      </c>
      <c r="I3" s="26" t="s">
        <v>48</v>
      </c>
      <c r="J3" s="25">
        <v>45233</v>
      </c>
      <c r="K3" s="26" t="s">
        <v>49</v>
      </c>
      <c r="L3" s="25">
        <v>45234</v>
      </c>
      <c r="M3" s="26" t="s">
        <v>49</v>
      </c>
      <c r="N3" s="25">
        <v>45235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120">
        <v>106.5</v>
      </c>
      <c r="G5" s="384" t="s">
        <v>45</v>
      </c>
      <c r="H5" s="120">
        <v>106.7</v>
      </c>
      <c r="I5" s="384" t="s">
        <v>45</v>
      </c>
      <c r="J5" s="9">
        <v>74.8</v>
      </c>
      <c r="K5" s="384" t="s">
        <v>45</v>
      </c>
      <c r="L5" s="9">
        <v>74.400000000000006</v>
      </c>
      <c r="M5" s="384" t="s">
        <v>45</v>
      </c>
      <c r="N5" s="9">
        <v>74.099999999999994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23">
        <v>80.8</v>
      </c>
      <c r="G6" s="385"/>
      <c r="H6" s="123">
        <v>80.8</v>
      </c>
      <c r="I6" s="385"/>
      <c r="J6" s="10">
        <v>77.5</v>
      </c>
      <c r="K6" s="385"/>
      <c r="L6" s="10">
        <v>77.7</v>
      </c>
      <c r="M6" s="385"/>
      <c r="N6" s="10">
        <v>77.7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411.7</v>
      </c>
      <c r="G7" s="385"/>
      <c r="H7" s="126">
        <v>412.5</v>
      </c>
      <c r="I7" s="385"/>
      <c r="J7" s="28">
        <v>412.7</v>
      </c>
      <c r="K7" s="385"/>
      <c r="L7" s="28">
        <v>412.7</v>
      </c>
      <c r="M7" s="385"/>
      <c r="N7" s="28">
        <v>412.6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22.4</v>
      </c>
      <c r="G8" s="385"/>
      <c r="H8" s="129">
        <v>12</v>
      </c>
      <c r="I8" s="385"/>
      <c r="J8" s="29">
        <v>17.000000000000149</v>
      </c>
      <c r="K8" s="385"/>
      <c r="L8" s="29">
        <v>18.100000000000012</v>
      </c>
      <c r="M8" s="385"/>
      <c r="N8" s="29">
        <v>17.999999999999922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14.2</v>
      </c>
      <c r="G9" s="385"/>
      <c r="H9" s="131">
        <v>14.4</v>
      </c>
      <c r="I9" s="385"/>
      <c r="J9" s="30">
        <v>12.9</v>
      </c>
      <c r="K9" s="385"/>
      <c r="L9" s="30">
        <v>14.4</v>
      </c>
      <c r="M9" s="385"/>
      <c r="N9" s="30">
        <v>14.4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25.1</v>
      </c>
      <c r="G10" s="385"/>
      <c r="H10" s="133">
        <v>24.9</v>
      </c>
      <c r="I10" s="385"/>
      <c r="J10" s="11">
        <v>24.9</v>
      </c>
      <c r="K10" s="385"/>
      <c r="L10" s="11">
        <v>24.9</v>
      </c>
      <c r="M10" s="385"/>
      <c r="N10" s="11">
        <v>24.9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22.5</v>
      </c>
      <c r="G11" s="385"/>
      <c r="H11" s="135">
        <v>22.4</v>
      </c>
      <c r="I11" s="385"/>
      <c r="J11" s="12">
        <v>22.8</v>
      </c>
      <c r="K11" s="385"/>
      <c r="L11" s="12">
        <v>23.6</v>
      </c>
      <c r="M11" s="385"/>
      <c r="N11" s="12">
        <v>23.2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811.8</v>
      </c>
      <c r="G12" s="385"/>
      <c r="H12" s="137">
        <v>810</v>
      </c>
      <c r="I12" s="385"/>
      <c r="J12" s="13">
        <v>812</v>
      </c>
      <c r="K12" s="385"/>
      <c r="L12" s="13">
        <v>555.6</v>
      </c>
      <c r="M12" s="385"/>
      <c r="N12" s="13">
        <v>684.8</v>
      </c>
      <c r="O12" s="385"/>
    </row>
    <row r="13" spans="2:15" ht="16">
      <c r="B13" s="376"/>
      <c r="C13" s="379"/>
      <c r="D13" s="388"/>
      <c r="E13" s="45" t="s">
        <v>27</v>
      </c>
      <c r="F13" s="137">
        <v>3.6</v>
      </c>
      <c r="G13" s="385"/>
      <c r="H13" s="137">
        <v>1.3</v>
      </c>
      <c r="I13" s="385"/>
      <c r="J13" s="13">
        <v>3.3</v>
      </c>
      <c r="K13" s="385"/>
      <c r="L13" s="13">
        <v>2.8</v>
      </c>
      <c r="M13" s="385"/>
      <c r="N13" s="13">
        <v>9.6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21</v>
      </c>
      <c r="G14" s="385"/>
      <c r="H14" s="139">
        <v>21</v>
      </c>
      <c r="I14" s="385"/>
      <c r="J14" s="14">
        <v>33</v>
      </c>
      <c r="K14" s="385"/>
      <c r="L14" s="14">
        <v>159</v>
      </c>
      <c r="M14" s="385"/>
      <c r="N14" s="14">
        <v>159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1519.6</v>
      </c>
      <c r="G15" s="385"/>
      <c r="H15" s="108">
        <v>1505.9999999999998</v>
      </c>
      <c r="I15" s="385"/>
      <c r="J15" s="15">
        <v>1490.8999999999999</v>
      </c>
      <c r="K15" s="385"/>
      <c r="L15" s="15">
        <v>1363.2</v>
      </c>
      <c r="M15" s="385"/>
      <c r="N15" s="15">
        <v>1498.2999999999997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895</v>
      </c>
      <c r="G16" s="385"/>
      <c r="H16" s="320">
        <v>905</v>
      </c>
      <c r="I16" s="385"/>
      <c r="J16" s="8">
        <v>790.5</v>
      </c>
      <c r="K16" s="385"/>
      <c r="L16" s="8">
        <v>797.8</v>
      </c>
      <c r="M16" s="385"/>
      <c r="N16" s="8">
        <v>786.9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-159.1</v>
      </c>
      <c r="G17" s="385"/>
      <c r="H17" s="145">
        <v>-193.1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-4.8</v>
      </c>
      <c r="G18" s="385"/>
      <c r="H18" s="111">
        <v>-4.8</v>
      </c>
      <c r="I18" s="385"/>
      <c r="J18" s="17">
        <v>-4.8</v>
      </c>
      <c r="K18" s="385"/>
      <c r="L18" s="17">
        <v>-4.8</v>
      </c>
      <c r="M18" s="385"/>
      <c r="N18" s="17">
        <v>-4.8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-204.5</v>
      </c>
      <c r="G19" s="385"/>
      <c r="H19" s="148">
        <v>-204.5</v>
      </c>
      <c r="I19" s="385"/>
      <c r="J19" s="18">
        <v>-174.2</v>
      </c>
      <c r="K19" s="385"/>
      <c r="L19" s="18">
        <v>-174.2</v>
      </c>
      <c r="M19" s="385"/>
      <c r="N19" s="18">
        <v>-174.2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1263.3999999999999</v>
      </c>
      <c r="G21" s="386"/>
      <c r="H21" s="151">
        <v>1307.3999999999999</v>
      </c>
      <c r="I21" s="386"/>
      <c r="J21" s="27">
        <v>1196.5999999999999</v>
      </c>
      <c r="K21" s="386"/>
      <c r="L21" s="27">
        <v>1203.8999999999999</v>
      </c>
      <c r="M21" s="386"/>
      <c r="N21" s="27">
        <v>1193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1519.6</v>
      </c>
      <c r="G23" s="400"/>
      <c r="H23" s="152">
        <v>1505.9999999999998</v>
      </c>
      <c r="I23" s="400"/>
      <c r="J23" s="20">
        <v>1490.8999999999999</v>
      </c>
      <c r="K23" s="400"/>
      <c r="L23" s="20">
        <v>1363.2</v>
      </c>
      <c r="M23" s="400"/>
      <c r="N23" s="20">
        <v>1498.2999999999997</v>
      </c>
      <c r="O23" s="400"/>
    </row>
    <row r="24" spans="2:15" ht="16">
      <c r="B24" s="409"/>
      <c r="C24" s="403" t="s">
        <v>37</v>
      </c>
      <c r="D24" s="404"/>
      <c r="E24" s="405"/>
      <c r="F24" s="153">
        <v>1263.3999999999999</v>
      </c>
      <c r="G24" s="401"/>
      <c r="H24" s="153">
        <v>1307.3999999999999</v>
      </c>
      <c r="I24" s="401"/>
      <c r="J24" s="21">
        <v>1196.5999999999999</v>
      </c>
      <c r="K24" s="401"/>
      <c r="L24" s="21">
        <v>1203.8999999999999</v>
      </c>
      <c r="M24" s="401"/>
      <c r="N24" s="21">
        <v>1193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256.20000000000005</v>
      </c>
      <c r="G25" s="402"/>
      <c r="H25" s="154">
        <v>198.59999999999991</v>
      </c>
      <c r="I25" s="402"/>
      <c r="J25" s="67">
        <v>294.29999999999995</v>
      </c>
      <c r="K25" s="402"/>
      <c r="L25" s="67">
        <v>159.30000000000018</v>
      </c>
      <c r="M25" s="402"/>
      <c r="N25" s="67">
        <v>305.29999999999973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日別の需給状況・再エネ出力抑制の必要性（2023年11月）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C225-3E34-498D-B0E7-CC3E12BE61F6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45237</v>
      </c>
      <c r="G3" s="26" t="s">
        <v>49</v>
      </c>
      <c r="H3" s="25">
        <v>45238</v>
      </c>
      <c r="I3" s="26" t="s">
        <v>49</v>
      </c>
      <c r="J3" s="25">
        <v>45241</v>
      </c>
      <c r="K3" s="26" t="s">
        <v>49</v>
      </c>
      <c r="L3" s="25">
        <v>45249</v>
      </c>
      <c r="M3" s="26" t="s">
        <v>50</v>
      </c>
      <c r="N3" s="25">
        <v>45250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96.2</v>
      </c>
      <c r="G5" s="384" t="s">
        <v>45</v>
      </c>
      <c r="H5" s="9">
        <v>96.2</v>
      </c>
      <c r="I5" s="384" t="s">
        <v>45</v>
      </c>
      <c r="J5" s="9">
        <v>94</v>
      </c>
      <c r="K5" s="384" t="s">
        <v>45</v>
      </c>
      <c r="L5" s="9">
        <v>103</v>
      </c>
      <c r="M5" s="384" t="s">
        <v>45</v>
      </c>
      <c r="N5" s="9">
        <v>113.6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83.8</v>
      </c>
      <c r="G6" s="385"/>
      <c r="H6" s="10">
        <v>78.400000000000006</v>
      </c>
      <c r="I6" s="385"/>
      <c r="J6" s="10">
        <v>73.900000000000006</v>
      </c>
      <c r="K6" s="385"/>
      <c r="L6" s="10">
        <v>82.4</v>
      </c>
      <c r="M6" s="385"/>
      <c r="N6" s="10">
        <v>80.599999999999994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412.7</v>
      </c>
      <c r="G7" s="385"/>
      <c r="H7" s="28">
        <v>412.8</v>
      </c>
      <c r="I7" s="385"/>
      <c r="J7" s="28">
        <v>297</v>
      </c>
      <c r="K7" s="385"/>
      <c r="L7" s="28">
        <v>297.60000000000002</v>
      </c>
      <c r="M7" s="385"/>
      <c r="N7" s="28">
        <v>293.7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9.2999999999996366</v>
      </c>
      <c r="G8" s="385"/>
      <c r="H8" s="29">
        <v>15.799999999999722</v>
      </c>
      <c r="I8" s="385"/>
      <c r="J8" s="29">
        <v>17.500000000000092</v>
      </c>
      <c r="K8" s="385"/>
      <c r="L8" s="29">
        <v>18.499999999999993</v>
      </c>
      <c r="M8" s="385"/>
      <c r="N8" s="29">
        <v>18.199999999999715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14.2</v>
      </c>
      <c r="G9" s="385"/>
      <c r="H9" s="30">
        <v>13.9</v>
      </c>
      <c r="I9" s="385"/>
      <c r="J9" s="30">
        <v>14.2</v>
      </c>
      <c r="K9" s="385"/>
      <c r="L9" s="30">
        <v>14.2</v>
      </c>
      <c r="M9" s="385"/>
      <c r="N9" s="30">
        <v>14.4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24.2</v>
      </c>
      <c r="G10" s="385"/>
      <c r="H10" s="11">
        <v>28.3</v>
      </c>
      <c r="I10" s="385"/>
      <c r="J10" s="11">
        <v>22.4</v>
      </c>
      <c r="K10" s="385"/>
      <c r="L10" s="11">
        <v>29.1</v>
      </c>
      <c r="M10" s="385"/>
      <c r="N10" s="11">
        <v>29.1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22.5</v>
      </c>
      <c r="G11" s="385"/>
      <c r="H11" s="12">
        <v>22.6</v>
      </c>
      <c r="I11" s="385"/>
      <c r="J11" s="12">
        <v>22.6</v>
      </c>
      <c r="K11" s="385"/>
      <c r="L11" s="12">
        <v>21.8</v>
      </c>
      <c r="M11" s="385"/>
      <c r="N11" s="12">
        <v>21.6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771.3</v>
      </c>
      <c r="G12" s="385"/>
      <c r="H12" s="13">
        <v>732.2</v>
      </c>
      <c r="I12" s="385"/>
      <c r="J12" s="13">
        <v>457.7</v>
      </c>
      <c r="K12" s="385"/>
      <c r="L12" s="13">
        <v>545.9</v>
      </c>
      <c r="M12" s="385"/>
      <c r="N12" s="13">
        <v>770.6</v>
      </c>
      <c r="O12" s="385"/>
    </row>
    <row r="13" spans="2:15" ht="16">
      <c r="B13" s="376"/>
      <c r="C13" s="379"/>
      <c r="D13" s="388"/>
      <c r="E13" s="45" t="s">
        <v>27</v>
      </c>
      <c r="F13" s="13">
        <v>18.2</v>
      </c>
      <c r="G13" s="385"/>
      <c r="H13" s="13">
        <v>1.3</v>
      </c>
      <c r="I13" s="385"/>
      <c r="J13" s="13">
        <v>8.9</v>
      </c>
      <c r="K13" s="385"/>
      <c r="L13" s="13">
        <v>15.6</v>
      </c>
      <c r="M13" s="385"/>
      <c r="N13" s="13">
        <v>10.9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73.7</v>
      </c>
      <c r="G14" s="385"/>
      <c r="H14" s="14">
        <v>144.80000000000001</v>
      </c>
      <c r="I14" s="385"/>
      <c r="J14" s="14">
        <v>185</v>
      </c>
      <c r="K14" s="385"/>
      <c r="L14" s="14">
        <v>194</v>
      </c>
      <c r="M14" s="385"/>
      <c r="N14" s="14">
        <v>49.4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1526.1</v>
      </c>
      <c r="G15" s="385"/>
      <c r="H15" s="15">
        <v>1546.2999999999997</v>
      </c>
      <c r="I15" s="385"/>
      <c r="J15" s="15">
        <v>1193.2000000000003</v>
      </c>
      <c r="K15" s="385"/>
      <c r="L15" s="15">
        <v>1322.1</v>
      </c>
      <c r="M15" s="385"/>
      <c r="N15" s="15">
        <v>1402.1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875.5</v>
      </c>
      <c r="G16" s="385"/>
      <c r="H16" s="8">
        <v>873.5</v>
      </c>
      <c r="I16" s="385"/>
      <c r="J16" s="8">
        <v>765</v>
      </c>
      <c r="K16" s="385"/>
      <c r="L16" s="8">
        <v>778.9</v>
      </c>
      <c r="M16" s="385"/>
      <c r="N16" s="8">
        <v>892.2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-91.1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-2.5</v>
      </c>
      <c r="G18" s="385"/>
      <c r="H18" s="17">
        <v>-2.5</v>
      </c>
      <c r="I18" s="385"/>
      <c r="J18" s="17">
        <v>-2.5</v>
      </c>
      <c r="K18" s="385"/>
      <c r="L18" s="17">
        <v>-2.5</v>
      </c>
      <c r="M18" s="385"/>
      <c r="N18" s="17">
        <v>-2.5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-204.5</v>
      </c>
      <c r="G19" s="385"/>
      <c r="H19" s="18">
        <v>-200.6</v>
      </c>
      <c r="I19" s="385"/>
      <c r="J19" s="18">
        <v>-194</v>
      </c>
      <c r="K19" s="385"/>
      <c r="L19" s="18">
        <v>-197.2</v>
      </c>
      <c r="M19" s="385"/>
      <c r="N19" s="18">
        <v>-206.1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-7.8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1309.5999999999999</v>
      </c>
      <c r="G21" s="386"/>
      <c r="H21" s="27">
        <v>1303.6999999999998</v>
      </c>
      <c r="I21" s="386"/>
      <c r="J21" s="27">
        <v>1188.5999999999999</v>
      </c>
      <c r="K21" s="386"/>
      <c r="L21" s="27">
        <v>1213.5</v>
      </c>
      <c r="M21" s="386"/>
      <c r="N21" s="27">
        <v>1191.9000000000001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1526.1</v>
      </c>
      <c r="G23" s="400"/>
      <c r="H23" s="20">
        <v>1546.2999999999997</v>
      </c>
      <c r="I23" s="400"/>
      <c r="J23" s="20">
        <v>1193.2000000000003</v>
      </c>
      <c r="K23" s="400"/>
      <c r="L23" s="20">
        <v>1322.1</v>
      </c>
      <c r="M23" s="400"/>
      <c r="N23" s="20">
        <v>1402.1</v>
      </c>
      <c r="O23" s="400"/>
    </row>
    <row r="24" spans="2:15" ht="16">
      <c r="B24" s="409"/>
      <c r="C24" s="403" t="s">
        <v>37</v>
      </c>
      <c r="D24" s="404"/>
      <c r="E24" s="405"/>
      <c r="F24" s="21">
        <v>1309.5999999999999</v>
      </c>
      <c r="G24" s="401"/>
      <c r="H24" s="21">
        <v>1303.6999999999998</v>
      </c>
      <c r="I24" s="401"/>
      <c r="J24" s="21">
        <v>1188.5999999999999</v>
      </c>
      <c r="K24" s="401"/>
      <c r="L24" s="21">
        <v>1213.5</v>
      </c>
      <c r="M24" s="401"/>
      <c r="N24" s="21">
        <v>1191.9000000000001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216.5</v>
      </c>
      <c r="G25" s="402"/>
      <c r="H25" s="67">
        <v>242.59999999999991</v>
      </c>
      <c r="I25" s="402"/>
      <c r="J25" s="67">
        <v>4.6000000000003638</v>
      </c>
      <c r="K25" s="402"/>
      <c r="L25" s="67">
        <v>108.59999999999991</v>
      </c>
      <c r="M25" s="402"/>
      <c r="N25" s="67">
        <v>210.19999999999982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日別の需給状況・再エネ出力抑制の必要性（2023年11月）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61A4-1C16-420A-AEA7-9CC852185E64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45251</v>
      </c>
      <c r="G3" s="26" t="s">
        <v>49</v>
      </c>
      <c r="H3" s="25">
        <v>45252</v>
      </c>
      <c r="I3" s="26" t="s">
        <v>49</v>
      </c>
      <c r="J3" s="25">
        <v>45253</v>
      </c>
      <c r="K3" s="26" t="s">
        <v>50</v>
      </c>
      <c r="L3" s="25">
        <v>45255</v>
      </c>
      <c r="M3" s="26" t="s">
        <v>49</v>
      </c>
      <c r="N3" s="25">
        <v>45256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113.6</v>
      </c>
      <c r="G5" s="384" t="s">
        <v>45</v>
      </c>
      <c r="H5" s="9">
        <v>105.1</v>
      </c>
      <c r="I5" s="384" t="s">
        <v>45</v>
      </c>
      <c r="J5" s="9">
        <v>112.5</v>
      </c>
      <c r="K5" s="384" t="s">
        <v>45</v>
      </c>
      <c r="L5" s="9">
        <v>114.4</v>
      </c>
      <c r="M5" s="384" t="s">
        <v>45</v>
      </c>
      <c r="N5" s="9">
        <v>111.7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89.1</v>
      </c>
      <c r="G6" s="385"/>
      <c r="H6" s="10">
        <v>112.2</v>
      </c>
      <c r="I6" s="385"/>
      <c r="J6" s="10">
        <v>76.900000000000006</v>
      </c>
      <c r="K6" s="385"/>
      <c r="L6" s="10">
        <v>80.400000000000006</v>
      </c>
      <c r="M6" s="385"/>
      <c r="N6" s="10">
        <v>75.5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297.7</v>
      </c>
      <c r="G7" s="385"/>
      <c r="H7" s="28">
        <v>297.8</v>
      </c>
      <c r="I7" s="385"/>
      <c r="J7" s="28">
        <v>297.60000000000002</v>
      </c>
      <c r="K7" s="385"/>
      <c r="L7" s="28">
        <v>297.7</v>
      </c>
      <c r="M7" s="385"/>
      <c r="N7" s="28">
        <v>297.60000000000002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18.69999999999991</v>
      </c>
      <c r="G8" s="385"/>
      <c r="H8" s="29">
        <v>16.8</v>
      </c>
      <c r="I8" s="385"/>
      <c r="J8" s="29">
        <v>16.000000000000007</v>
      </c>
      <c r="K8" s="385"/>
      <c r="L8" s="29">
        <v>15.100000000000005</v>
      </c>
      <c r="M8" s="385"/>
      <c r="N8" s="29">
        <v>15.399999999999949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13.7</v>
      </c>
      <c r="G9" s="385"/>
      <c r="H9" s="30">
        <v>14.4</v>
      </c>
      <c r="I9" s="385"/>
      <c r="J9" s="30">
        <v>14.4</v>
      </c>
      <c r="K9" s="385"/>
      <c r="L9" s="30">
        <v>14.4</v>
      </c>
      <c r="M9" s="385"/>
      <c r="N9" s="30">
        <v>14.4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28.4</v>
      </c>
      <c r="G10" s="385"/>
      <c r="H10" s="11">
        <v>28.4</v>
      </c>
      <c r="I10" s="385"/>
      <c r="J10" s="11">
        <v>28.4</v>
      </c>
      <c r="K10" s="385"/>
      <c r="L10" s="11">
        <v>30.5</v>
      </c>
      <c r="M10" s="385"/>
      <c r="N10" s="11">
        <v>32.9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21.8</v>
      </c>
      <c r="G11" s="385"/>
      <c r="H11" s="12">
        <v>20.100000000000001</v>
      </c>
      <c r="I11" s="385"/>
      <c r="J11" s="12">
        <v>20</v>
      </c>
      <c r="K11" s="385"/>
      <c r="L11" s="12">
        <v>21.8</v>
      </c>
      <c r="M11" s="385"/>
      <c r="N11" s="12">
        <v>21.1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773</v>
      </c>
      <c r="G12" s="385"/>
      <c r="H12" s="13">
        <v>758.2</v>
      </c>
      <c r="I12" s="385"/>
      <c r="J12" s="13">
        <v>559.6</v>
      </c>
      <c r="K12" s="385"/>
      <c r="L12" s="13">
        <v>712.9</v>
      </c>
      <c r="M12" s="385"/>
      <c r="N12" s="13">
        <v>695.5</v>
      </c>
      <c r="O12" s="385"/>
    </row>
    <row r="13" spans="2:15" ht="16">
      <c r="B13" s="376"/>
      <c r="C13" s="379"/>
      <c r="D13" s="388"/>
      <c r="E13" s="45" t="s">
        <v>27</v>
      </c>
      <c r="F13" s="13">
        <v>0</v>
      </c>
      <c r="G13" s="385"/>
      <c r="H13" s="13">
        <v>1.3</v>
      </c>
      <c r="I13" s="385"/>
      <c r="J13" s="13">
        <v>12.3</v>
      </c>
      <c r="K13" s="385"/>
      <c r="L13" s="13">
        <v>7.4</v>
      </c>
      <c r="M13" s="385"/>
      <c r="N13" s="13">
        <v>0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47</v>
      </c>
      <c r="G14" s="385"/>
      <c r="H14" s="14">
        <v>61.8</v>
      </c>
      <c r="I14" s="385"/>
      <c r="J14" s="14">
        <v>194</v>
      </c>
      <c r="K14" s="385"/>
      <c r="L14" s="14">
        <v>171.1</v>
      </c>
      <c r="M14" s="385"/>
      <c r="N14" s="14">
        <v>188.5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1403</v>
      </c>
      <c r="G15" s="385"/>
      <c r="H15" s="15">
        <v>1416.1</v>
      </c>
      <c r="I15" s="385"/>
      <c r="J15" s="15">
        <v>1331.7</v>
      </c>
      <c r="K15" s="385"/>
      <c r="L15" s="15">
        <v>1465.6999999999998</v>
      </c>
      <c r="M15" s="385"/>
      <c r="N15" s="15">
        <v>1452.6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887.8</v>
      </c>
      <c r="G16" s="385"/>
      <c r="H16" s="8">
        <v>887.4</v>
      </c>
      <c r="I16" s="385"/>
      <c r="J16" s="8">
        <v>835</v>
      </c>
      <c r="K16" s="385"/>
      <c r="L16" s="8">
        <v>931.5</v>
      </c>
      <c r="M16" s="385"/>
      <c r="N16" s="8">
        <v>795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-91.1</v>
      </c>
      <c r="G17" s="385"/>
      <c r="H17" s="16">
        <v>-91.1</v>
      </c>
      <c r="I17" s="385"/>
      <c r="J17" s="16">
        <v>-91.1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-2.5</v>
      </c>
      <c r="G18" s="385"/>
      <c r="H18" s="17">
        <v>-2.5</v>
      </c>
      <c r="I18" s="385"/>
      <c r="J18" s="17">
        <v>-2.5</v>
      </c>
      <c r="K18" s="385"/>
      <c r="L18" s="17">
        <v>-2.5</v>
      </c>
      <c r="M18" s="385"/>
      <c r="N18" s="17">
        <v>-2.5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-206.1</v>
      </c>
      <c r="G19" s="385"/>
      <c r="H19" s="18">
        <v>-206.1</v>
      </c>
      <c r="I19" s="385"/>
      <c r="J19" s="18">
        <v>-196.7</v>
      </c>
      <c r="K19" s="385"/>
      <c r="L19" s="18">
        <v>-197.7</v>
      </c>
      <c r="M19" s="385"/>
      <c r="N19" s="18">
        <v>-197.4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1187.5</v>
      </c>
      <c r="G21" s="386"/>
      <c r="H21" s="27">
        <v>1187.0999999999999</v>
      </c>
      <c r="I21" s="386"/>
      <c r="J21" s="27">
        <v>1125.3</v>
      </c>
      <c r="K21" s="386"/>
      <c r="L21" s="27">
        <v>1358.8</v>
      </c>
      <c r="M21" s="386"/>
      <c r="N21" s="27">
        <v>1222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1403</v>
      </c>
      <c r="G23" s="400"/>
      <c r="H23" s="20">
        <v>1416.1</v>
      </c>
      <c r="I23" s="400"/>
      <c r="J23" s="20">
        <v>1331.7</v>
      </c>
      <c r="K23" s="400"/>
      <c r="L23" s="20">
        <v>1465.6999999999998</v>
      </c>
      <c r="M23" s="400"/>
      <c r="N23" s="20">
        <v>1452.6</v>
      </c>
      <c r="O23" s="400"/>
    </row>
    <row r="24" spans="2:15" ht="16">
      <c r="B24" s="409"/>
      <c r="C24" s="403" t="s">
        <v>37</v>
      </c>
      <c r="D24" s="404"/>
      <c r="E24" s="405"/>
      <c r="F24" s="21">
        <v>1187.5</v>
      </c>
      <c r="G24" s="401"/>
      <c r="H24" s="21">
        <v>1187.0999999999999</v>
      </c>
      <c r="I24" s="401"/>
      <c r="J24" s="21">
        <v>1125.3</v>
      </c>
      <c r="K24" s="401"/>
      <c r="L24" s="21">
        <v>1358.8</v>
      </c>
      <c r="M24" s="401"/>
      <c r="N24" s="21">
        <v>1222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215.5</v>
      </c>
      <c r="G25" s="402"/>
      <c r="H25" s="67">
        <v>229</v>
      </c>
      <c r="I25" s="402"/>
      <c r="J25" s="67">
        <v>206.40000000000009</v>
      </c>
      <c r="K25" s="402"/>
      <c r="L25" s="67">
        <v>106.89999999999986</v>
      </c>
      <c r="M25" s="402"/>
      <c r="N25" s="67">
        <v>230.59999999999991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日別の需給状況・再エネ出力抑制の必要性（2023年11月）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7B9F-D28A-43F6-BB96-786491E996BB}">
  <sheetPr>
    <pageSetUpPr fitToPage="1"/>
  </sheetPr>
  <dimension ref="A1:Z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6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6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6" ht="17" thickTop="1" thickBot="1">
      <c r="C3" s="435" t="s">
        <v>142</v>
      </c>
      <c r="D3" s="436"/>
      <c r="E3" s="437"/>
      <c r="F3" s="417">
        <v>45231</v>
      </c>
      <c r="G3" s="418"/>
      <c r="H3" s="418"/>
      <c r="I3" s="419"/>
      <c r="J3" s="417">
        <v>45232</v>
      </c>
      <c r="K3" s="418"/>
      <c r="L3" s="418"/>
      <c r="M3" s="419"/>
      <c r="N3" s="417">
        <v>45233</v>
      </c>
      <c r="O3" s="418"/>
      <c r="P3" s="418"/>
      <c r="Q3" s="419"/>
      <c r="R3" s="417">
        <v>45234</v>
      </c>
      <c r="S3" s="418"/>
      <c r="T3" s="418"/>
      <c r="U3" s="419"/>
      <c r="V3" s="417">
        <v>45235</v>
      </c>
      <c r="W3" s="418"/>
      <c r="X3" s="418"/>
      <c r="Y3" s="420"/>
    </row>
    <row r="4" spans="3:26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6" ht="16">
      <c r="C5" s="422"/>
      <c r="D5" s="425" t="s">
        <v>138</v>
      </c>
      <c r="E5" s="211" t="s">
        <v>137</v>
      </c>
      <c r="F5" s="166">
        <v>32.700000000000003</v>
      </c>
      <c r="G5" s="165">
        <v>42.4</v>
      </c>
      <c r="H5" s="164">
        <f>G5-F5</f>
        <v>9.6999999999999957</v>
      </c>
      <c r="I5" s="219" t="s">
        <v>151</v>
      </c>
      <c r="J5" s="166">
        <v>32.700000000000003</v>
      </c>
      <c r="K5" s="165">
        <v>42.4</v>
      </c>
      <c r="L5" s="164">
        <f>K5-J5</f>
        <v>9.6999999999999957</v>
      </c>
      <c r="M5" s="219" t="s">
        <v>151</v>
      </c>
      <c r="N5" s="166">
        <v>12.4</v>
      </c>
      <c r="O5" s="165">
        <v>12.4</v>
      </c>
      <c r="P5" s="164">
        <f>O5-N5</f>
        <v>0</v>
      </c>
      <c r="Q5" s="219"/>
      <c r="R5" s="166">
        <v>12.4</v>
      </c>
      <c r="S5" s="165">
        <v>12.4</v>
      </c>
      <c r="T5" s="164">
        <f>S5-R5</f>
        <v>0</v>
      </c>
      <c r="U5" s="219"/>
      <c r="V5" s="166">
        <v>12.4</v>
      </c>
      <c r="W5" s="165">
        <v>12.4</v>
      </c>
      <c r="X5" s="164">
        <f>W5-V5</f>
        <v>0</v>
      </c>
      <c r="Y5" s="263"/>
    </row>
    <row r="6" spans="3:26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ref="H6:H8" si="0">G6-F6</f>
        <v>0</v>
      </c>
      <c r="I6" s="219"/>
      <c r="J6" s="166">
        <v>8.8000000000000007</v>
      </c>
      <c r="K6" s="165">
        <v>8.8000000000000007</v>
      </c>
      <c r="L6" s="164">
        <f t="shared" ref="L6:L8" si="1">K6-J6</f>
        <v>0</v>
      </c>
      <c r="M6" s="219"/>
      <c r="N6" s="166">
        <v>8.8000000000000007</v>
      </c>
      <c r="O6" s="165">
        <v>8.8000000000000007</v>
      </c>
      <c r="P6" s="164">
        <f t="shared" ref="P6:P8" si="2">O6-N6</f>
        <v>0</v>
      </c>
      <c r="Q6" s="219"/>
      <c r="R6" s="166">
        <v>8.8000000000000007</v>
      </c>
      <c r="S6" s="165">
        <v>8.8000000000000007</v>
      </c>
      <c r="T6" s="164">
        <f t="shared" ref="T6:T8" si="3">S6-R6</f>
        <v>0</v>
      </c>
      <c r="U6" s="219"/>
      <c r="V6" s="166">
        <v>8.8000000000000007</v>
      </c>
      <c r="W6" s="165">
        <v>8.8000000000000007</v>
      </c>
      <c r="X6" s="164">
        <f t="shared" ref="X6:X8" si="4">W6-V6</f>
        <v>0</v>
      </c>
      <c r="Y6" s="263"/>
    </row>
    <row r="7" spans="3:26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si="2"/>
        <v>0</v>
      </c>
      <c r="Q7" s="219"/>
      <c r="R7" s="166">
        <v>0</v>
      </c>
      <c r="S7" s="165">
        <v>0</v>
      </c>
      <c r="T7" s="164">
        <f t="shared" si="3"/>
        <v>0</v>
      </c>
      <c r="U7" s="219"/>
      <c r="V7" s="166">
        <v>0</v>
      </c>
      <c r="W7" s="165">
        <v>0</v>
      </c>
      <c r="X7" s="164">
        <f t="shared" si="4"/>
        <v>0</v>
      </c>
      <c r="Y7" s="263"/>
    </row>
    <row r="8" spans="3:26" ht="16">
      <c r="C8" s="423"/>
      <c r="D8" s="426"/>
      <c r="E8" s="218" t="s">
        <v>133</v>
      </c>
      <c r="F8" s="166">
        <v>55.1</v>
      </c>
      <c r="G8" s="216">
        <v>55.300000000000004</v>
      </c>
      <c r="H8" s="215">
        <f t="shared" si="0"/>
        <v>0.20000000000000284</v>
      </c>
      <c r="I8" s="214" t="s">
        <v>145</v>
      </c>
      <c r="J8" s="217">
        <v>55.300000000000004</v>
      </c>
      <c r="K8" s="216">
        <v>55.500000000000007</v>
      </c>
      <c r="L8" s="215">
        <f t="shared" si="1"/>
        <v>0.20000000000000284</v>
      </c>
      <c r="M8" s="214" t="s">
        <v>145</v>
      </c>
      <c r="N8" s="217">
        <v>53</v>
      </c>
      <c r="O8" s="216">
        <v>53.599999999999994</v>
      </c>
      <c r="P8" s="215">
        <f t="shared" si="2"/>
        <v>0.59999999999999432</v>
      </c>
      <c r="Q8" s="214" t="s">
        <v>145</v>
      </c>
      <c r="R8" s="217">
        <v>53.2</v>
      </c>
      <c r="S8" s="216">
        <v>53.2</v>
      </c>
      <c r="T8" s="215">
        <f t="shared" si="3"/>
        <v>0</v>
      </c>
      <c r="U8" s="214"/>
      <c r="V8" s="217">
        <v>52.900000000000006</v>
      </c>
      <c r="W8" s="216">
        <v>52.900000000000006</v>
      </c>
      <c r="X8" s="215">
        <f t="shared" si="4"/>
        <v>0</v>
      </c>
      <c r="Y8" s="264"/>
    </row>
    <row r="9" spans="3:26" ht="16.5" thickBot="1">
      <c r="C9" s="424"/>
      <c r="D9" s="427" t="s">
        <v>101</v>
      </c>
      <c r="E9" s="428"/>
      <c r="F9" s="188">
        <f>SUM(F5:F8)</f>
        <v>96.6</v>
      </c>
      <c r="G9" s="187">
        <f>SUM(G5:G8)</f>
        <v>106.5</v>
      </c>
      <c r="H9" s="187">
        <f>SUM(H5:H8)</f>
        <v>9.8999999999999986</v>
      </c>
      <c r="I9" s="213" t="s">
        <v>81</v>
      </c>
      <c r="J9" s="188">
        <f>SUM(J5:J8)</f>
        <v>96.800000000000011</v>
      </c>
      <c r="K9" s="187">
        <f>SUM(K5:K8)</f>
        <v>106.70000000000002</v>
      </c>
      <c r="L9" s="187">
        <f>SUM(L5:L8)</f>
        <v>9.8999999999999986</v>
      </c>
      <c r="M9" s="213" t="s">
        <v>81</v>
      </c>
      <c r="N9" s="188">
        <f>SUM(N5:N8)</f>
        <v>74.2</v>
      </c>
      <c r="O9" s="187">
        <f>SUM(O5:O8)</f>
        <v>74.8</v>
      </c>
      <c r="P9" s="187">
        <f>SUM(P5:P8)</f>
        <v>0.59999999999999432</v>
      </c>
      <c r="Q9" s="213" t="s">
        <v>81</v>
      </c>
      <c r="R9" s="188">
        <f>SUM(R5:R8)</f>
        <v>74.400000000000006</v>
      </c>
      <c r="S9" s="187">
        <f>SUM(S5:S8)</f>
        <v>74.400000000000006</v>
      </c>
      <c r="T9" s="187">
        <f>SUM(T5:T8)</f>
        <v>0</v>
      </c>
      <c r="U9" s="213" t="s">
        <v>81</v>
      </c>
      <c r="V9" s="188">
        <f>SUM(V5:V8)</f>
        <v>74.100000000000009</v>
      </c>
      <c r="W9" s="187">
        <f>SUM(W5:W8)</f>
        <v>74.100000000000009</v>
      </c>
      <c r="X9" s="187">
        <f>SUM(X5:X8)</f>
        <v>0</v>
      </c>
      <c r="Y9" s="265" t="s">
        <v>81</v>
      </c>
    </row>
    <row r="10" spans="3:26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6" ht="16.5" thickBot="1">
      <c r="C11" s="429" t="s">
        <v>132</v>
      </c>
      <c r="D11" s="430"/>
      <c r="E11" s="431"/>
      <c r="F11" s="432">
        <v>45231</v>
      </c>
      <c r="G11" s="433"/>
      <c r="H11" s="433"/>
      <c r="I11" s="434"/>
      <c r="J11" s="432">
        <v>45232</v>
      </c>
      <c r="K11" s="433"/>
      <c r="L11" s="433"/>
      <c r="M11" s="434"/>
      <c r="N11" s="432">
        <v>45233</v>
      </c>
      <c r="O11" s="433"/>
      <c r="P11" s="433"/>
      <c r="Q11" s="434"/>
      <c r="R11" s="432">
        <v>45234</v>
      </c>
      <c r="S11" s="433"/>
      <c r="T11" s="433"/>
      <c r="U11" s="434"/>
      <c r="V11" s="432">
        <v>45235</v>
      </c>
      <c r="W11" s="433"/>
      <c r="X11" s="433"/>
      <c r="Y11" s="438"/>
    </row>
    <row r="12" spans="3:26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6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189" t="s">
        <v>149</v>
      </c>
      <c r="J13" s="166">
        <v>-26.1</v>
      </c>
      <c r="K13" s="165">
        <v>0</v>
      </c>
      <c r="L13" s="164">
        <v>26.1</v>
      </c>
      <c r="M13" s="189" t="s">
        <v>149</v>
      </c>
      <c r="N13" s="166">
        <v>-26.1</v>
      </c>
      <c r="O13" s="165">
        <v>0</v>
      </c>
      <c r="P13" s="164">
        <v>26.1</v>
      </c>
      <c r="Q13" s="189" t="s">
        <v>149</v>
      </c>
      <c r="R13" s="166">
        <v>-26.1</v>
      </c>
      <c r="S13" s="165">
        <v>0</v>
      </c>
      <c r="T13" s="164">
        <v>26.1</v>
      </c>
      <c r="U13" s="189" t="s">
        <v>149</v>
      </c>
      <c r="V13" s="166">
        <v>-26.1</v>
      </c>
      <c r="W13" s="165">
        <v>0</v>
      </c>
      <c r="X13" s="164">
        <v>26.1</v>
      </c>
      <c r="Y13" s="303" t="s">
        <v>149</v>
      </c>
      <c r="Z13" s="261"/>
    </row>
    <row r="14" spans="3:26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86"/>
    </row>
    <row r="15" spans="3:26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6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212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-34</v>
      </c>
      <c r="L19" s="164">
        <v>0</v>
      </c>
      <c r="M19" s="212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189" t="s">
        <v>149</v>
      </c>
      <c r="J20" s="166">
        <v>-34</v>
      </c>
      <c r="K20" s="165">
        <v>0</v>
      </c>
      <c r="L20" s="164">
        <v>34</v>
      </c>
      <c r="M20" s="189" t="s">
        <v>149</v>
      </c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 t="shared" ref="G21:H21" si="5">SUM(G13:G20)</f>
        <v>-159.1</v>
      </c>
      <c r="H21" s="187">
        <f t="shared" si="5"/>
        <v>94.1</v>
      </c>
      <c r="I21" s="186" t="s">
        <v>81</v>
      </c>
      <c r="J21" s="188">
        <f t="shared" ref="J21:L21" si="6">SUM(J13:J20)</f>
        <v>-253.2</v>
      </c>
      <c r="K21" s="187">
        <f t="shared" si="6"/>
        <v>-193.1</v>
      </c>
      <c r="L21" s="187">
        <f t="shared" si="6"/>
        <v>60.1</v>
      </c>
      <c r="M21" s="186" t="s">
        <v>81</v>
      </c>
      <c r="N21" s="188">
        <f t="shared" ref="N21:P21" si="7">SUM(N13:N20)</f>
        <v>-253.2</v>
      </c>
      <c r="O21" s="187">
        <f t="shared" si="7"/>
        <v>-227.1</v>
      </c>
      <c r="P21" s="187">
        <f t="shared" si="7"/>
        <v>26.1</v>
      </c>
      <c r="Q21" s="186" t="s">
        <v>81</v>
      </c>
      <c r="R21" s="188">
        <f t="shared" ref="R21:T21" si="8">SUM(R13:R20)</f>
        <v>-253.2</v>
      </c>
      <c r="S21" s="187">
        <f t="shared" si="8"/>
        <v>-227.1</v>
      </c>
      <c r="T21" s="187">
        <f t="shared" si="8"/>
        <v>26.1</v>
      </c>
      <c r="U21" s="186" t="s">
        <v>81</v>
      </c>
      <c r="V21" s="188">
        <f t="shared" ref="V21:X21" si="9">SUM(V13:V20)</f>
        <v>-253.2</v>
      </c>
      <c r="W21" s="187">
        <f t="shared" si="9"/>
        <v>-227.1</v>
      </c>
      <c r="X21" s="187">
        <f t="shared" si="9"/>
        <v>26.1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45231</v>
      </c>
      <c r="G23" s="433"/>
      <c r="H23" s="433"/>
      <c r="I23" s="434"/>
      <c r="J23" s="432">
        <v>45232</v>
      </c>
      <c r="K23" s="433"/>
      <c r="L23" s="433"/>
      <c r="M23" s="434"/>
      <c r="N23" s="432">
        <v>45233</v>
      </c>
      <c r="O23" s="433"/>
      <c r="P23" s="433"/>
      <c r="Q23" s="434"/>
      <c r="R23" s="432">
        <v>45234</v>
      </c>
      <c r="S23" s="433"/>
      <c r="T23" s="433"/>
      <c r="U23" s="434"/>
      <c r="V23" s="432">
        <v>45235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-4.84</v>
      </c>
      <c r="H25" s="207">
        <v>0.16000000000000014</v>
      </c>
      <c r="I25" s="206" t="s">
        <v>150</v>
      </c>
      <c r="J25" s="209">
        <v>-5</v>
      </c>
      <c r="K25" s="208">
        <v>-4.84</v>
      </c>
      <c r="L25" s="207">
        <v>0.16000000000000014</v>
      </c>
      <c r="M25" s="206" t="s">
        <v>150</v>
      </c>
      <c r="N25" s="209">
        <v>-5</v>
      </c>
      <c r="O25" s="208">
        <v>-4.84</v>
      </c>
      <c r="P25" s="207">
        <v>0.16000000000000014</v>
      </c>
      <c r="Q25" s="206" t="s">
        <v>150</v>
      </c>
      <c r="R25" s="209">
        <v>-5</v>
      </c>
      <c r="S25" s="208">
        <v>-4.84</v>
      </c>
      <c r="T25" s="207">
        <v>0.16000000000000014</v>
      </c>
      <c r="U25" s="206" t="s">
        <v>150</v>
      </c>
      <c r="V25" s="209">
        <v>-5</v>
      </c>
      <c r="W25" s="208">
        <v>-4.84</v>
      </c>
      <c r="X25" s="207">
        <v>0.16000000000000014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45231</v>
      </c>
      <c r="G27" s="433"/>
      <c r="H27" s="433"/>
      <c r="I27" s="434"/>
      <c r="J27" s="432">
        <v>45232</v>
      </c>
      <c r="K27" s="433"/>
      <c r="L27" s="433"/>
      <c r="M27" s="434"/>
      <c r="N27" s="432">
        <v>45233</v>
      </c>
      <c r="O27" s="433"/>
      <c r="P27" s="433"/>
      <c r="Q27" s="434"/>
      <c r="R27" s="432">
        <v>45234</v>
      </c>
      <c r="S27" s="433"/>
      <c r="T27" s="433"/>
      <c r="U27" s="434"/>
      <c r="V27" s="432">
        <v>45235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21.9</v>
      </c>
      <c r="T29" s="457">
        <v>-21.9</v>
      </c>
      <c r="U29" s="459" t="s">
        <v>146</v>
      </c>
      <c r="V29" s="200">
        <v>43.8</v>
      </c>
      <c r="W29" s="455">
        <v>21.9</v>
      </c>
      <c r="X29" s="457">
        <v>-21.9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27.2</v>
      </c>
      <c r="H31" s="457">
        <v>-27.2</v>
      </c>
      <c r="I31" s="459" t="s">
        <v>150</v>
      </c>
      <c r="J31" s="200">
        <v>54.4</v>
      </c>
      <c r="K31" s="455">
        <v>27.2</v>
      </c>
      <c r="L31" s="457">
        <v>-27.2</v>
      </c>
      <c r="M31" s="459" t="s">
        <v>150</v>
      </c>
      <c r="N31" s="200">
        <v>54.4</v>
      </c>
      <c r="O31" s="455">
        <v>36.9</v>
      </c>
      <c r="P31" s="457">
        <v>-17.5</v>
      </c>
      <c r="Q31" s="459" t="s">
        <v>207</v>
      </c>
      <c r="R31" s="200">
        <v>54.4</v>
      </c>
      <c r="S31" s="455">
        <v>36.9</v>
      </c>
      <c r="T31" s="457">
        <v>-17.5</v>
      </c>
      <c r="U31" s="459" t="s">
        <v>207</v>
      </c>
      <c r="V31" s="200">
        <v>54.4</v>
      </c>
      <c r="W31" s="455">
        <v>36.9</v>
      </c>
      <c r="X31" s="457">
        <v>-17.5</v>
      </c>
      <c r="Y31" s="461" t="s">
        <v>207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31.3</v>
      </c>
      <c r="H33" s="457">
        <v>5.8000000000000007</v>
      </c>
      <c r="I33" s="459" t="s">
        <v>148</v>
      </c>
      <c r="J33" s="200">
        <v>25.5</v>
      </c>
      <c r="K33" s="199">
        <v>31.3</v>
      </c>
      <c r="L33" s="457">
        <v>5.8000000000000007</v>
      </c>
      <c r="M33" s="459" t="s">
        <v>148</v>
      </c>
      <c r="N33" s="200">
        <v>25.5</v>
      </c>
      <c r="O33" s="199">
        <v>18.100000000000001</v>
      </c>
      <c r="P33" s="457">
        <v>-7.3999999999999986</v>
      </c>
      <c r="Q33" s="459" t="s">
        <v>146</v>
      </c>
      <c r="R33" s="200">
        <v>25.5</v>
      </c>
      <c r="S33" s="199">
        <v>18.3</v>
      </c>
      <c r="T33" s="457">
        <v>-7.1999999999999993</v>
      </c>
      <c r="U33" s="459" t="s">
        <v>146</v>
      </c>
      <c r="V33" s="200">
        <v>25.5</v>
      </c>
      <c r="W33" s="199">
        <v>18.3</v>
      </c>
      <c r="X33" s="457">
        <v>-7.1999999999999993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</v>
      </c>
      <c r="G34" s="197">
        <v>0.25</v>
      </c>
      <c r="H34" s="458"/>
      <c r="I34" s="460"/>
      <c r="J34" s="198">
        <v>0.2</v>
      </c>
      <c r="K34" s="197">
        <v>0.25</v>
      </c>
      <c r="L34" s="458"/>
      <c r="M34" s="460"/>
      <c r="N34" s="198">
        <v>0.2</v>
      </c>
      <c r="O34" s="197">
        <v>0.14000000000000001</v>
      </c>
      <c r="P34" s="458"/>
      <c r="Q34" s="460"/>
      <c r="R34" s="198">
        <v>0.2</v>
      </c>
      <c r="S34" s="197">
        <v>0.14000000000000001</v>
      </c>
      <c r="T34" s="458"/>
      <c r="U34" s="460"/>
      <c r="V34" s="198">
        <v>0.2</v>
      </c>
      <c r="W34" s="197">
        <v>0.14000000000000001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147</v>
      </c>
      <c r="N37" s="166">
        <v>13</v>
      </c>
      <c r="O37" s="165">
        <v>0.6</v>
      </c>
      <c r="P37" s="164">
        <v>-12.4</v>
      </c>
      <c r="Q37" s="189" t="s">
        <v>147</v>
      </c>
      <c r="R37" s="166">
        <v>13</v>
      </c>
      <c r="S37" s="165">
        <v>0.6</v>
      </c>
      <c r="T37" s="164">
        <v>-12.4</v>
      </c>
      <c r="U37" s="189" t="s">
        <v>147</v>
      </c>
      <c r="V37" s="166">
        <v>13</v>
      </c>
      <c r="W37" s="165">
        <v>0.6</v>
      </c>
      <c r="X37" s="164">
        <v>-12.4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f>SUM(F29,F31,F33,F37)</f>
        <v>136.69999999999999</v>
      </c>
      <c r="G38" s="187">
        <f t="shared" ref="G38:H38" si="10">SUM(G29,G31,G33,G37)</f>
        <v>80.8</v>
      </c>
      <c r="H38" s="187">
        <f t="shared" si="10"/>
        <v>-55.9</v>
      </c>
      <c r="I38" s="186"/>
      <c r="J38" s="188">
        <f>SUM(J29,J31,J33,J37)</f>
        <v>136.69999999999999</v>
      </c>
      <c r="K38" s="187">
        <f t="shared" ref="K38:L38" si="11">SUM(K29,K31,K33,K37)</f>
        <v>80.8</v>
      </c>
      <c r="L38" s="187">
        <f t="shared" si="11"/>
        <v>-55.9</v>
      </c>
      <c r="M38" s="186"/>
      <c r="N38" s="188">
        <f>SUM(N29,N31,N33,N37)</f>
        <v>136.69999999999999</v>
      </c>
      <c r="O38" s="187">
        <f t="shared" ref="O38:P38" si="12">SUM(O29,O31,O33,O37)</f>
        <v>77.5</v>
      </c>
      <c r="P38" s="187">
        <f t="shared" si="12"/>
        <v>-59.199999999999996</v>
      </c>
      <c r="Q38" s="186"/>
      <c r="R38" s="188">
        <f>SUM(R29,R31,R33,R37)</f>
        <v>136.69999999999999</v>
      </c>
      <c r="S38" s="187">
        <f t="shared" ref="S38:T38" si="13">SUM(S29,S31,S33,S37)</f>
        <v>77.699999999999989</v>
      </c>
      <c r="T38" s="187">
        <f t="shared" si="13"/>
        <v>-58.999999999999993</v>
      </c>
      <c r="U38" s="186"/>
      <c r="V38" s="188">
        <f>SUM(V29,V31,V33,V37)</f>
        <v>136.69999999999999</v>
      </c>
      <c r="W38" s="187">
        <f t="shared" ref="W38:X38" si="14">SUM(W29,W31,W33,W37)</f>
        <v>77.699999999999989</v>
      </c>
      <c r="X38" s="187">
        <f t="shared" si="14"/>
        <v>-58.999999999999993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45231</v>
      </c>
      <c r="G40" s="470"/>
      <c r="H40" s="470"/>
      <c r="I40" s="471"/>
      <c r="J40" s="469">
        <v>45232</v>
      </c>
      <c r="K40" s="470"/>
      <c r="L40" s="470"/>
      <c r="M40" s="471"/>
      <c r="N40" s="469">
        <v>45233</v>
      </c>
      <c r="O40" s="470"/>
      <c r="P40" s="470"/>
      <c r="Q40" s="471"/>
      <c r="R40" s="469">
        <v>45234</v>
      </c>
      <c r="S40" s="470"/>
      <c r="T40" s="470"/>
      <c r="U40" s="471"/>
      <c r="V40" s="469">
        <v>45235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204.5</v>
      </c>
      <c r="G43" s="479"/>
      <c r="H43" s="480"/>
      <c r="I43" s="481"/>
      <c r="J43" s="183">
        <v>204.5</v>
      </c>
      <c r="K43" s="479"/>
      <c r="L43" s="480"/>
      <c r="M43" s="481"/>
      <c r="N43" s="183">
        <v>174.2</v>
      </c>
      <c r="O43" s="479"/>
      <c r="P43" s="480"/>
      <c r="Q43" s="481"/>
      <c r="R43" s="183">
        <v>174.2</v>
      </c>
      <c r="S43" s="479"/>
      <c r="T43" s="480"/>
      <c r="U43" s="481"/>
      <c r="V43" s="183">
        <v>174.2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45231</v>
      </c>
      <c r="G45" s="470"/>
      <c r="H45" s="470"/>
      <c r="I45" s="471"/>
      <c r="J45" s="469">
        <v>45232</v>
      </c>
      <c r="K45" s="470"/>
      <c r="L45" s="470"/>
      <c r="M45" s="471"/>
      <c r="N45" s="469">
        <v>45233</v>
      </c>
      <c r="O45" s="470"/>
      <c r="P45" s="470"/>
      <c r="Q45" s="471"/>
      <c r="R45" s="469">
        <v>45234</v>
      </c>
      <c r="S45" s="470"/>
      <c r="T45" s="470"/>
      <c r="U45" s="471"/>
      <c r="V45" s="469">
        <v>45235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28.5</v>
      </c>
      <c r="G47" s="478">
        <v>25.1</v>
      </c>
      <c r="H47" s="457">
        <v>-3.3999999999999986</v>
      </c>
      <c r="I47" s="459" t="s">
        <v>149</v>
      </c>
      <c r="J47" s="178">
        <v>24</v>
      </c>
      <c r="K47" s="478">
        <v>24.9</v>
      </c>
      <c r="L47" s="457">
        <v>0.89999999999999858</v>
      </c>
      <c r="M47" s="459" t="s">
        <v>149</v>
      </c>
      <c r="N47" s="178">
        <v>24</v>
      </c>
      <c r="O47" s="478">
        <v>24.9</v>
      </c>
      <c r="P47" s="457">
        <v>0.89999999999999858</v>
      </c>
      <c r="Q47" s="459" t="s">
        <v>149</v>
      </c>
      <c r="R47" s="178">
        <v>24</v>
      </c>
      <c r="S47" s="478">
        <v>24.9</v>
      </c>
      <c r="T47" s="457">
        <v>0.89999999999999858</v>
      </c>
      <c r="U47" s="459" t="s">
        <v>149</v>
      </c>
      <c r="V47" s="178">
        <v>24</v>
      </c>
      <c r="W47" s="478">
        <v>24.9</v>
      </c>
      <c r="X47" s="457">
        <v>0.89999999999999858</v>
      </c>
      <c r="Y47" s="461" t="s">
        <v>149</v>
      </c>
    </row>
    <row r="48" spans="3:25" ht="16.5" thickBot="1">
      <c r="C48" s="486"/>
      <c r="D48" s="487"/>
      <c r="E48" s="489"/>
      <c r="F48" s="177">
        <v>0.66</v>
      </c>
      <c r="G48" s="479"/>
      <c r="H48" s="480"/>
      <c r="I48" s="460"/>
      <c r="J48" s="177">
        <v>0.73</v>
      </c>
      <c r="K48" s="479"/>
      <c r="L48" s="480"/>
      <c r="M48" s="460"/>
      <c r="N48" s="177">
        <v>0.73</v>
      </c>
      <c r="O48" s="479"/>
      <c r="P48" s="480"/>
      <c r="Q48" s="460"/>
      <c r="R48" s="177">
        <v>0.73</v>
      </c>
      <c r="S48" s="479"/>
      <c r="T48" s="480"/>
      <c r="U48" s="460"/>
      <c r="V48" s="177">
        <v>0.73</v>
      </c>
      <c r="W48" s="479"/>
      <c r="X48" s="480"/>
      <c r="Y48" s="46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45231</v>
      </c>
      <c r="G50" s="470"/>
      <c r="H50" s="470"/>
      <c r="I50" s="471"/>
      <c r="J50" s="469">
        <v>45232</v>
      </c>
      <c r="K50" s="470"/>
      <c r="L50" s="470"/>
      <c r="M50" s="471"/>
      <c r="N50" s="469">
        <v>45233</v>
      </c>
      <c r="O50" s="470"/>
      <c r="P50" s="470"/>
      <c r="Q50" s="471"/>
      <c r="R50" s="469">
        <v>45234</v>
      </c>
      <c r="S50" s="470"/>
      <c r="T50" s="470"/>
      <c r="U50" s="471"/>
      <c r="V50" s="469">
        <v>45235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22.5</v>
      </c>
      <c r="H53" s="223" t="s">
        <v>81</v>
      </c>
      <c r="I53" s="222" t="s">
        <v>201</v>
      </c>
      <c r="J53" s="225">
        <v>0</v>
      </c>
      <c r="K53" s="224">
        <v>22.4</v>
      </c>
      <c r="L53" s="223" t="s">
        <v>81</v>
      </c>
      <c r="M53" s="222" t="s">
        <v>201</v>
      </c>
      <c r="N53" s="225">
        <v>0</v>
      </c>
      <c r="O53" s="224">
        <v>22.8</v>
      </c>
      <c r="P53" s="223" t="s">
        <v>81</v>
      </c>
      <c r="Q53" s="222" t="s">
        <v>201</v>
      </c>
      <c r="R53" s="225">
        <v>0</v>
      </c>
      <c r="S53" s="224">
        <v>23.6</v>
      </c>
      <c r="T53" s="223" t="s">
        <v>81</v>
      </c>
      <c r="U53" s="222" t="s">
        <v>201</v>
      </c>
      <c r="V53" s="225">
        <v>0</v>
      </c>
      <c r="W53" s="224">
        <v>23.2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20F6-032C-42AF-8780-1D6B5B0B4AE5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45237</v>
      </c>
      <c r="G3" s="418"/>
      <c r="H3" s="418"/>
      <c r="I3" s="419"/>
      <c r="J3" s="417">
        <v>45238</v>
      </c>
      <c r="K3" s="418"/>
      <c r="L3" s="418"/>
      <c r="M3" s="419"/>
      <c r="N3" s="417">
        <v>45241</v>
      </c>
      <c r="O3" s="418"/>
      <c r="P3" s="418"/>
      <c r="Q3" s="419"/>
      <c r="R3" s="417">
        <v>45249</v>
      </c>
      <c r="S3" s="418"/>
      <c r="T3" s="418"/>
      <c r="U3" s="419"/>
      <c r="V3" s="417">
        <v>45250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G5-F5</f>
        <v>0</v>
      </c>
      <c r="I5" s="219"/>
      <c r="J5" s="166">
        <v>32.700000000000003</v>
      </c>
      <c r="K5" s="165">
        <v>32.700000000000003</v>
      </c>
      <c r="L5" s="164">
        <f>K5-J5</f>
        <v>0</v>
      </c>
      <c r="M5" s="219"/>
      <c r="N5" s="166">
        <v>32.700000000000003</v>
      </c>
      <c r="O5" s="165">
        <v>32.700000000000003</v>
      </c>
      <c r="P5" s="164">
        <f>O5-N5</f>
        <v>0</v>
      </c>
      <c r="Q5" s="219"/>
      <c r="R5" s="166">
        <v>32.700000000000003</v>
      </c>
      <c r="S5" s="165">
        <v>32.700000000000003</v>
      </c>
      <c r="T5" s="164">
        <f>S5-R5</f>
        <v>0</v>
      </c>
      <c r="U5" s="219"/>
      <c r="V5" s="166">
        <v>32.700000000000003</v>
      </c>
      <c r="W5" s="165">
        <v>32.700000000000003</v>
      </c>
      <c r="X5" s="164">
        <f>W5-V5</f>
        <v>0</v>
      </c>
      <c r="Y5" s="263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ref="H6:H8" si="0">G6-F6</f>
        <v>0</v>
      </c>
      <c r="I6" s="219"/>
      <c r="J6" s="166">
        <v>8.8000000000000007</v>
      </c>
      <c r="K6" s="165">
        <v>8.8000000000000007</v>
      </c>
      <c r="L6" s="164">
        <f t="shared" ref="L6:L8" si="1">K6-J6</f>
        <v>0</v>
      </c>
      <c r="M6" s="219"/>
      <c r="N6" s="166">
        <v>8.8000000000000007</v>
      </c>
      <c r="O6" s="165">
        <v>8.8000000000000007</v>
      </c>
      <c r="P6" s="164">
        <f t="shared" ref="P6:P8" si="2">O6-N6</f>
        <v>0</v>
      </c>
      <c r="Q6" s="219"/>
      <c r="R6" s="166">
        <v>17.5</v>
      </c>
      <c r="S6" s="165">
        <v>17.5</v>
      </c>
      <c r="T6" s="164">
        <f t="shared" ref="T6:T8" si="3">S6-R6</f>
        <v>0</v>
      </c>
      <c r="U6" s="219"/>
      <c r="V6" s="166">
        <v>17.5</v>
      </c>
      <c r="W6" s="165">
        <v>17.5</v>
      </c>
      <c r="X6" s="164">
        <f t="shared" ref="X6:X8" si="4">W6-V6</f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si="2"/>
        <v>0</v>
      </c>
      <c r="Q7" s="219"/>
      <c r="R7" s="166">
        <v>0</v>
      </c>
      <c r="S7" s="165">
        <v>0</v>
      </c>
      <c r="T7" s="164">
        <f t="shared" si="3"/>
        <v>0</v>
      </c>
      <c r="U7" s="219"/>
      <c r="V7" s="166">
        <v>8.4</v>
      </c>
      <c r="W7" s="165">
        <v>8.4</v>
      </c>
      <c r="X7" s="164">
        <f t="shared" si="4"/>
        <v>0</v>
      </c>
      <c r="Y7" s="325"/>
    </row>
    <row r="8" spans="3:25" ht="16">
      <c r="C8" s="423"/>
      <c r="D8" s="426"/>
      <c r="E8" s="218" t="s">
        <v>133</v>
      </c>
      <c r="F8" s="217">
        <v>54.7</v>
      </c>
      <c r="G8" s="216">
        <v>54.7</v>
      </c>
      <c r="H8" s="215">
        <f t="shared" si="0"/>
        <v>0</v>
      </c>
      <c r="I8" s="214"/>
      <c r="J8" s="217">
        <v>54.7</v>
      </c>
      <c r="K8" s="216">
        <v>54.7</v>
      </c>
      <c r="L8" s="215">
        <f t="shared" si="1"/>
        <v>0</v>
      </c>
      <c r="M8" s="214"/>
      <c r="N8" s="217">
        <v>52.5</v>
      </c>
      <c r="O8" s="216">
        <v>52.5</v>
      </c>
      <c r="P8" s="215">
        <f t="shared" si="2"/>
        <v>0</v>
      </c>
      <c r="Q8" s="214"/>
      <c r="R8" s="217">
        <v>52.800000000000004</v>
      </c>
      <c r="S8" s="216">
        <v>52.800000000000004</v>
      </c>
      <c r="T8" s="215">
        <f t="shared" si="3"/>
        <v>0</v>
      </c>
      <c r="U8" s="214"/>
      <c r="V8" s="217">
        <v>55</v>
      </c>
      <c r="W8" s="216">
        <v>55</v>
      </c>
      <c r="X8" s="215">
        <f t="shared" si="4"/>
        <v>0</v>
      </c>
      <c r="Y8" s="264"/>
    </row>
    <row r="9" spans="3:25" ht="16.5" thickBot="1">
      <c r="C9" s="424"/>
      <c r="D9" s="427" t="s">
        <v>101</v>
      </c>
      <c r="E9" s="428"/>
      <c r="F9" s="188">
        <f>SUM(F5:F8)</f>
        <v>96.2</v>
      </c>
      <c r="G9" s="187">
        <f>SUM(G5:G8)</f>
        <v>96.2</v>
      </c>
      <c r="H9" s="187">
        <f>SUM(H5:H8)</f>
        <v>0</v>
      </c>
      <c r="I9" s="213" t="s">
        <v>81</v>
      </c>
      <c r="J9" s="188">
        <f>SUM(J5:J8)</f>
        <v>96.2</v>
      </c>
      <c r="K9" s="187">
        <f>SUM(K5:K8)</f>
        <v>96.2</v>
      </c>
      <c r="L9" s="187">
        <f>SUM(L5:L8)</f>
        <v>0</v>
      </c>
      <c r="M9" s="213" t="s">
        <v>81</v>
      </c>
      <c r="N9" s="188">
        <f>SUM(N5:N8)</f>
        <v>94</v>
      </c>
      <c r="O9" s="187">
        <f>SUM(O5:O8)</f>
        <v>94</v>
      </c>
      <c r="P9" s="187">
        <f>SUM(P5:P8)</f>
        <v>0</v>
      </c>
      <c r="Q9" s="213" t="s">
        <v>81</v>
      </c>
      <c r="R9" s="188">
        <f>SUM(R5:R8)</f>
        <v>103</v>
      </c>
      <c r="S9" s="187">
        <f>SUM(S5:S8)</f>
        <v>103</v>
      </c>
      <c r="T9" s="187">
        <f>SUM(T5:T8)</f>
        <v>0</v>
      </c>
      <c r="U9" s="213" t="s">
        <v>81</v>
      </c>
      <c r="V9" s="188">
        <f>SUM(V5:V8)</f>
        <v>113.6</v>
      </c>
      <c r="W9" s="187">
        <f>SUM(W5:W8)</f>
        <v>113.6</v>
      </c>
      <c r="X9" s="187">
        <f>SUM(X5:X8)</f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45237</v>
      </c>
      <c r="G11" s="433"/>
      <c r="H11" s="433"/>
      <c r="I11" s="434"/>
      <c r="J11" s="432">
        <v>45238</v>
      </c>
      <c r="K11" s="433"/>
      <c r="L11" s="433"/>
      <c r="M11" s="434"/>
      <c r="N11" s="432">
        <v>45241</v>
      </c>
      <c r="O11" s="433"/>
      <c r="P11" s="433"/>
      <c r="Q11" s="434"/>
      <c r="R11" s="432">
        <v>45249</v>
      </c>
      <c r="S11" s="433"/>
      <c r="T11" s="433"/>
      <c r="U11" s="434"/>
      <c r="V11" s="432">
        <v>45250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189" t="s">
        <v>149</v>
      </c>
      <c r="J13" s="166">
        <v>-26.1</v>
      </c>
      <c r="K13" s="165">
        <v>0</v>
      </c>
      <c r="L13" s="164">
        <v>26.1</v>
      </c>
      <c r="M13" s="189" t="s">
        <v>149</v>
      </c>
      <c r="N13" s="166">
        <v>-26.1</v>
      </c>
      <c r="O13" s="165">
        <v>0</v>
      </c>
      <c r="P13" s="164">
        <v>26.1</v>
      </c>
      <c r="Q13" s="189" t="s">
        <v>149</v>
      </c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212"/>
      <c r="J14" s="166">
        <v>-26.1</v>
      </c>
      <c r="K14" s="165">
        <v>-26.1</v>
      </c>
      <c r="L14" s="164">
        <v>0</v>
      </c>
      <c r="M14" s="212"/>
      <c r="N14" s="166">
        <v>-26.1</v>
      </c>
      <c r="O14" s="165">
        <v>-26.1</v>
      </c>
      <c r="P14" s="164">
        <v>0</v>
      </c>
      <c r="Q14" s="212"/>
      <c r="R14" s="166">
        <v>-26.1</v>
      </c>
      <c r="S14" s="165">
        <v>0</v>
      </c>
      <c r="T14" s="164">
        <v>26.1</v>
      </c>
      <c r="U14" s="189" t="s">
        <v>149</v>
      </c>
      <c r="V14" s="166">
        <v>-26.1</v>
      </c>
      <c r="W14" s="165">
        <v>0</v>
      </c>
      <c r="X14" s="164">
        <v>26.1</v>
      </c>
      <c r="Y14" s="267" t="s">
        <v>149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0</v>
      </c>
      <c r="X17" s="164">
        <v>34</v>
      </c>
      <c r="Y17" s="267" t="s">
        <v>149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0</v>
      </c>
      <c r="X18" s="164">
        <v>34</v>
      </c>
      <c r="Y18" s="267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0</v>
      </c>
      <c r="X19" s="164">
        <v>34</v>
      </c>
      <c r="Y19" s="267" t="s">
        <v>149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0</v>
      </c>
      <c r="X20" s="164">
        <v>34</v>
      </c>
      <c r="Y20" s="267" t="s">
        <v>149</v>
      </c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 t="shared" ref="G21:H21" si="5">SUM(G13:G20)</f>
        <v>-227.1</v>
      </c>
      <c r="H21" s="187">
        <f t="shared" si="5"/>
        <v>26.1</v>
      </c>
      <c r="I21" s="186" t="s">
        <v>81</v>
      </c>
      <c r="J21" s="188">
        <f>SUM(J13:J20)</f>
        <v>-253.2</v>
      </c>
      <c r="K21" s="187">
        <f t="shared" ref="K21:L21" si="6">SUM(K13:K20)</f>
        <v>-227.1</v>
      </c>
      <c r="L21" s="187">
        <f t="shared" si="6"/>
        <v>26.1</v>
      </c>
      <c r="M21" s="186" t="s">
        <v>81</v>
      </c>
      <c r="N21" s="188">
        <f>SUM(N13:N20)</f>
        <v>-253.2</v>
      </c>
      <c r="O21" s="187">
        <f t="shared" ref="O21:P21" si="7">SUM(O13:O20)</f>
        <v>-227.1</v>
      </c>
      <c r="P21" s="187">
        <f t="shared" si="7"/>
        <v>26.1</v>
      </c>
      <c r="Q21" s="186" t="s">
        <v>81</v>
      </c>
      <c r="R21" s="188">
        <f>SUM(R13:R20)</f>
        <v>-253.2</v>
      </c>
      <c r="S21" s="187">
        <f t="shared" ref="S21:T21" si="8">SUM(S13:S20)</f>
        <v>-227.1</v>
      </c>
      <c r="T21" s="187">
        <f t="shared" si="8"/>
        <v>26.1</v>
      </c>
      <c r="U21" s="186" t="s">
        <v>81</v>
      </c>
      <c r="V21" s="188">
        <f>SUM(V13:V20)</f>
        <v>-253.2</v>
      </c>
      <c r="W21" s="187">
        <f t="shared" ref="W21:X21" si="9">SUM(W13:W20)</f>
        <v>-91.1</v>
      </c>
      <c r="X21" s="187">
        <f t="shared" si="9"/>
        <v>162.1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45237</v>
      </c>
      <c r="G23" s="433"/>
      <c r="H23" s="433"/>
      <c r="I23" s="434"/>
      <c r="J23" s="432">
        <v>45238</v>
      </c>
      <c r="K23" s="433"/>
      <c r="L23" s="433"/>
      <c r="M23" s="434"/>
      <c r="N23" s="432">
        <v>45241</v>
      </c>
      <c r="O23" s="433"/>
      <c r="P23" s="433"/>
      <c r="Q23" s="434"/>
      <c r="R23" s="432">
        <v>45249</v>
      </c>
      <c r="S23" s="433"/>
      <c r="T23" s="433"/>
      <c r="U23" s="434"/>
      <c r="V23" s="432">
        <v>45250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-2.5</v>
      </c>
      <c r="H25" s="207">
        <v>2.5</v>
      </c>
      <c r="I25" s="206" t="s">
        <v>145</v>
      </c>
      <c r="J25" s="209">
        <v>-5</v>
      </c>
      <c r="K25" s="208">
        <v>-2.5</v>
      </c>
      <c r="L25" s="207">
        <v>2.5</v>
      </c>
      <c r="M25" s="206" t="s">
        <v>145</v>
      </c>
      <c r="N25" s="209">
        <v>-5</v>
      </c>
      <c r="O25" s="208">
        <v>-2.5</v>
      </c>
      <c r="P25" s="207">
        <v>2.5</v>
      </c>
      <c r="Q25" s="206" t="s">
        <v>145</v>
      </c>
      <c r="R25" s="209">
        <v>-5</v>
      </c>
      <c r="S25" s="208">
        <v>-2.5</v>
      </c>
      <c r="T25" s="207">
        <v>2.5</v>
      </c>
      <c r="U25" s="206" t="s">
        <v>145</v>
      </c>
      <c r="V25" s="209">
        <v>-5</v>
      </c>
      <c r="W25" s="208">
        <v>-2.5</v>
      </c>
      <c r="X25" s="207">
        <v>2.5</v>
      </c>
      <c r="Y25" s="269" t="s">
        <v>145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45237</v>
      </c>
      <c r="G27" s="433"/>
      <c r="H27" s="433"/>
      <c r="I27" s="434"/>
      <c r="J27" s="432">
        <v>45238</v>
      </c>
      <c r="K27" s="433"/>
      <c r="L27" s="433"/>
      <c r="M27" s="434"/>
      <c r="N27" s="432">
        <v>45241</v>
      </c>
      <c r="O27" s="433"/>
      <c r="P27" s="433"/>
      <c r="Q27" s="434"/>
      <c r="R27" s="432">
        <v>45249</v>
      </c>
      <c r="S27" s="433"/>
      <c r="T27" s="433"/>
      <c r="U27" s="434"/>
      <c r="V27" s="432">
        <v>45250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21.9</v>
      </c>
      <c r="P29" s="457">
        <v>-21.9</v>
      </c>
      <c r="Q29" s="459" t="s">
        <v>146</v>
      </c>
      <c r="R29" s="200">
        <v>43.8</v>
      </c>
      <c r="S29" s="455">
        <v>38.1</v>
      </c>
      <c r="T29" s="457">
        <v>-5.6999999999999957</v>
      </c>
      <c r="U29" s="459" t="s">
        <v>203</v>
      </c>
      <c r="V29" s="200">
        <v>43.8</v>
      </c>
      <c r="W29" s="455">
        <v>21.9</v>
      </c>
      <c r="X29" s="457">
        <v>-21.9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36.9</v>
      </c>
      <c r="H31" s="457">
        <v>-17.5</v>
      </c>
      <c r="I31" s="459" t="s">
        <v>207</v>
      </c>
      <c r="J31" s="200">
        <v>54.4</v>
      </c>
      <c r="K31" s="455">
        <v>36.9</v>
      </c>
      <c r="L31" s="457">
        <v>-17.5</v>
      </c>
      <c r="M31" s="459" t="s">
        <v>207</v>
      </c>
      <c r="N31" s="200">
        <v>54.4</v>
      </c>
      <c r="O31" s="455">
        <v>36.799999999999997</v>
      </c>
      <c r="P31" s="457">
        <v>-17.600000000000001</v>
      </c>
      <c r="Q31" s="459" t="s">
        <v>207</v>
      </c>
      <c r="R31" s="200">
        <v>54.4</v>
      </c>
      <c r="S31" s="455">
        <v>28.7</v>
      </c>
      <c r="T31" s="457">
        <v>-25.7</v>
      </c>
      <c r="U31" s="459" t="s">
        <v>207</v>
      </c>
      <c r="V31" s="200">
        <v>54.4</v>
      </c>
      <c r="W31" s="455">
        <v>36.9</v>
      </c>
      <c r="X31" s="457">
        <v>-17.5</v>
      </c>
      <c r="Y31" s="461" t="s">
        <v>207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24.5</v>
      </c>
      <c r="H33" s="457">
        <v>-1</v>
      </c>
      <c r="I33" s="459" t="s">
        <v>148</v>
      </c>
      <c r="J33" s="200">
        <v>25.5</v>
      </c>
      <c r="K33" s="199">
        <v>19.2</v>
      </c>
      <c r="L33" s="457">
        <v>-6.3000000000000007</v>
      </c>
      <c r="M33" s="459" t="s">
        <v>148</v>
      </c>
      <c r="N33" s="200">
        <v>19.899999999999999</v>
      </c>
      <c r="O33" s="199">
        <v>14.8</v>
      </c>
      <c r="P33" s="457">
        <v>-5.0999999999999979</v>
      </c>
      <c r="Q33" s="459" t="s">
        <v>146</v>
      </c>
      <c r="R33" s="200">
        <v>25.5</v>
      </c>
      <c r="S33" s="199">
        <v>15.1</v>
      </c>
      <c r="T33" s="457">
        <v>-10.4</v>
      </c>
      <c r="U33" s="459" t="s">
        <v>146</v>
      </c>
      <c r="V33" s="200">
        <v>25.5</v>
      </c>
      <c r="W33" s="199">
        <v>21.4</v>
      </c>
      <c r="X33" s="457">
        <v>-4.1000000000000014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</v>
      </c>
      <c r="G34" s="197">
        <v>0.19</v>
      </c>
      <c r="H34" s="458"/>
      <c r="I34" s="460"/>
      <c r="J34" s="198">
        <v>0.2</v>
      </c>
      <c r="K34" s="197">
        <v>0.15</v>
      </c>
      <c r="L34" s="458"/>
      <c r="M34" s="460"/>
      <c r="N34" s="198">
        <v>0.17</v>
      </c>
      <c r="O34" s="197">
        <v>0.13</v>
      </c>
      <c r="P34" s="458"/>
      <c r="Q34" s="460"/>
      <c r="R34" s="198">
        <v>0.2</v>
      </c>
      <c r="S34" s="197">
        <v>0.12</v>
      </c>
      <c r="T34" s="458"/>
      <c r="U34" s="460"/>
      <c r="V34" s="198">
        <v>0.2</v>
      </c>
      <c r="W34" s="197">
        <v>0.17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0.50000000000000144</v>
      </c>
      <c r="H37" s="164">
        <v>-12.499999999999998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147</v>
      </c>
      <c r="N37" s="166">
        <v>13</v>
      </c>
      <c r="O37" s="165">
        <v>0.4</v>
      </c>
      <c r="P37" s="164">
        <v>-12.6</v>
      </c>
      <c r="Q37" s="189" t="s">
        <v>147</v>
      </c>
      <c r="R37" s="166">
        <v>13</v>
      </c>
      <c r="S37" s="165">
        <v>0.5</v>
      </c>
      <c r="T37" s="164">
        <v>-12.5</v>
      </c>
      <c r="U37" s="189" t="s">
        <v>147</v>
      </c>
      <c r="V37" s="166">
        <v>13</v>
      </c>
      <c r="W37" s="165">
        <v>0.4</v>
      </c>
      <c r="X37" s="164">
        <v>-12.6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f>SUM(F29,F31,F33,F37)</f>
        <v>136.69999999999999</v>
      </c>
      <c r="G38" s="187">
        <f t="shared" ref="G38:H38" si="10">SUM(G29,G31,G33,G37)</f>
        <v>83.8</v>
      </c>
      <c r="H38" s="187">
        <f t="shared" si="10"/>
        <v>-52.9</v>
      </c>
      <c r="I38" s="186"/>
      <c r="J38" s="188">
        <f>SUM(J29,J31,J33,J37)</f>
        <v>136.69999999999999</v>
      </c>
      <c r="K38" s="187">
        <f t="shared" ref="K38:L38" si="11">SUM(K29,K31,K33,K37)</f>
        <v>78.400000000000006</v>
      </c>
      <c r="L38" s="187">
        <f t="shared" si="11"/>
        <v>-58.300000000000004</v>
      </c>
      <c r="M38" s="186"/>
      <c r="N38" s="188">
        <f>SUM(N29,N31,N33,N37)</f>
        <v>131.1</v>
      </c>
      <c r="O38" s="187">
        <f t="shared" ref="O38:P38" si="12">SUM(O29,O31,O33,O37)</f>
        <v>73.900000000000006</v>
      </c>
      <c r="P38" s="187">
        <f t="shared" si="12"/>
        <v>-57.199999999999996</v>
      </c>
      <c r="Q38" s="186"/>
      <c r="R38" s="188">
        <f>SUM(R29,R31,R33,R37)</f>
        <v>136.69999999999999</v>
      </c>
      <c r="S38" s="187">
        <f t="shared" ref="S38:T38" si="13">SUM(S29,S31,S33,S37)</f>
        <v>82.399999999999991</v>
      </c>
      <c r="T38" s="187">
        <f t="shared" si="13"/>
        <v>-54.3</v>
      </c>
      <c r="U38" s="186"/>
      <c r="V38" s="188">
        <f>SUM(V29,V31,V33,V37)</f>
        <v>136.69999999999999</v>
      </c>
      <c r="W38" s="187">
        <f t="shared" ref="W38:X38" si="14">SUM(W29,W31,W33,W37)</f>
        <v>80.599999999999994</v>
      </c>
      <c r="X38" s="187">
        <f t="shared" si="14"/>
        <v>-56.1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45237</v>
      </c>
      <c r="G40" s="470"/>
      <c r="H40" s="470"/>
      <c r="I40" s="471"/>
      <c r="J40" s="469">
        <v>45238</v>
      </c>
      <c r="K40" s="470"/>
      <c r="L40" s="470"/>
      <c r="M40" s="471"/>
      <c r="N40" s="469">
        <v>45241</v>
      </c>
      <c r="O40" s="470"/>
      <c r="P40" s="470"/>
      <c r="Q40" s="471"/>
      <c r="R40" s="469">
        <v>45249</v>
      </c>
      <c r="S40" s="470"/>
      <c r="T40" s="470"/>
      <c r="U40" s="471"/>
      <c r="V40" s="469">
        <v>45250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7.8</v>
      </c>
      <c r="S42" s="478">
        <v>7.8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204.5</v>
      </c>
      <c r="G43" s="479"/>
      <c r="H43" s="480"/>
      <c r="I43" s="481"/>
      <c r="J43" s="183">
        <v>200.6</v>
      </c>
      <c r="K43" s="479"/>
      <c r="L43" s="480"/>
      <c r="M43" s="481"/>
      <c r="N43" s="183">
        <v>194</v>
      </c>
      <c r="O43" s="479"/>
      <c r="P43" s="480"/>
      <c r="Q43" s="481"/>
      <c r="R43" s="183">
        <v>205</v>
      </c>
      <c r="S43" s="479"/>
      <c r="T43" s="480"/>
      <c r="U43" s="481"/>
      <c r="V43" s="183">
        <v>206.1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45237</v>
      </c>
      <c r="G45" s="470"/>
      <c r="H45" s="470"/>
      <c r="I45" s="471"/>
      <c r="J45" s="469">
        <v>45238</v>
      </c>
      <c r="K45" s="470"/>
      <c r="L45" s="470"/>
      <c r="M45" s="471"/>
      <c r="N45" s="469">
        <v>45241</v>
      </c>
      <c r="O45" s="470"/>
      <c r="P45" s="470"/>
      <c r="Q45" s="471"/>
      <c r="R45" s="469">
        <v>45249</v>
      </c>
      <c r="S45" s="470"/>
      <c r="T45" s="470"/>
      <c r="U45" s="471"/>
      <c r="V45" s="469">
        <v>45250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24</v>
      </c>
      <c r="G47" s="478">
        <v>24.2</v>
      </c>
      <c r="H47" s="457">
        <v>0.19999999999999929</v>
      </c>
      <c r="I47" s="459" t="s">
        <v>149</v>
      </c>
      <c r="J47" s="178">
        <v>24</v>
      </c>
      <c r="K47" s="478">
        <v>28.3</v>
      </c>
      <c r="L47" s="457">
        <v>4.3000000000000007</v>
      </c>
      <c r="M47" s="459" t="s">
        <v>149</v>
      </c>
      <c r="N47" s="178">
        <v>22.2</v>
      </c>
      <c r="O47" s="478">
        <v>22.4</v>
      </c>
      <c r="P47" s="457">
        <v>0.19999999999999929</v>
      </c>
      <c r="Q47" s="459" t="s">
        <v>149</v>
      </c>
      <c r="R47" s="178">
        <v>24.8</v>
      </c>
      <c r="S47" s="478">
        <v>29.1</v>
      </c>
      <c r="T47" s="457">
        <v>4.3000000000000007</v>
      </c>
      <c r="U47" s="459" t="s">
        <v>150</v>
      </c>
      <c r="V47" s="178">
        <v>24.8</v>
      </c>
      <c r="W47" s="478">
        <v>29.1</v>
      </c>
      <c r="X47" s="457">
        <v>4.3000000000000007</v>
      </c>
      <c r="Y47" s="461" t="s">
        <v>150</v>
      </c>
    </row>
    <row r="48" spans="3:25" ht="16.5" thickBot="1">
      <c r="C48" s="486"/>
      <c r="D48" s="487"/>
      <c r="E48" s="489"/>
      <c r="F48" s="177">
        <v>0.73</v>
      </c>
      <c r="G48" s="479"/>
      <c r="H48" s="480"/>
      <c r="I48" s="460"/>
      <c r="J48" s="177">
        <v>0.73</v>
      </c>
      <c r="K48" s="479"/>
      <c r="L48" s="480"/>
      <c r="M48" s="460"/>
      <c r="N48" s="177">
        <v>0.67</v>
      </c>
      <c r="O48" s="479"/>
      <c r="P48" s="480"/>
      <c r="Q48" s="460"/>
      <c r="R48" s="177">
        <v>0.7</v>
      </c>
      <c r="S48" s="479"/>
      <c r="T48" s="480"/>
      <c r="U48" s="460"/>
      <c r="V48" s="177">
        <v>0.7</v>
      </c>
      <c r="W48" s="479"/>
      <c r="X48" s="480"/>
      <c r="Y48" s="46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45237</v>
      </c>
      <c r="G50" s="470"/>
      <c r="H50" s="470"/>
      <c r="I50" s="471"/>
      <c r="J50" s="469">
        <v>45238</v>
      </c>
      <c r="K50" s="470"/>
      <c r="L50" s="470"/>
      <c r="M50" s="471"/>
      <c r="N50" s="469">
        <v>45241</v>
      </c>
      <c r="O50" s="470"/>
      <c r="P50" s="470"/>
      <c r="Q50" s="471"/>
      <c r="R50" s="469">
        <v>45249</v>
      </c>
      <c r="S50" s="470"/>
      <c r="T50" s="470"/>
      <c r="U50" s="471"/>
      <c r="V50" s="469">
        <v>45250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22.5</v>
      </c>
      <c r="H53" s="223" t="s">
        <v>81</v>
      </c>
      <c r="I53" s="222" t="s">
        <v>201</v>
      </c>
      <c r="J53" s="225">
        <v>0</v>
      </c>
      <c r="K53" s="224">
        <v>22.6</v>
      </c>
      <c r="L53" s="223" t="s">
        <v>81</v>
      </c>
      <c r="M53" s="222" t="s">
        <v>201</v>
      </c>
      <c r="N53" s="225">
        <v>0</v>
      </c>
      <c r="O53" s="224">
        <v>22.6</v>
      </c>
      <c r="P53" s="223" t="s">
        <v>81</v>
      </c>
      <c r="Q53" s="222" t="s">
        <v>201</v>
      </c>
      <c r="R53" s="225">
        <v>0</v>
      </c>
      <c r="S53" s="224">
        <v>21.8</v>
      </c>
      <c r="T53" s="223" t="s">
        <v>81</v>
      </c>
      <c r="U53" s="222" t="s">
        <v>201</v>
      </c>
      <c r="V53" s="225">
        <v>0</v>
      </c>
      <c r="W53" s="224">
        <v>21.6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5496-3FEE-44F1-BA28-5ACF996810B4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45251</v>
      </c>
      <c r="G3" s="418"/>
      <c r="H3" s="418"/>
      <c r="I3" s="419"/>
      <c r="J3" s="417">
        <v>45252</v>
      </c>
      <c r="K3" s="418"/>
      <c r="L3" s="418"/>
      <c r="M3" s="419"/>
      <c r="N3" s="417">
        <v>45253</v>
      </c>
      <c r="O3" s="418"/>
      <c r="P3" s="418"/>
      <c r="Q3" s="419"/>
      <c r="R3" s="417">
        <v>45255</v>
      </c>
      <c r="S3" s="418"/>
      <c r="T3" s="418"/>
      <c r="U3" s="419"/>
      <c r="V3" s="417">
        <v>45256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G5-F5</f>
        <v>0</v>
      </c>
      <c r="I5" s="219"/>
      <c r="J5" s="166">
        <v>32.700000000000003</v>
      </c>
      <c r="K5" s="165">
        <v>32.700000000000003</v>
      </c>
      <c r="L5" s="164">
        <f>K5-J5</f>
        <v>0</v>
      </c>
      <c r="M5" s="219"/>
      <c r="N5" s="166">
        <v>32.700000000000003</v>
      </c>
      <c r="O5" s="165">
        <v>32.700000000000003</v>
      </c>
      <c r="P5" s="164">
        <f>O5-N5</f>
        <v>0</v>
      </c>
      <c r="Q5" s="219"/>
      <c r="R5" s="166">
        <v>32.700000000000003</v>
      </c>
      <c r="S5" s="165">
        <v>32.700000000000003</v>
      </c>
      <c r="T5" s="164">
        <f>S5-R5</f>
        <v>0</v>
      </c>
      <c r="U5" s="219"/>
      <c r="V5" s="166">
        <v>32.700000000000003</v>
      </c>
      <c r="W5" s="165">
        <v>32.700000000000003</v>
      </c>
      <c r="X5" s="164">
        <f>W5-V5</f>
        <v>0</v>
      </c>
      <c r="Y5" s="263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 t="shared" ref="H6:H8" si="0">G6-F6</f>
        <v>0</v>
      </c>
      <c r="I6" s="219"/>
      <c r="J6" s="166">
        <v>17.5</v>
      </c>
      <c r="K6" s="165">
        <v>17.5</v>
      </c>
      <c r="L6" s="164">
        <f t="shared" ref="L6:L8" si="1">K6-J6</f>
        <v>0</v>
      </c>
      <c r="M6" s="219"/>
      <c r="N6" s="166">
        <v>17.5</v>
      </c>
      <c r="O6" s="165">
        <v>17.5</v>
      </c>
      <c r="P6" s="164">
        <f t="shared" ref="P6:P8" si="2">O6-N6</f>
        <v>0</v>
      </c>
      <c r="Q6" s="219"/>
      <c r="R6" s="166">
        <v>17.5</v>
      </c>
      <c r="S6" s="165">
        <v>17.5</v>
      </c>
      <c r="T6" s="164">
        <f t="shared" ref="T6:T8" si="3">S6-R6</f>
        <v>0</v>
      </c>
      <c r="U6" s="219"/>
      <c r="V6" s="166">
        <v>17.5</v>
      </c>
      <c r="W6" s="165">
        <v>17.5</v>
      </c>
      <c r="X6" s="164">
        <f t="shared" ref="X6:X8" si="4">W6-V6</f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8.4</v>
      </c>
      <c r="G7" s="165">
        <v>8.4</v>
      </c>
      <c r="H7" s="164">
        <f t="shared" si="0"/>
        <v>0</v>
      </c>
      <c r="I7" s="326"/>
      <c r="J7" s="166">
        <v>0</v>
      </c>
      <c r="K7" s="165">
        <v>0</v>
      </c>
      <c r="L7" s="164">
        <f t="shared" si="1"/>
        <v>0</v>
      </c>
      <c r="M7" s="219"/>
      <c r="N7" s="166">
        <v>8.4</v>
      </c>
      <c r="O7" s="165">
        <v>8.4</v>
      </c>
      <c r="P7" s="164">
        <f t="shared" si="2"/>
        <v>0</v>
      </c>
      <c r="Q7" s="219"/>
      <c r="R7" s="166">
        <v>8.4</v>
      </c>
      <c r="S7" s="165">
        <v>8.4</v>
      </c>
      <c r="T7" s="164">
        <f t="shared" si="3"/>
        <v>0</v>
      </c>
      <c r="U7" s="219"/>
      <c r="V7" s="166">
        <v>8.4</v>
      </c>
      <c r="W7" s="165">
        <v>8.4</v>
      </c>
      <c r="X7" s="164">
        <f t="shared" si="4"/>
        <v>0</v>
      </c>
      <c r="Y7" s="263"/>
    </row>
    <row r="8" spans="3:25" ht="16">
      <c r="C8" s="423"/>
      <c r="D8" s="426"/>
      <c r="E8" s="218" t="s">
        <v>133</v>
      </c>
      <c r="F8" s="217">
        <v>55</v>
      </c>
      <c r="G8" s="216">
        <v>55</v>
      </c>
      <c r="H8" s="215">
        <f t="shared" si="0"/>
        <v>0</v>
      </c>
      <c r="I8" s="214"/>
      <c r="J8" s="217">
        <v>54.900000000000006</v>
      </c>
      <c r="K8" s="216">
        <v>54.900000000000006</v>
      </c>
      <c r="L8" s="215">
        <f t="shared" si="1"/>
        <v>0</v>
      </c>
      <c r="M8" s="214"/>
      <c r="N8" s="217">
        <v>53.900000000000006</v>
      </c>
      <c r="O8" s="216">
        <v>53.900000000000006</v>
      </c>
      <c r="P8" s="215">
        <f t="shared" si="2"/>
        <v>0</v>
      </c>
      <c r="Q8" s="214"/>
      <c r="R8" s="217">
        <v>55.800000000000004</v>
      </c>
      <c r="S8" s="216">
        <v>55.800000000000004</v>
      </c>
      <c r="T8" s="215">
        <f t="shared" si="3"/>
        <v>0</v>
      </c>
      <c r="U8" s="214"/>
      <c r="V8" s="217">
        <v>53.1</v>
      </c>
      <c r="W8" s="216">
        <v>53.1</v>
      </c>
      <c r="X8" s="215">
        <f t="shared" si="4"/>
        <v>0</v>
      </c>
      <c r="Y8" s="264"/>
    </row>
    <row r="9" spans="3:25" ht="16.5" thickBot="1">
      <c r="C9" s="424"/>
      <c r="D9" s="427" t="s">
        <v>101</v>
      </c>
      <c r="E9" s="428"/>
      <c r="F9" s="188">
        <f>SUM(F5:F8)</f>
        <v>113.6</v>
      </c>
      <c r="G9" s="187">
        <f>SUM(G5:G8)</f>
        <v>113.6</v>
      </c>
      <c r="H9" s="187">
        <f>SUM(H5:H8)</f>
        <v>0</v>
      </c>
      <c r="I9" s="213" t="s">
        <v>81</v>
      </c>
      <c r="J9" s="188">
        <f>SUM(J5:J8)</f>
        <v>105.10000000000001</v>
      </c>
      <c r="K9" s="187">
        <f>SUM(K5:K8)</f>
        <v>105.10000000000001</v>
      </c>
      <c r="L9" s="187">
        <f>SUM(L5:L8)</f>
        <v>0</v>
      </c>
      <c r="M9" s="213" t="s">
        <v>81</v>
      </c>
      <c r="N9" s="188">
        <f>SUM(N5:N8)</f>
        <v>112.5</v>
      </c>
      <c r="O9" s="187">
        <f>SUM(O5:O8)</f>
        <v>112.5</v>
      </c>
      <c r="P9" s="187">
        <f>SUM(P5:P8)</f>
        <v>0</v>
      </c>
      <c r="Q9" s="213" t="s">
        <v>81</v>
      </c>
      <c r="R9" s="188">
        <f>SUM(R5:R8)</f>
        <v>114.4</v>
      </c>
      <c r="S9" s="187">
        <f>SUM(S5:S8)</f>
        <v>114.4</v>
      </c>
      <c r="T9" s="187">
        <f>SUM(T5:T8)</f>
        <v>0</v>
      </c>
      <c r="U9" s="213" t="s">
        <v>81</v>
      </c>
      <c r="V9" s="188">
        <f>SUM(V5:V8)</f>
        <v>111.7</v>
      </c>
      <c r="W9" s="187">
        <f>SUM(W5:W8)</f>
        <v>111.7</v>
      </c>
      <c r="X9" s="187">
        <f>SUM(X5:X8)</f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45251</v>
      </c>
      <c r="G11" s="433"/>
      <c r="H11" s="433"/>
      <c r="I11" s="434"/>
      <c r="J11" s="432">
        <v>45252</v>
      </c>
      <c r="K11" s="433"/>
      <c r="L11" s="433"/>
      <c r="M11" s="434"/>
      <c r="N11" s="432">
        <v>45253</v>
      </c>
      <c r="O11" s="433"/>
      <c r="P11" s="433"/>
      <c r="Q11" s="434"/>
      <c r="R11" s="432">
        <v>45255</v>
      </c>
      <c r="S11" s="433"/>
      <c r="T11" s="433"/>
      <c r="U11" s="434"/>
      <c r="V11" s="432">
        <v>45256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149</v>
      </c>
      <c r="J14" s="166">
        <v>-26.1</v>
      </c>
      <c r="K14" s="165">
        <v>0</v>
      </c>
      <c r="L14" s="164">
        <v>26.1</v>
      </c>
      <c r="M14" s="189" t="s">
        <v>149</v>
      </c>
      <c r="N14" s="166">
        <v>-26.1</v>
      </c>
      <c r="O14" s="165">
        <v>0</v>
      </c>
      <c r="P14" s="164">
        <v>26.1</v>
      </c>
      <c r="Q14" s="189" t="s">
        <v>149</v>
      </c>
      <c r="R14" s="166">
        <v>-26.1</v>
      </c>
      <c r="S14" s="165">
        <v>0</v>
      </c>
      <c r="T14" s="164">
        <v>26.1</v>
      </c>
      <c r="U14" s="189" t="s">
        <v>149</v>
      </c>
      <c r="V14" s="166">
        <v>-26.1</v>
      </c>
      <c r="W14" s="165">
        <v>0</v>
      </c>
      <c r="X14" s="164">
        <v>26.1</v>
      </c>
      <c r="Y14" s="267" t="s">
        <v>149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189" t="s">
        <v>149</v>
      </c>
      <c r="J17" s="166">
        <v>-34</v>
      </c>
      <c r="K17" s="165">
        <v>0</v>
      </c>
      <c r="L17" s="164">
        <v>34</v>
      </c>
      <c r="M17" s="189" t="s">
        <v>149</v>
      </c>
      <c r="N17" s="166">
        <v>-34</v>
      </c>
      <c r="O17" s="165">
        <v>0</v>
      </c>
      <c r="P17" s="164">
        <v>34</v>
      </c>
      <c r="Q17" s="189" t="s">
        <v>149</v>
      </c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0</v>
      </c>
      <c r="L19" s="164">
        <v>34</v>
      </c>
      <c r="M19" s="189" t="s">
        <v>149</v>
      </c>
      <c r="N19" s="166">
        <v>-34</v>
      </c>
      <c r="O19" s="165">
        <v>0</v>
      </c>
      <c r="P19" s="164">
        <v>34</v>
      </c>
      <c r="Q19" s="189" t="s">
        <v>149</v>
      </c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v>34</v>
      </c>
      <c r="I20" s="189" t="s">
        <v>149</v>
      </c>
      <c r="J20" s="166">
        <v>-34</v>
      </c>
      <c r="K20" s="165">
        <v>0</v>
      </c>
      <c r="L20" s="164">
        <v>34</v>
      </c>
      <c r="M20" s="189" t="s">
        <v>149</v>
      </c>
      <c r="N20" s="166">
        <v>-34</v>
      </c>
      <c r="O20" s="165">
        <v>0</v>
      </c>
      <c r="P20" s="164">
        <v>34</v>
      </c>
      <c r="Q20" s="189" t="s">
        <v>149</v>
      </c>
      <c r="R20" s="166">
        <v>-34</v>
      </c>
      <c r="S20" s="165">
        <v>-34</v>
      </c>
      <c r="T20" s="164">
        <v>0</v>
      </c>
      <c r="U20" s="212"/>
      <c r="V20" s="166">
        <v>-34</v>
      </c>
      <c r="W20" s="165">
        <v>-34</v>
      </c>
      <c r="X20" s="164">
        <v>0</v>
      </c>
      <c r="Y20" s="286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 t="shared" ref="G21:H21" si="5">SUM(G13:G20)</f>
        <v>-91.1</v>
      </c>
      <c r="H21" s="187">
        <f t="shared" si="5"/>
        <v>162.1</v>
      </c>
      <c r="I21" s="186" t="s">
        <v>81</v>
      </c>
      <c r="J21" s="188">
        <f>SUM(J13:J20)</f>
        <v>-253.2</v>
      </c>
      <c r="K21" s="187">
        <f t="shared" ref="K21:L21" si="6">SUM(K13:K20)</f>
        <v>-91.1</v>
      </c>
      <c r="L21" s="187">
        <f t="shared" si="6"/>
        <v>162.1</v>
      </c>
      <c r="M21" s="186" t="s">
        <v>81</v>
      </c>
      <c r="N21" s="188">
        <f>SUM(N13:N20)</f>
        <v>-253.2</v>
      </c>
      <c r="O21" s="187">
        <f t="shared" ref="O21:P21" si="7">SUM(O13:O20)</f>
        <v>-91.1</v>
      </c>
      <c r="P21" s="187">
        <f t="shared" si="7"/>
        <v>162.1</v>
      </c>
      <c r="Q21" s="186" t="s">
        <v>81</v>
      </c>
      <c r="R21" s="188">
        <f>SUM(R13:R20)</f>
        <v>-253.2</v>
      </c>
      <c r="S21" s="187">
        <f t="shared" ref="S21:T21" si="8">SUM(S13:S20)</f>
        <v>-227.1</v>
      </c>
      <c r="T21" s="187">
        <f t="shared" si="8"/>
        <v>26.1</v>
      </c>
      <c r="U21" s="186" t="s">
        <v>81</v>
      </c>
      <c r="V21" s="188">
        <f>SUM(V13:V20)</f>
        <v>-253.2</v>
      </c>
      <c r="W21" s="187">
        <f t="shared" ref="W21:X21" si="9">SUM(W13:W20)</f>
        <v>-227.1</v>
      </c>
      <c r="X21" s="187">
        <f t="shared" si="9"/>
        <v>26.1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45251</v>
      </c>
      <c r="G23" s="433"/>
      <c r="H23" s="433"/>
      <c r="I23" s="434"/>
      <c r="J23" s="432">
        <v>45252</v>
      </c>
      <c r="K23" s="433"/>
      <c r="L23" s="433"/>
      <c r="M23" s="434"/>
      <c r="N23" s="432">
        <v>45253</v>
      </c>
      <c r="O23" s="433"/>
      <c r="P23" s="433"/>
      <c r="Q23" s="434"/>
      <c r="R23" s="432">
        <v>45255</v>
      </c>
      <c r="S23" s="433"/>
      <c r="T23" s="433"/>
      <c r="U23" s="434"/>
      <c r="V23" s="432">
        <v>45256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-2.5</v>
      </c>
      <c r="H25" s="207">
        <v>2.5</v>
      </c>
      <c r="I25" s="206" t="s">
        <v>145</v>
      </c>
      <c r="J25" s="209">
        <v>-5</v>
      </c>
      <c r="K25" s="208">
        <v>-2.5</v>
      </c>
      <c r="L25" s="207">
        <v>2.5</v>
      </c>
      <c r="M25" s="206" t="s">
        <v>145</v>
      </c>
      <c r="N25" s="209">
        <v>-5</v>
      </c>
      <c r="O25" s="208">
        <v>-2.5</v>
      </c>
      <c r="P25" s="207">
        <v>2.5</v>
      </c>
      <c r="Q25" s="206" t="s">
        <v>145</v>
      </c>
      <c r="R25" s="209">
        <v>-5</v>
      </c>
      <c r="S25" s="208">
        <v>-2.5</v>
      </c>
      <c r="T25" s="207">
        <v>2.5</v>
      </c>
      <c r="U25" s="206" t="s">
        <v>145</v>
      </c>
      <c r="V25" s="209">
        <v>-5</v>
      </c>
      <c r="W25" s="208">
        <v>-2.5</v>
      </c>
      <c r="X25" s="207">
        <v>2.5</v>
      </c>
      <c r="Y25" s="269" t="s">
        <v>145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45251</v>
      </c>
      <c r="G27" s="433"/>
      <c r="H27" s="433"/>
      <c r="I27" s="434"/>
      <c r="J27" s="432">
        <v>45252</v>
      </c>
      <c r="K27" s="433"/>
      <c r="L27" s="433"/>
      <c r="M27" s="434"/>
      <c r="N27" s="432">
        <v>45253</v>
      </c>
      <c r="O27" s="433"/>
      <c r="P27" s="433"/>
      <c r="Q27" s="434"/>
      <c r="R27" s="432">
        <v>45255</v>
      </c>
      <c r="S27" s="433"/>
      <c r="T27" s="433"/>
      <c r="U27" s="434"/>
      <c r="V27" s="432">
        <v>45256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21.9</v>
      </c>
      <c r="H29" s="457">
        <v>-21.9</v>
      </c>
      <c r="I29" s="459" t="s">
        <v>146</v>
      </c>
      <c r="J29" s="200">
        <v>43.8</v>
      </c>
      <c r="K29" s="455">
        <v>21.9</v>
      </c>
      <c r="L29" s="457">
        <v>-21.9</v>
      </c>
      <c r="M29" s="459" t="s">
        <v>146</v>
      </c>
      <c r="N29" s="200">
        <v>43.8</v>
      </c>
      <c r="O29" s="455">
        <v>21.5</v>
      </c>
      <c r="P29" s="457">
        <v>-22.299999999999997</v>
      </c>
      <c r="Q29" s="459" t="s">
        <v>203</v>
      </c>
      <c r="R29" s="200">
        <v>43.8</v>
      </c>
      <c r="S29" s="455">
        <v>21.5</v>
      </c>
      <c r="T29" s="457">
        <v>-22.299999999999997</v>
      </c>
      <c r="U29" s="459" t="s">
        <v>203</v>
      </c>
      <c r="V29" s="200">
        <v>43.8</v>
      </c>
      <c r="W29" s="455">
        <v>21.2</v>
      </c>
      <c r="X29" s="457">
        <v>-22.599999999999998</v>
      </c>
      <c r="Y29" s="461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36.9</v>
      </c>
      <c r="H31" s="457">
        <v>-17.5</v>
      </c>
      <c r="I31" s="459" t="s">
        <v>207</v>
      </c>
      <c r="J31" s="200">
        <v>54.4</v>
      </c>
      <c r="K31" s="455">
        <v>36.9</v>
      </c>
      <c r="L31" s="457">
        <v>-17.5</v>
      </c>
      <c r="M31" s="459" t="s">
        <v>207</v>
      </c>
      <c r="N31" s="200">
        <v>54.4</v>
      </c>
      <c r="O31" s="455">
        <v>36.9</v>
      </c>
      <c r="P31" s="457">
        <v>-17.5</v>
      </c>
      <c r="Q31" s="459" t="s">
        <v>207</v>
      </c>
      <c r="R31" s="200">
        <v>54.4</v>
      </c>
      <c r="S31" s="455">
        <v>36.9</v>
      </c>
      <c r="T31" s="457">
        <v>-17.5</v>
      </c>
      <c r="U31" s="459" t="s">
        <v>207</v>
      </c>
      <c r="V31" s="200">
        <v>54.4</v>
      </c>
      <c r="W31" s="455">
        <v>36.9</v>
      </c>
      <c r="X31" s="457">
        <v>-17.5</v>
      </c>
      <c r="Y31" s="461" t="s">
        <v>207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35.700000000000003</v>
      </c>
      <c r="G33" s="199">
        <v>30.1</v>
      </c>
      <c r="H33" s="457">
        <v>-5.6000000000000014</v>
      </c>
      <c r="I33" s="459" t="s">
        <v>149</v>
      </c>
      <c r="J33" s="200">
        <v>35.700000000000003</v>
      </c>
      <c r="K33" s="199">
        <v>53.3</v>
      </c>
      <c r="L33" s="457">
        <v>17.599999999999994</v>
      </c>
      <c r="M33" s="459" t="s">
        <v>149</v>
      </c>
      <c r="N33" s="200">
        <v>35.700000000000003</v>
      </c>
      <c r="O33" s="199">
        <v>18.2</v>
      </c>
      <c r="P33" s="457">
        <v>-17.500000000000004</v>
      </c>
      <c r="Q33" s="459" t="s">
        <v>149</v>
      </c>
      <c r="R33" s="200">
        <v>35.700000000000003</v>
      </c>
      <c r="S33" s="199">
        <v>21.6</v>
      </c>
      <c r="T33" s="457">
        <v>-14.100000000000001</v>
      </c>
      <c r="U33" s="459" t="s">
        <v>146</v>
      </c>
      <c r="V33" s="200">
        <v>35.700000000000003</v>
      </c>
      <c r="W33" s="199">
        <v>17</v>
      </c>
      <c r="X33" s="457">
        <f>-V33+W33</f>
        <v>-18.700000000000003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0.22</v>
      </c>
      <c r="G34" s="197">
        <v>0.19</v>
      </c>
      <c r="H34" s="458"/>
      <c r="I34" s="460"/>
      <c r="J34" s="198">
        <v>0.22</v>
      </c>
      <c r="K34" s="197">
        <v>0.33</v>
      </c>
      <c r="L34" s="458"/>
      <c r="M34" s="460"/>
      <c r="N34" s="198">
        <v>0.22</v>
      </c>
      <c r="O34" s="197">
        <v>0.11</v>
      </c>
      <c r="P34" s="458"/>
      <c r="Q34" s="460"/>
      <c r="R34" s="198">
        <v>0.22</v>
      </c>
      <c r="S34" s="197">
        <v>0.13</v>
      </c>
      <c r="T34" s="458"/>
      <c r="U34" s="460"/>
      <c r="V34" s="198">
        <v>0.22</v>
      </c>
      <c r="W34" s="197">
        <v>0.1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0.19999999999999857</v>
      </c>
      <c r="H37" s="164">
        <v>-12.8</v>
      </c>
      <c r="I37" s="189" t="s">
        <v>147</v>
      </c>
      <c r="J37" s="166">
        <v>13</v>
      </c>
      <c r="K37" s="165">
        <v>9.999999999999859E-2</v>
      </c>
      <c r="L37" s="164">
        <v>-12.900000000000002</v>
      </c>
      <c r="M37" s="189" t="s">
        <v>147</v>
      </c>
      <c r="N37" s="166">
        <v>13</v>
      </c>
      <c r="O37" s="165">
        <v>0.30000000000000215</v>
      </c>
      <c r="P37" s="164">
        <v>-12.699999999999998</v>
      </c>
      <c r="Q37" s="189" t="s">
        <v>147</v>
      </c>
      <c r="R37" s="166">
        <v>13</v>
      </c>
      <c r="S37" s="165">
        <v>0.4</v>
      </c>
      <c r="T37" s="164">
        <v>-12.6</v>
      </c>
      <c r="U37" s="189" t="s">
        <v>147</v>
      </c>
      <c r="V37" s="166">
        <v>13</v>
      </c>
      <c r="W37" s="165">
        <v>0.4</v>
      </c>
      <c r="X37" s="164">
        <v>-12.6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f>SUM(F29,F31,F33,F37)</f>
        <v>146.89999999999998</v>
      </c>
      <c r="G38" s="187">
        <f t="shared" ref="G38:H38" si="10">SUM(G29,G31,G33,G37)</f>
        <v>89.100000000000009</v>
      </c>
      <c r="H38" s="187">
        <f t="shared" si="10"/>
        <v>-57.8</v>
      </c>
      <c r="I38" s="186"/>
      <c r="J38" s="188">
        <f>SUM(J29,J31,J33,J37)</f>
        <v>146.89999999999998</v>
      </c>
      <c r="K38" s="187">
        <f t="shared" ref="K38:L38" si="11">SUM(K29,K31,K33,K37)</f>
        <v>112.19999999999999</v>
      </c>
      <c r="L38" s="187">
        <f t="shared" si="11"/>
        <v>-34.700000000000003</v>
      </c>
      <c r="M38" s="186"/>
      <c r="N38" s="188">
        <f>SUM(N29,N31,N33,N37)</f>
        <v>146.89999999999998</v>
      </c>
      <c r="O38" s="187">
        <f t="shared" ref="O38:P38" si="12">SUM(O29,O31,O33,O37)</f>
        <v>76.899999999999991</v>
      </c>
      <c r="P38" s="187">
        <f t="shared" si="12"/>
        <v>-70</v>
      </c>
      <c r="Q38" s="186"/>
      <c r="R38" s="188">
        <f>SUM(R29,R31,R33,R37)</f>
        <v>146.89999999999998</v>
      </c>
      <c r="S38" s="187">
        <f t="shared" ref="S38:T38" si="13">SUM(S29,S31,S33,S37)</f>
        <v>80.400000000000006</v>
      </c>
      <c r="T38" s="187">
        <f t="shared" si="13"/>
        <v>-66.5</v>
      </c>
      <c r="U38" s="186"/>
      <c r="V38" s="188">
        <f>SUM(V29,V31,V33,V37)</f>
        <v>146.89999999999998</v>
      </c>
      <c r="W38" s="187">
        <f t="shared" ref="W38:X38" si="14">SUM(W29,W31,W33,W37)</f>
        <v>75.5</v>
      </c>
      <c r="X38" s="187">
        <f t="shared" si="14"/>
        <v>-71.399999999999991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45251</v>
      </c>
      <c r="G40" s="470"/>
      <c r="H40" s="470"/>
      <c r="I40" s="471"/>
      <c r="J40" s="469">
        <v>45252</v>
      </c>
      <c r="K40" s="470"/>
      <c r="L40" s="470"/>
      <c r="M40" s="471"/>
      <c r="N40" s="469">
        <v>45253</v>
      </c>
      <c r="O40" s="470"/>
      <c r="P40" s="470"/>
      <c r="Q40" s="471"/>
      <c r="R40" s="469">
        <v>45255</v>
      </c>
      <c r="S40" s="470"/>
      <c r="T40" s="470"/>
      <c r="U40" s="471"/>
      <c r="V40" s="469">
        <v>45256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206.1</v>
      </c>
      <c r="G43" s="479"/>
      <c r="H43" s="480"/>
      <c r="I43" s="481"/>
      <c r="J43" s="183">
        <v>206.1</v>
      </c>
      <c r="K43" s="479"/>
      <c r="L43" s="480"/>
      <c r="M43" s="481"/>
      <c r="N43" s="183">
        <v>196.7</v>
      </c>
      <c r="O43" s="479"/>
      <c r="P43" s="480"/>
      <c r="Q43" s="481"/>
      <c r="R43" s="183">
        <v>197.7</v>
      </c>
      <c r="S43" s="479"/>
      <c r="T43" s="480"/>
      <c r="U43" s="481"/>
      <c r="V43" s="183">
        <v>197.4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45251</v>
      </c>
      <c r="G45" s="470"/>
      <c r="H45" s="470"/>
      <c r="I45" s="471"/>
      <c r="J45" s="469">
        <v>45252</v>
      </c>
      <c r="K45" s="470"/>
      <c r="L45" s="470"/>
      <c r="M45" s="471"/>
      <c r="N45" s="469">
        <v>45253</v>
      </c>
      <c r="O45" s="470"/>
      <c r="P45" s="470"/>
      <c r="Q45" s="471"/>
      <c r="R45" s="469">
        <v>45255</v>
      </c>
      <c r="S45" s="470"/>
      <c r="T45" s="470"/>
      <c r="U45" s="471"/>
      <c r="V45" s="469">
        <v>45256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24.8</v>
      </c>
      <c r="G47" s="478">
        <v>28.4</v>
      </c>
      <c r="H47" s="457">
        <v>3.5999999999999979</v>
      </c>
      <c r="I47" s="459" t="s">
        <v>150</v>
      </c>
      <c r="J47" s="178">
        <v>24.8</v>
      </c>
      <c r="K47" s="478">
        <v>28.4</v>
      </c>
      <c r="L47" s="457">
        <v>3.5999999999999979</v>
      </c>
      <c r="M47" s="459" t="s">
        <v>150</v>
      </c>
      <c r="N47" s="178">
        <v>26.2</v>
      </c>
      <c r="O47" s="478">
        <v>28.4</v>
      </c>
      <c r="P47" s="457">
        <v>2.1999999999999993</v>
      </c>
      <c r="Q47" s="459" t="s">
        <v>150</v>
      </c>
      <c r="R47" s="178">
        <v>26.2</v>
      </c>
      <c r="S47" s="478">
        <v>30.5</v>
      </c>
      <c r="T47" s="457">
        <v>4.3000000000000007</v>
      </c>
      <c r="U47" s="459" t="s">
        <v>150</v>
      </c>
      <c r="V47" s="178">
        <v>28.6</v>
      </c>
      <c r="W47" s="478">
        <v>32.9</v>
      </c>
      <c r="X47" s="457">
        <v>4.2999999999999972</v>
      </c>
      <c r="Y47" s="461" t="s">
        <v>150</v>
      </c>
    </row>
    <row r="48" spans="3:25" ht="16.5" thickBot="1">
      <c r="C48" s="486"/>
      <c r="D48" s="487"/>
      <c r="E48" s="489"/>
      <c r="F48" s="177">
        <v>0.7</v>
      </c>
      <c r="G48" s="479"/>
      <c r="H48" s="480"/>
      <c r="I48" s="481"/>
      <c r="J48" s="177">
        <v>0.7</v>
      </c>
      <c r="K48" s="479"/>
      <c r="L48" s="480"/>
      <c r="M48" s="481"/>
      <c r="N48" s="177">
        <v>0.69</v>
      </c>
      <c r="O48" s="479"/>
      <c r="P48" s="480"/>
      <c r="Q48" s="481"/>
      <c r="R48" s="177">
        <v>0.69</v>
      </c>
      <c r="S48" s="479"/>
      <c r="T48" s="480"/>
      <c r="U48" s="481"/>
      <c r="V48" s="177">
        <v>0.67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45251</v>
      </c>
      <c r="G50" s="470"/>
      <c r="H50" s="470"/>
      <c r="I50" s="471"/>
      <c r="J50" s="469">
        <v>45252</v>
      </c>
      <c r="K50" s="470"/>
      <c r="L50" s="470"/>
      <c r="M50" s="471"/>
      <c r="N50" s="469">
        <v>45253</v>
      </c>
      <c r="O50" s="470"/>
      <c r="P50" s="470"/>
      <c r="Q50" s="471"/>
      <c r="R50" s="469">
        <v>45255</v>
      </c>
      <c r="S50" s="470"/>
      <c r="T50" s="470"/>
      <c r="U50" s="471"/>
      <c r="V50" s="469">
        <v>45256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21.8</v>
      </c>
      <c r="H53" s="223" t="s">
        <v>81</v>
      </c>
      <c r="I53" s="222" t="s">
        <v>201</v>
      </c>
      <c r="J53" s="225">
        <v>0</v>
      </c>
      <c r="K53" s="224">
        <v>20.100000000000001</v>
      </c>
      <c r="L53" s="223" t="s">
        <v>81</v>
      </c>
      <c r="M53" s="222" t="s">
        <v>201</v>
      </c>
      <c r="N53" s="225">
        <v>0</v>
      </c>
      <c r="O53" s="224">
        <v>20</v>
      </c>
      <c r="P53" s="223" t="s">
        <v>81</v>
      </c>
      <c r="Q53" s="222" t="s">
        <v>201</v>
      </c>
      <c r="R53" s="225">
        <v>0</v>
      </c>
      <c r="S53" s="224">
        <v>21.8</v>
      </c>
      <c r="T53" s="223" t="s">
        <v>81</v>
      </c>
      <c r="U53" s="222" t="s">
        <v>201</v>
      </c>
      <c r="V53" s="225">
        <v>0</v>
      </c>
      <c r="W53" s="224">
        <v>21.1</v>
      </c>
      <c r="X53" s="223" t="s">
        <v>81</v>
      </c>
      <c r="Y53" s="274" t="s">
        <v>201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D8E8-9AD1-475C-821D-EB2139CA6391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 t="s">
        <v>24</v>
      </c>
      <c r="O1" s="32"/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365" t="s">
        <v>42</v>
      </c>
      <c r="K2" s="366"/>
    </row>
    <row r="3" spans="2:15" ht="16.5" thickBot="1">
      <c r="B3" s="3"/>
      <c r="C3" s="372" t="s">
        <v>3</v>
      </c>
      <c r="D3" s="373"/>
      <c r="E3" s="374"/>
      <c r="F3" s="25">
        <v>45262</v>
      </c>
      <c r="G3" s="26" t="s">
        <v>48</v>
      </c>
      <c r="H3" s="25">
        <v>45270</v>
      </c>
      <c r="I3" s="26" t="s">
        <v>49</v>
      </c>
      <c r="J3" s="25">
        <v>45273</v>
      </c>
      <c r="K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96.6</v>
      </c>
      <c r="G5" s="384" t="s">
        <v>45</v>
      </c>
      <c r="H5" s="9">
        <v>93.8</v>
      </c>
      <c r="I5" s="384" t="s">
        <v>45</v>
      </c>
      <c r="J5" s="9">
        <v>107.8</v>
      </c>
      <c r="K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109.2</v>
      </c>
      <c r="G6" s="385"/>
      <c r="H6" s="10">
        <v>116.7</v>
      </c>
      <c r="I6" s="385"/>
      <c r="J6" s="10">
        <v>152.6</v>
      </c>
      <c r="K6" s="385"/>
    </row>
    <row r="7" spans="2:15" ht="16">
      <c r="B7" s="376"/>
      <c r="C7" s="379"/>
      <c r="D7" s="35" t="s">
        <v>13</v>
      </c>
      <c r="E7" s="36" t="s">
        <v>5</v>
      </c>
      <c r="F7" s="28">
        <v>295.7</v>
      </c>
      <c r="G7" s="385"/>
      <c r="H7" s="28">
        <v>298</v>
      </c>
      <c r="I7" s="385"/>
      <c r="J7" s="28">
        <v>297.60000000000002</v>
      </c>
      <c r="K7" s="385"/>
    </row>
    <row r="8" spans="2:15" ht="16">
      <c r="B8" s="376"/>
      <c r="C8" s="379"/>
      <c r="D8" s="37" t="s">
        <v>14</v>
      </c>
      <c r="E8" s="38" t="s">
        <v>6</v>
      </c>
      <c r="F8" s="29">
        <v>14.6</v>
      </c>
      <c r="G8" s="385"/>
      <c r="H8" s="29">
        <v>14.1</v>
      </c>
      <c r="I8" s="385"/>
      <c r="J8" s="29">
        <v>18.300000000000317</v>
      </c>
      <c r="K8" s="385"/>
    </row>
    <row r="9" spans="2:15" ht="16">
      <c r="B9" s="376"/>
      <c r="C9" s="379"/>
      <c r="D9" s="39" t="s">
        <v>15</v>
      </c>
      <c r="E9" s="40" t="s">
        <v>7</v>
      </c>
      <c r="F9" s="30">
        <v>14.5</v>
      </c>
      <c r="G9" s="385"/>
      <c r="H9" s="30">
        <v>16.3</v>
      </c>
      <c r="I9" s="385"/>
      <c r="J9" s="30">
        <v>16.3</v>
      </c>
      <c r="K9" s="385"/>
    </row>
    <row r="10" spans="2:15" ht="16">
      <c r="B10" s="376"/>
      <c r="C10" s="379"/>
      <c r="D10" s="41" t="s">
        <v>17</v>
      </c>
      <c r="E10" s="42" t="s">
        <v>1</v>
      </c>
      <c r="F10" s="11">
        <v>32.799999999999997</v>
      </c>
      <c r="G10" s="385"/>
      <c r="H10" s="11">
        <v>37.299999999999997</v>
      </c>
      <c r="I10" s="385"/>
      <c r="J10" s="11">
        <v>38.799999999999997</v>
      </c>
      <c r="K10" s="385"/>
    </row>
    <row r="11" spans="2:15" ht="16">
      <c r="B11" s="376"/>
      <c r="C11" s="379"/>
      <c r="D11" s="43" t="s">
        <v>16</v>
      </c>
      <c r="E11" s="44" t="s">
        <v>2</v>
      </c>
      <c r="F11" s="12">
        <v>27.3</v>
      </c>
      <c r="G11" s="385"/>
      <c r="H11" s="12">
        <v>26.7</v>
      </c>
      <c r="I11" s="385"/>
      <c r="J11" s="12">
        <v>26.5</v>
      </c>
      <c r="K11" s="385"/>
    </row>
    <row r="12" spans="2:15" ht="16">
      <c r="B12" s="376"/>
      <c r="C12" s="379"/>
      <c r="D12" s="387" t="s">
        <v>18</v>
      </c>
      <c r="E12" s="45" t="s">
        <v>26</v>
      </c>
      <c r="F12" s="13">
        <v>717.3</v>
      </c>
      <c r="G12" s="385"/>
      <c r="H12" s="13">
        <v>716.8</v>
      </c>
      <c r="I12" s="385"/>
      <c r="J12" s="13">
        <v>750.3</v>
      </c>
      <c r="K12" s="385"/>
    </row>
    <row r="13" spans="2:15" ht="16">
      <c r="B13" s="376"/>
      <c r="C13" s="379"/>
      <c r="D13" s="388"/>
      <c r="E13" s="45" t="s">
        <v>27</v>
      </c>
      <c r="F13" s="13">
        <v>5.2</v>
      </c>
      <c r="G13" s="385"/>
      <c r="H13" s="13">
        <v>2.4</v>
      </c>
      <c r="I13" s="385"/>
      <c r="J13" s="13">
        <v>16.100000000000001</v>
      </c>
      <c r="K13" s="385"/>
    </row>
    <row r="14" spans="2:15" ht="16">
      <c r="B14" s="376"/>
      <c r="C14" s="379"/>
      <c r="D14" s="46" t="s">
        <v>19</v>
      </c>
      <c r="E14" s="47" t="s">
        <v>4</v>
      </c>
      <c r="F14" s="14">
        <v>156.1</v>
      </c>
      <c r="G14" s="385"/>
      <c r="H14" s="14">
        <v>175.2</v>
      </c>
      <c r="I14" s="385"/>
      <c r="J14" s="14">
        <v>58.1</v>
      </c>
      <c r="K14" s="385"/>
    </row>
    <row r="15" spans="2:15" ht="16.5" thickBot="1">
      <c r="B15" s="376"/>
      <c r="C15" s="380"/>
      <c r="D15" s="389" t="s">
        <v>28</v>
      </c>
      <c r="E15" s="390"/>
      <c r="F15" s="15">
        <v>1469.3</v>
      </c>
      <c r="G15" s="385"/>
      <c r="H15" s="15">
        <v>1497.3</v>
      </c>
      <c r="I15" s="385"/>
      <c r="J15" s="15">
        <v>1482.4</v>
      </c>
      <c r="K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896.6</v>
      </c>
      <c r="G16" s="385"/>
      <c r="H16" s="8">
        <v>755</v>
      </c>
      <c r="I16" s="385"/>
      <c r="J16" s="8">
        <v>905</v>
      </c>
      <c r="K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</row>
    <row r="18" spans="2:15" ht="16.5" thickBot="1">
      <c r="B18" s="376"/>
      <c r="C18" s="392"/>
      <c r="D18" s="395"/>
      <c r="E18" s="51" t="s">
        <v>31</v>
      </c>
      <c r="F18" s="17">
        <v>-2.5</v>
      </c>
      <c r="G18" s="385"/>
      <c r="H18" s="17">
        <v>-2.5</v>
      </c>
      <c r="I18" s="385"/>
      <c r="J18" s="17">
        <v>-2.5</v>
      </c>
      <c r="K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-209</v>
      </c>
      <c r="G19" s="385"/>
      <c r="H19" s="18">
        <v>-211</v>
      </c>
      <c r="I19" s="385"/>
      <c r="J19" s="18">
        <v>-252.3</v>
      </c>
      <c r="K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</row>
    <row r="21" spans="2:15" ht="16.5" thickBot="1">
      <c r="B21" s="377"/>
      <c r="C21" s="393"/>
      <c r="D21" s="398" t="s">
        <v>34</v>
      </c>
      <c r="E21" s="399"/>
      <c r="F21" s="27">
        <v>1335.2</v>
      </c>
      <c r="G21" s="386"/>
      <c r="H21" s="27">
        <v>1195.5999999999999</v>
      </c>
      <c r="I21" s="386"/>
      <c r="J21" s="27">
        <v>1386.8999999999999</v>
      </c>
      <c r="K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1469.3</v>
      </c>
      <c r="G23" s="400"/>
      <c r="H23" s="20">
        <v>1497.3</v>
      </c>
      <c r="I23" s="400"/>
      <c r="J23" s="20">
        <v>1482.4</v>
      </c>
      <c r="K23" s="400"/>
    </row>
    <row r="24" spans="2:15" ht="16">
      <c r="B24" s="409"/>
      <c r="C24" s="403" t="s">
        <v>37</v>
      </c>
      <c r="D24" s="404"/>
      <c r="E24" s="405"/>
      <c r="F24" s="21">
        <v>1335.2</v>
      </c>
      <c r="G24" s="401"/>
      <c r="H24" s="21">
        <v>1195.5999999999999</v>
      </c>
      <c r="I24" s="401"/>
      <c r="J24" s="21">
        <v>1386.8999999999999</v>
      </c>
      <c r="K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134.09999999999991</v>
      </c>
      <c r="G25" s="402"/>
      <c r="H25" s="67">
        <v>301.70000000000005</v>
      </c>
      <c r="I25" s="402"/>
      <c r="J25" s="67">
        <v>95.500000000000227</v>
      </c>
      <c r="K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3">
    <mergeCell ref="K23:K25"/>
    <mergeCell ref="D12:D13"/>
    <mergeCell ref="D15:E15"/>
    <mergeCell ref="C16:C21"/>
    <mergeCell ref="D17:D18"/>
    <mergeCell ref="D19:D20"/>
    <mergeCell ref="D21:E21"/>
    <mergeCell ref="K5:K21"/>
    <mergeCell ref="C24:E24"/>
    <mergeCell ref="D25:E25"/>
    <mergeCell ref="C23:E23"/>
    <mergeCell ref="G23:G25"/>
    <mergeCell ref="B5:B21"/>
    <mergeCell ref="C5:C15"/>
    <mergeCell ref="G5:G21"/>
    <mergeCell ref="I5:I21"/>
    <mergeCell ref="I23:I25"/>
    <mergeCell ref="B23:B25"/>
    <mergeCell ref="C2:E2"/>
    <mergeCell ref="F2:G2"/>
    <mergeCell ref="H2:I2"/>
    <mergeCell ref="J2:K2"/>
    <mergeCell ref="C3:E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日別の需給状況・再エネ出力抑制の必要性（2023年12月）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4550-3013-4998-83F3-FE8846457531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0" t="s">
        <v>143</v>
      </c>
      <c r="Y2" s="220"/>
    </row>
    <row r="3" spans="3:25" ht="16.5" thickBot="1">
      <c r="C3" s="514" t="s">
        <v>142</v>
      </c>
      <c r="D3" s="430"/>
      <c r="E3" s="431"/>
      <c r="F3" s="515">
        <v>45262</v>
      </c>
      <c r="G3" s="516"/>
      <c r="H3" s="516"/>
      <c r="I3" s="517"/>
      <c r="J3" s="515">
        <v>45270</v>
      </c>
      <c r="K3" s="516"/>
      <c r="L3" s="516"/>
      <c r="M3" s="517"/>
      <c r="N3" s="515">
        <v>45273</v>
      </c>
      <c r="O3" s="516"/>
      <c r="P3" s="516"/>
      <c r="Q3" s="517"/>
      <c r="U3" s="1"/>
      <c r="Y3" s="1"/>
    </row>
    <row r="4" spans="3:25" ht="16">
      <c r="C4" s="518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G5-F5</f>
        <v>0</v>
      </c>
      <c r="I5" s="219"/>
      <c r="J5" s="166">
        <v>32.700000000000003</v>
      </c>
      <c r="K5" s="165">
        <v>32.700000000000003</v>
      </c>
      <c r="L5" s="164">
        <f>K5-J5</f>
        <v>0</v>
      </c>
      <c r="M5" s="219"/>
      <c r="N5" s="166">
        <v>32.700000000000003</v>
      </c>
      <c r="O5" s="165">
        <v>32.700000000000003</v>
      </c>
      <c r="P5" s="164">
        <f>O5-N5</f>
        <v>0</v>
      </c>
      <c r="Q5" s="219"/>
      <c r="U5" s="1"/>
      <c r="Y5" s="1"/>
    </row>
    <row r="6" spans="3:25" ht="16">
      <c r="C6" s="519"/>
      <c r="D6" s="426"/>
      <c r="E6" s="211" t="s">
        <v>136</v>
      </c>
      <c r="F6" s="166">
        <v>8.8000000000000007</v>
      </c>
      <c r="G6" s="165">
        <v>8.8000000000000007</v>
      </c>
      <c r="H6" s="164">
        <f t="shared" ref="H6:H8" si="0">G6-F6</f>
        <v>0</v>
      </c>
      <c r="I6" s="219"/>
      <c r="J6" s="166">
        <v>8.8000000000000007</v>
      </c>
      <c r="K6" s="165">
        <v>8.8000000000000007</v>
      </c>
      <c r="L6" s="164">
        <f t="shared" ref="L6:L8" si="1">K6-J6</f>
        <v>0</v>
      </c>
      <c r="M6" s="219"/>
      <c r="N6" s="166">
        <v>8.8000000000000007</v>
      </c>
      <c r="O6" s="165">
        <v>8.8000000000000007</v>
      </c>
      <c r="P6" s="164">
        <f t="shared" ref="P6:P8" si="2">O6-N6</f>
        <v>0</v>
      </c>
      <c r="Q6" s="219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11</v>
      </c>
      <c r="O7" s="165">
        <v>11</v>
      </c>
      <c r="P7" s="164">
        <f t="shared" si="2"/>
        <v>0</v>
      </c>
      <c r="Q7" s="219"/>
      <c r="U7" s="1"/>
      <c r="Y7" s="1"/>
    </row>
    <row r="8" spans="3:25" ht="16">
      <c r="C8" s="520"/>
      <c r="D8" s="426"/>
      <c r="E8" s="218" t="s">
        <v>133</v>
      </c>
      <c r="F8" s="217">
        <v>55.1</v>
      </c>
      <c r="G8" s="216">
        <v>55.1</v>
      </c>
      <c r="H8" s="215">
        <f t="shared" si="0"/>
        <v>0</v>
      </c>
      <c r="I8" s="214"/>
      <c r="J8" s="217">
        <v>52.300000000000004</v>
      </c>
      <c r="K8" s="216">
        <v>52.300000000000004</v>
      </c>
      <c r="L8" s="215">
        <f t="shared" si="1"/>
        <v>0</v>
      </c>
      <c r="M8" s="214"/>
      <c r="N8" s="217">
        <v>55.300000000000004</v>
      </c>
      <c r="O8" s="216">
        <v>55.300000000000004</v>
      </c>
      <c r="P8" s="215">
        <f t="shared" si="2"/>
        <v>0</v>
      </c>
      <c r="Q8" s="214"/>
      <c r="U8" s="1"/>
      <c r="Y8" s="1"/>
    </row>
    <row r="9" spans="3:25" ht="16.5" thickBot="1">
      <c r="C9" s="521"/>
      <c r="D9" s="427" t="s">
        <v>101</v>
      </c>
      <c r="E9" s="428"/>
      <c r="F9" s="188">
        <f>SUM(F5:F8)</f>
        <v>96.6</v>
      </c>
      <c r="G9" s="187">
        <f t="shared" ref="G9:H9" si="3">SUM(G5:G8)</f>
        <v>96.6</v>
      </c>
      <c r="H9" s="187">
        <f t="shared" si="3"/>
        <v>0</v>
      </c>
      <c r="I9" s="213" t="s">
        <v>81</v>
      </c>
      <c r="J9" s="188">
        <f>SUM(J5:J8)</f>
        <v>93.800000000000011</v>
      </c>
      <c r="K9" s="187">
        <f t="shared" ref="K9:L9" si="4">SUM(K5:K8)</f>
        <v>93.800000000000011</v>
      </c>
      <c r="L9" s="187">
        <f t="shared" si="4"/>
        <v>0</v>
      </c>
      <c r="M9" s="213" t="s">
        <v>81</v>
      </c>
      <c r="N9" s="188">
        <f>SUM(N5:N8)</f>
        <v>107.80000000000001</v>
      </c>
      <c r="O9" s="187">
        <f t="shared" ref="O9:P9" si="5">SUM(O5:O8)</f>
        <v>107.80000000000001</v>
      </c>
      <c r="P9" s="187">
        <f t="shared" si="5"/>
        <v>0</v>
      </c>
      <c r="Q9" s="213" t="s">
        <v>81</v>
      </c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3"/>
      <c r="U10" s="1"/>
      <c r="Y10" s="1"/>
    </row>
    <row r="11" spans="3:25" ht="16.5" thickBot="1">
      <c r="C11" s="514" t="s">
        <v>132</v>
      </c>
      <c r="D11" s="430"/>
      <c r="E11" s="431"/>
      <c r="F11" s="432">
        <v>45262</v>
      </c>
      <c r="G11" s="433"/>
      <c r="H11" s="433"/>
      <c r="I11" s="434"/>
      <c r="J11" s="432">
        <v>45270</v>
      </c>
      <c r="K11" s="433"/>
      <c r="L11" s="433"/>
      <c r="M11" s="434"/>
      <c r="N11" s="432">
        <v>45273</v>
      </c>
      <c r="O11" s="433"/>
      <c r="P11" s="433"/>
      <c r="Q11" s="434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 t="shared" ref="H13:H20" si="6">G13-F13</f>
        <v>0</v>
      </c>
      <c r="I13" s="189"/>
      <c r="J13" s="166">
        <v>-26.1</v>
      </c>
      <c r="K13" s="165">
        <v>-26.1</v>
      </c>
      <c r="L13" s="164">
        <f t="shared" ref="L13:L20" si="7">K13-J13</f>
        <v>0</v>
      </c>
      <c r="M13" s="189"/>
      <c r="N13" s="166">
        <v>-26.1</v>
      </c>
      <c r="O13" s="165">
        <v>-26.1</v>
      </c>
      <c r="P13" s="164">
        <f t="shared" ref="P13:P20" si="8">O13-N13</f>
        <v>0</v>
      </c>
      <c r="Q13" s="189"/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f t="shared" si="6"/>
        <v>26.1</v>
      </c>
      <c r="I14" s="189" t="s">
        <v>149</v>
      </c>
      <c r="J14" s="166">
        <v>-26.1</v>
      </c>
      <c r="K14" s="165">
        <v>0</v>
      </c>
      <c r="L14" s="164">
        <f t="shared" si="7"/>
        <v>26.1</v>
      </c>
      <c r="M14" s="189" t="s">
        <v>149</v>
      </c>
      <c r="N14" s="166">
        <v>-26.1</v>
      </c>
      <c r="O14" s="165">
        <v>0</v>
      </c>
      <c r="P14" s="164">
        <f t="shared" si="8"/>
        <v>26.1</v>
      </c>
      <c r="Q14" s="189" t="s">
        <v>149</v>
      </c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6"/>
        <v>0</v>
      </c>
      <c r="I15" s="189"/>
      <c r="J15" s="166">
        <v>-32.5</v>
      </c>
      <c r="K15" s="165">
        <v>-32.5</v>
      </c>
      <c r="L15" s="164">
        <f t="shared" si="7"/>
        <v>0</v>
      </c>
      <c r="M15" s="189"/>
      <c r="N15" s="166">
        <v>-32.5</v>
      </c>
      <c r="O15" s="165">
        <v>-32.5</v>
      </c>
      <c r="P15" s="164">
        <f t="shared" si="8"/>
        <v>0</v>
      </c>
      <c r="Q15" s="189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f t="shared" si="6"/>
        <v>0</v>
      </c>
      <c r="I16" s="189"/>
      <c r="J16" s="166">
        <v>-32.5</v>
      </c>
      <c r="K16" s="165">
        <v>-32.5</v>
      </c>
      <c r="L16" s="164">
        <f t="shared" si="7"/>
        <v>0</v>
      </c>
      <c r="M16" s="189"/>
      <c r="N16" s="166">
        <v>-32.5</v>
      </c>
      <c r="O16" s="165">
        <v>-32.5</v>
      </c>
      <c r="P16" s="164">
        <f t="shared" si="8"/>
        <v>0</v>
      </c>
      <c r="Q16" s="189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6"/>
        <v>0</v>
      </c>
      <c r="I17" s="212"/>
      <c r="J17" s="166">
        <v>-34</v>
      </c>
      <c r="K17" s="165">
        <v>-34</v>
      </c>
      <c r="L17" s="164">
        <f t="shared" si="7"/>
        <v>0</v>
      </c>
      <c r="M17" s="212"/>
      <c r="N17" s="166">
        <v>-34</v>
      </c>
      <c r="O17" s="165">
        <v>-34</v>
      </c>
      <c r="P17" s="164">
        <f t="shared" si="8"/>
        <v>0</v>
      </c>
      <c r="Q17" s="212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f t="shared" si="6"/>
        <v>0</v>
      </c>
      <c r="I18" s="189"/>
      <c r="J18" s="166">
        <v>-34</v>
      </c>
      <c r="K18" s="165">
        <v>-34</v>
      </c>
      <c r="L18" s="164">
        <f t="shared" si="7"/>
        <v>0</v>
      </c>
      <c r="M18" s="189"/>
      <c r="N18" s="166">
        <v>-34</v>
      </c>
      <c r="O18" s="165">
        <v>-34</v>
      </c>
      <c r="P18" s="164">
        <f t="shared" si="8"/>
        <v>0</v>
      </c>
      <c r="Q18" s="189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6"/>
        <v>0</v>
      </c>
      <c r="I19" s="189"/>
      <c r="J19" s="166">
        <v>-34</v>
      </c>
      <c r="K19" s="165">
        <v>-34</v>
      </c>
      <c r="L19" s="164">
        <f t="shared" si="7"/>
        <v>0</v>
      </c>
      <c r="M19" s="189"/>
      <c r="N19" s="166">
        <v>-34</v>
      </c>
      <c r="O19" s="165">
        <v>-34</v>
      </c>
      <c r="P19" s="164">
        <f t="shared" si="8"/>
        <v>0</v>
      </c>
      <c r="Q19" s="189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f t="shared" si="6"/>
        <v>0</v>
      </c>
      <c r="I20" s="212"/>
      <c r="J20" s="166">
        <v>-34</v>
      </c>
      <c r="K20" s="165">
        <v>-34</v>
      </c>
      <c r="L20" s="164">
        <f t="shared" si="7"/>
        <v>0</v>
      </c>
      <c r="M20" s="212"/>
      <c r="N20" s="166">
        <v>-34</v>
      </c>
      <c r="O20" s="165">
        <v>-34</v>
      </c>
      <c r="P20" s="164">
        <f t="shared" si="8"/>
        <v>0</v>
      </c>
      <c r="Q20" s="212"/>
      <c r="U20" s="1"/>
      <c r="Y20" s="1"/>
    </row>
    <row r="21" spans="3:25" ht="16.5" thickBot="1">
      <c r="C21" s="524"/>
      <c r="D21" s="427" t="s">
        <v>101</v>
      </c>
      <c r="E21" s="428"/>
      <c r="F21" s="188">
        <f>SUM(F13:F20)</f>
        <v>-253.2</v>
      </c>
      <c r="G21" s="187">
        <f t="shared" ref="G21:H21" si="9">SUM(G13:G20)</f>
        <v>-227.1</v>
      </c>
      <c r="H21" s="187">
        <f t="shared" si="9"/>
        <v>26.1</v>
      </c>
      <c r="I21" s="186" t="s">
        <v>81</v>
      </c>
      <c r="J21" s="188">
        <f>SUM(J13:J20)</f>
        <v>-253.2</v>
      </c>
      <c r="K21" s="187">
        <f t="shared" ref="K21:L21" si="10">SUM(K13:K20)</f>
        <v>-227.1</v>
      </c>
      <c r="L21" s="187">
        <f t="shared" si="10"/>
        <v>26.1</v>
      </c>
      <c r="M21" s="186" t="s">
        <v>81</v>
      </c>
      <c r="N21" s="188">
        <f>SUM(N13:N20)</f>
        <v>-253.2</v>
      </c>
      <c r="O21" s="187">
        <f t="shared" ref="O21:P21" si="11">SUM(O13:O20)</f>
        <v>-227.1</v>
      </c>
      <c r="P21" s="187">
        <f t="shared" si="11"/>
        <v>26.1</v>
      </c>
      <c r="Q21" s="186" t="s">
        <v>81</v>
      </c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3"/>
      <c r="U22" s="1"/>
      <c r="Y22" s="1"/>
    </row>
    <row r="23" spans="3:25" ht="16.5" thickBot="1">
      <c r="C23" s="514" t="s">
        <v>120</v>
      </c>
      <c r="D23" s="430"/>
      <c r="E23" s="431"/>
      <c r="F23" s="432">
        <v>45262</v>
      </c>
      <c r="G23" s="433"/>
      <c r="H23" s="433"/>
      <c r="I23" s="434"/>
      <c r="J23" s="432">
        <v>45270</v>
      </c>
      <c r="K23" s="433"/>
      <c r="L23" s="433"/>
      <c r="M23" s="434"/>
      <c r="N23" s="432">
        <v>45273</v>
      </c>
      <c r="O23" s="433"/>
      <c r="P23" s="433"/>
      <c r="Q23" s="434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-2.5</v>
      </c>
      <c r="H25" s="207">
        <f t="shared" ref="H25" si="12">G25-F25</f>
        <v>2.5</v>
      </c>
      <c r="I25" s="206" t="s">
        <v>149</v>
      </c>
      <c r="J25" s="209">
        <v>-5</v>
      </c>
      <c r="K25" s="208">
        <v>-2.5</v>
      </c>
      <c r="L25" s="207">
        <f t="shared" ref="L25" si="13">K25-J25</f>
        <v>2.5</v>
      </c>
      <c r="M25" s="206" t="s">
        <v>149</v>
      </c>
      <c r="N25" s="209">
        <v>-5</v>
      </c>
      <c r="O25" s="208">
        <v>-2.5</v>
      </c>
      <c r="P25" s="207">
        <f t="shared" ref="P25" si="14">O25-N25</f>
        <v>2.5</v>
      </c>
      <c r="Q25" s="206" t="s">
        <v>149</v>
      </c>
      <c r="U25" s="1"/>
      <c r="Y25" s="1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3"/>
      <c r="U26" s="1"/>
      <c r="Y26" s="1"/>
    </row>
    <row r="27" spans="3:25" ht="16.5" thickBot="1">
      <c r="C27" s="514" t="s">
        <v>116</v>
      </c>
      <c r="D27" s="430"/>
      <c r="E27" s="431"/>
      <c r="F27" s="432">
        <v>45262</v>
      </c>
      <c r="G27" s="433"/>
      <c r="H27" s="433"/>
      <c r="I27" s="434"/>
      <c r="J27" s="432">
        <v>45270</v>
      </c>
      <c r="K27" s="433"/>
      <c r="L27" s="433"/>
      <c r="M27" s="434"/>
      <c r="N27" s="432">
        <v>45273</v>
      </c>
      <c r="O27" s="433"/>
      <c r="P27" s="433"/>
      <c r="Q27" s="434"/>
      <c r="U27" s="1"/>
      <c r="Y27" s="1"/>
    </row>
    <row r="28" spans="3:25" ht="27" customHeight="1">
      <c r="C28" s="528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43.8</v>
      </c>
      <c r="G29" s="455">
        <v>43.8</v>
      </c>
      <c r="H29" s="457">
        <f t="shared" ref="H29:H34" si="15">G29-F29</f>
        <v>0</v>
      </c>
      <c r="I29" s="459"/>
      <c r="J29" s="200">
        <v>43.8</v>
      </c>
      <c r="K29" s="455">
        <v>43.8</v>
      </c>
      <c r="L29" s="457">
        <f t="shared" ref="L29:L34" si="16">K29-J29</f>
        <v>0</v>
      </c>
      <c r="M29" s="459"/>
      <c r="N29" s="200">
        <v>43.8</v>
      </c>
      <c r="O29" s="455">
        <v>43.8</v>
      </c>
      <c r="P29" s="457">
        <f t="shared" ref="P29:P34" si="17">O29-N29</f>
        <v>0</v>
      </c>
      <c r="Q29" s="459"/>
      <c r="U29" s="1"/>
      <c r="Y29" s="1"/>
    </row>
    <row r="30" spans="3:25" ht="16">
      <c r="C30" s="528"/>
      <c r="D30" s="443"/>
      <c r="E30" s="454"/>
      <c r="F30" s="202">
        <v>0.47</v>
      </c>
      <c r="G30" s="456">
        <v>0</v>
      </c>
      <c r="H30" s="458">
        <f t="shared" si="15"/>
        <v>-0.47</v>
      </c>
      <c r="I30" s="460"/>
      <c r="J30" s="202">
        <v>0.47</v>
      </c>
      <c r="K30" s="456">
        <v>0</v>
      </c>
      <c r="L30" s="458">
        <f t="shared" si="16"/>
        <v>-0.47</v>
      </c>
      <c r="M30" s="460"/>
      <c r="N30" s="202">
        <v>0.47</v>
      </c>
      <c r="O30" s="456">
        <v>0</v>
      </c>
      <c r="P30" s="458">
        <f t="shared" si="17"/>
        <v>-0.47</v>
      </c>
      <c r="Q30" s="460"/>
      <c r="U30" s="1"/>
      <c r="Y30" s="1"/>
    </row>
    <row r="31" spans="3:25" ht="16">
      <c r="C31" s="528"/>
      <c r="D31" s="443"/>
      <c r="E31" s="453" t="s">
        <v>109</v>
      </c>
      <c r="F31" s="200">
        <v>54.4</v>
      </c>
      <c r="G31" s="455">
        <v>27.2</v>
      </c>
      <c r="H31" s="457">
        <f t="shared" si="15"/>
        <v>-27.2</v>
      </c>
      <c r="I31" s="580" t="s">
        <v>150</v>
      </c>
      <c r="J31" s="200">
        <v>54.4</v>
      </c>
      <c r="K31" s="455">
        <v>27.2</v>
      </c>
      <c r="L31" s="457">
        <f t="shared" si="16"/>
        <v>-27.2</v>
      </c>
      <c r="M31" s="580" t="s">
        <v>150</v>
      </c>
      <c r="N31" s="200">
        <v>54.4</v>
      </c>
      <c r="O31" s="455">
        <v>36.9</v>
      </c>
      <c r="P31" s="457">
        <f t="shared" si="17"/>
        <v>-17.5</v>
      </c>
      <c r="Q31" s="580" t="s">
        <v>207</v>
      </c>
      <c r="U31" s="1"/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>
        <f t="shared" si="15"/>
        <v>-0.28999999999999998</v>
      </c>
      <c r="I32" s="460"/>
      <c r="J32" s="202">
        <v>0.28999999999999998</v>
      </c>
      <c r="K32" s="456">
        <v>0</v>
      </c>
      <c r="L32" s="458">
        <f t="shared" si="16"/>
        <v>-0.28999999999999998</v>
      </c>
      <c r="M32" s="460"/>
      <c r="N32" s="202">
        <v>0.28999999999999998</v>
      </c>
      <c r="O32" s="456">
        <v>0</v>
      </c>
      <c r="P32" s="458">
        <f t="shared" si="17"/>
        <v>-0.28999999999999998</v>
      </c>
      <c r="Q32" s="460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43.6</v>
      </c>
      <c r="G33" s="199">
        <v>37.700000000000003</v>
      </c>
      <c r="H33" s="457">
        <f t="shared" si="15"/>
        <v>-5.8999999999999986</v>
      </c>
      <c r="I33" s="459" t="s">
        <v>148</v>
      </c>
      <c r="J33" s="200">
        <v>43.6</v>
      </c>
      <c r="K33" s="199">
        <v>45.5</v>
      </c>
      <c r="L33" s="457">
        <f t="shared" si="16"/>
        <v>1.8999999999999986</v>
      </c>
      <c r="M33" s="459" t="s">
        <v>148</v>
      </c>
      <c r="N33" s="200">
        <v>49.2</v>
      </c>
      <c r="O33" s="199">
        <v>71.5</v>
      </c>
      <c r="P33" s="457">
        <f t="shared" si="17"/>
        <v>22.299999999999997</v>
      </c>
      <c r="Q33" s="459" t="s">
        <v>148</v>
      </c>
      <c r="U33" s="1"/>
      <c r="Y33" s="1"/>
    </row>
    <row r="34" spans="3:25" ht="16">
      <c r="C34" s="528"/>
      <c r="D34" s="467"/>
      <c r="E34" s="463" t="s">
        <v>104</v>
      </c>
      <c r="F34" s="198">
        <v>0.24</v>
      </c>
      <c r="G34" s="197">
        <v>0.21</v>
      </c>
      <c r="H34" s="458">
        <f t="shared" si="15"/>
        <v>-0.03</v>
      </c>
      <c r="I34" s="460"/>
      <c r="J34" s="198">
        <v>0.24</v>
      </c>
      <c r="K34" s="197">
        <v>0.26</v>
      </c>
      <c r="L34" s="458">
        <f t="shared" si="16"/>
        <v>2.0000000000000018E-2</v>
      </c>
      <c r="M34" s="460"/>
      <c r="N34" s="198">
        <v>0.26</v>
      </c>
      <c r="O34" s="197">
        <v>0.38</v>
      </c>
      <c r="P34" s="458">
        <f t="shared" si="17"/>
        <v>0.12</v>
      </c>
      <c r="Q34" s="460"/>
      <c r="U34" s="1"/>
      <c r="Y34" s="1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U35" s="1"/>
      <c r="Y35" s="1"/>
    </row>
    <row r="36" spans="3:25" ht="16">
      <c r="C36" s="528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U36" s="1"/>
      <c r="Y36" s="1"/>
    </row>
    <row r="37" spans="3:25" ht="16">
      <c r="C37" s="528"/>
      <c r="D37" s="467"/>
      <c r="E37" s="190" t="s">
        <v>103</v>
      </c>
      <c r="F37" s="166">
        <v>13</v>
      </c>
      <c r="G37" s="165">
        <v>0.5</v>
      </c>
      <c r="H37" s="164">
        <f t="shared" ref="H37" si="18">G37-F37</f>
        <v>-12.5</v>
      </c>
      <c r="I37" s="189" t="s">
        <v>147</v>
      </c>
      <c r="J37" s="166">
        <v>13</v>
      </c>
      <c r="K37" s="165">
        <v>0.2</v>
      </c>
      <c r="L37" s="164">
        <f t="shared" ref="L37" si="19">K37-J37</f>
        <v>-12.8</v>
      </c>
      <c r="M37" s="189" t="s">
        <v>147</v>
      </c>
      <c r="N37" s="166">
        <v>13</v>
      </c>
      <c r="O37" s="165">
        <v>0.4</v>
      </c>
      <c r="P37" s="164">
        <f t="shared" ref="P37" si="20">O37-N37</f>
        <v>-12.6</v>
      </c>
      <c r="Q37" s="189" t="s">
        <v>147</v>
      </c>
      <c r="U37" s="1"/>
      <c r="Y37" s="1"/>
    </row>
    <row r="38" spans="3:25" ht="16.5" thickBot="1">
      <c r="C38" s="529"/>
      <c r="D38" s="427" t="s">
        <v>101</v>
      </c>
      <c r="E38" s="428"/>
      <c r="F38" s="188">
        <f>SUM(F29,F31,F33,F37)</f>
        <v>154.79999999999998</v>
      </c>
      <c r="G38" s="187">
        <f>SUM(G29,G31,G33,G37)</f>
        <v>109.2</v>
      </c>
      <c r="H38" s="187">
        <f>SUM(H29,H31,H33,H37)</f>
        <v>-45.599999999999994</v>
      </c>
      <c r="I38" s="186"/>
      <c r="J38" s="188">
        <f>SUM(J29,J31,J33,J37)</f>
        <v>154.79999999999998</v>
      </c>
      <c r="K38" s="187">
        <f>SUM(K29,K31,K33,K37)</f>
        <v>116.7</v>
      </c>
      <c r="L38" s="187">
        <f>SUM(L29,L31,L33,L37)</f>
        <v>-38.1</v>
      </c>
      <c r="M38" s="186"/>
      <c r="N38" s="188">
        <f>SUM(N29,N31,N33,N37)</f>
        <v>160.39999999999998</v>
      </c>
      <c r="O38" s="187">
        <f>SUM(O29,O31,O33,O37)</f>
        <v>152.6</v>
      </c>
      <c r="P38" s="187">
        <f>SUM(P29,P31,P33,P37)</f>
        <v>-7.8000000000000025</v>
      </c>
      <c r="Q38" s="186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3"/>
      <c r="U39" s="1"/>
      <c r="Y39" s="1"/>
    </row>
    <row r="40" spans="3:25" ht="16.5" thickBot="1">
      <c r="C40" s="514" t="s">
        <v>100</v>
      </c>
      <c r="D40" s="430"/>
      <c r="E40" s="431"/>
      <c r="F40" s="469">
        <v>45262</v>
      </c>
      <c r="G40" s="470"/>
      <c r="H40" s="470"/>
      <c r="I40" s="471"/>
      <c r="J40" s="469">
        <v>45270</v>
      </c>
      <c r="K40" s="470"/>
      <c r="L40" s="470"/>
      <c r="M40" s="471"/>
      <c r="N40" s="469">
        <v>45273</v>
      </c>
      <c r="O40" s="470"/>
      <c r="P40" s="470"/>
      <c r="Q40" s="47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U41" s="1"/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f t="shared" ref="H42:H43" si="21">G42-F42</f>
        <v>0</v>
      </c>
      <c r="I42" s="459"/>
      <c r="J42" s="178">
        <v>0</v>
      </c>
      <c r="K42" s="478">
        <v>0</v>
      </c>
      <c r="L42" s="457">
        <f t="shared" ref="L42:L43" si="22">K42-J42</f>
        <v>0</v>
      </c>
      <c r="M42" s="459"/>
      <c r="N42" s="178">
        <v>0</v>
      </c>
      <c r="O42" s="478">
        <v>0</v>
      </c>
      <c r="P42" s="457">
        <f t="shared" ref="P42:P43" si="23">O42-N42</f>
        <v>0</v>
      </c>
      <c r="Q42" s="459"/>
      <c r="U42" s="1"/>
      <c r="Y42" s="1"/>
    </row>
    <row r="43" spans="3:25" ht="16.5" thickBot="1">
      <c r="C43" s="531"/>
      <c r="D43" s="475"/>
      <c r="E43" s="477"/>
      <c r="F43" s="183">
        <v>209</v>
      </c>
      <c r="G43" s="479"/>
      <c r="H43" s="480">
        <f t="shared" si="21"/>
        <v>-209</v>
      </c>
      <c r="I43" s="481"/>
      <c r="J43" s="183">
        <v>211</v>
      </c>
      <c r="K43" s="479"/>
      <c r="L43" s="480">
        <f t="shared" si="22"/>
        <v>-211</v>
      </c>
      <c r="M43" s="481"/>
      <c r="N43" s="183">
        <v>252.3</v>
      </c>
      <c r="O43" s="479"/>
      <c r="P43" s="480">
        <f t="shared" si="23"/>
        <v>-252.3</v>
      </c>
      <c r="Q43" s="481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3"/>
      <c r="U44" s="1"/>
      <c r="Y44" s="1"/>
    </row>
    <row r="45" spans="3:25" ht="16.5" thickBot="1">
      <c r="C45" s="514" t="s">
        <v>94</v>
      </c>
      <c r="D45" s="430"/>
      <c r="E45" s="431"/>
      <c r="F45" s="469">
        <v>45262</v>
      </c>
      <c r="G45" s="470"/>
      <c r="H45" s="470"/>
      <c r="I45" s="471"/>
      <c r="J45" s="469">
        <v>45270</v>
      </c>
      <c r="K45" s="470"/>
      <c r="L45" s="470"/>
      <c r="M45" s="471"/>
      <c r="N45" s="469">
        <v>45273</v>
      </c>
      <c r="O45" s="470"/>
      <c r="P45" s="470"/>
      <c r="Q45" s="47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U46" s="1"/>
      <c r="Y46" s="1"/>
    </row>
    <row r="47" spans="3:25" ht="16">
      <c r="C47" s="525"/>
      <c r="D47" s="483"/>
      <c r="E47" s="488" t="s">
        <v>91</v>
      </c>
      <c r="F47" s="178">
        <v>30.8</v>
      </c>
      <c r="G47" s="478">
        <v>32.799999999999997</v>
      </c>
      <c r="H47" s="457">
        <f t="shared" ref="H47:H48" si="24">G47-F47</f>
        <v>1.9999999999999964</v>
      </c>
      <c r="I47" s="459" t="s">
        <v>173</v>
      </c>
      <c r="J47" s="178">
        <v>30.8</v>
      </c>
      <c r="K47" s="478">
        <v>37.299999999999997</v>
      </c>
      <c r="L47" s="457">
        <f t="shared" ref="L47:L48" si="25">K47-J47</f>
        <v>6.4999999999999964</v>
      </c>
      <c r="M47" s="459" t="s">
        <v>173</v>
      </c>
      <c r="N47" s="178">
        <v>30.8</v>
      </c>
      <c r="O47" s="478">
        <v>38.799999999999997</v>
      </c>
      <c r="P47" s="457">
        <f t="shared" ref="P47:P48" si="26">O47-N47</f>
        <v>7.9999999999999964</v>
      </c>
      <c r="Q47" s="459" t="s">
        <v>173</v>
      </c>
      <c r="U47" s="1"/>
      <c r="Y47" s="1"/>
    </row>
    <row r="48" spans="3:25" ht="16.5" thickBot="1">
      <c r="C48" s="533"/>
      <c r="D48" s="487"/>
      <c r="E48" s="489"/>
      <c r="F48" s="177">
        <v>0.65</v>
      </c>
      <c r="G48" s="479"/>
      <c r="H48" s="480">
        <f t="shared" si="24"/>
        <v>-0.65</v>
      </c>
      <c r="I48" s="481"/>
      <c r="J48" s="177">
        <v>0.65</v>
      </c>
      <c r="K48" s="479"/>
      <c r="L48" s="480">
        <f t="shared" si="25"/>
        <v>-0.65</v>
      </c>
      <c r="M48" s="481"/>
      <c r="N48" s="177">
        <v>0.65</v>
      </c>
      <c r="O48" s="479"/>
      <c r="P48" s="480">
        <f t="shared" si="26"/>
        <v>-0.65</v>
      </c>
      <c r="Q48" s="48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3"/>
      <c r="U49" s="1"/>
      <c r="Y49" s="1"/>
    </row>
    <row r="50" spans="1:25" ht="16.5" thickBot="1">
      <c r="C50" s="514" t="s">
        <v>89</v>
      </c>
      <c r="D50" s="430"/>
      <c r="E50" s="431"/>
      <c r="F50" s="469">
        <v>45262</v>
      </c>
      <c r="G50" s="470"/>
      <c r="H50" s="470"/>
      <c r="I50" s="471"/>
      <c r="J50" s="469">
        <v>45270</v>
      </c>
      <c r="K50" s="470"/>
      <c r="L50" s="470"/>
      <c r="M50" s="471"/>
      <c r="N50" s="469">
        <v>45273</v>
      </c>
      <c r="O50" s="470"/>
      <c r="P50" s="470"/>
      <c r="Q50" s="47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160">
        <v>27.3</v>
      </c>
      <c r="H53" s="159" t="s">
        <v>81</v>
      </c>
      <c r="I53" s="158" t="s">
        <v>201</v>
      </c>
      <c r="J53" s="161">
        <v>0</v>
      </c>
      <c r="K53" s="160">
        <v>26.7</v>
      </c>
      <c r="L53" s="159" t="s">
        <v>81</v>
      </c>
      <c r="M53" s="158" t="s">
        <v>201</v>
      </c>
      <c r="N53" s="161">
        <v>0</v>
      </c>
      <c r="O53" s="160">
        <v>26.5</v>
      </c>
      <c r="P53" s="159" t="s">
        <v>81</v>
      </c>
      <c r="Q53" s="158" t="s">
        <v>201</v>
      </c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93">
    <mergeCell ref="C51:D53"/>
    <mergeCell ref="C50:E50"/>
    <mergeCell ref="F50:I50"/>
    <mergeCell ref="J50:M50"/>
    <mergeCell ref="N50:Q50"/>
    <mergeCell ref="K47:K48"/>
    <mergeCell ref="C45:E45"/>
    <mergeCell ref="F45:I45"/>
    <mergeCell ref="J45:M45"/>
    <mergeCell ref="N45:Q45"/>
    <mergeCell ref="C46:D48"/>
    <mergeCell ref="E47:E48"/>
    <mergeCell ref="G47:G48"/>
    <mergeCell ref="H47:H48"/>
    <mergeCell ref="I47:I48"/>
    <mergeCell ref="L47:L48"/>
    <mergeCell ref="M47:M48"/>
    <mergeCell ref="O47:O48"/>
    <mergeCell ref="P47:P48"/>
    <mergeCell ref="Q47:Q48"/>
    <mergeCell ref="P42:P43"/>
    <mergeCell ref="Q42:Q43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D38:E38"/>
    <mergeCell ref="C40:E40"/>
    <mergeCell ref="F40:I40"/>
    <mergeCell ref="J40:M40"/>
    <mergeCell ref="N40:Q40"/>
    <mergeCell ref="L31:L32"/>
    <mergeCell ref="Q33:Q34"/>
    <mergeCell ref="E34:E36"/>
    <mergeCell ref="D33:D37"/>
    <mergeCell ref="H33:H34"/>
    <mergeCell ref="I33:I34"/>
    <mergeCell ref="L33:L34"/>
    <mergeCell ref="M33:M34"/>
    <mergeCell ref="P33:P34"/>
    <mergeCell ref="E31:E32"/>
    <mergeCell ref="G31:G32"/>
    <mergeCell ref="H31:H32"/>
    <mergeCell ref="I31:I32"/>
    <mergeCell ref="K31:K32"/>
    <mergeCell ref="M29:M30"/>
    <mergeCell ref="O29:O30"/>
    <mergeCell ref="P29:P30"/>
    <mergeCell ref="Q29:Q30"/>
    <mergeCell ref="C28:C38"/>
    <mergeCell ref="D29:D32"/>
    <mergeCell ref="E29:E30"/>
    <mergeCell ref="G29:G30"/>
    <mergeCell ref="H29:H30"/>
    <mergeCell ref="I29:I30"/>
    <mergeCell ref="K29:K30"/>
    <mergeCell ref="L29:L30"/>
    <mergeCell ref="M31:M32"/>
    <mergeCell ref="O31:O32"/>
    <mergeCell ref="P31:P32"/>
    <mergeCell ref="Q31:Q32"/>
    <mergeCell ref="N27:Q27"/>
    <mergeCell ref="C23:E23"/>
    <mergeCell ref="F23:I23"/>
    <mergeCell ref="J23:M23"/>
    <mergeCell ref="N23:Q23"/>
    <mergeCell ref="C24:D25"/>
    <mergeCell ref="E24:E25"/>
    <mergeCell ref="C27:E27"/>
    <mergeCell ref="F27:I27"/>
    <mergeCell ref="J27:M27"/>
    <mergeCell ref="C11:E11"/>
    <mergeCell ref="J11:M11"/>
    <mergeCell ref="N11:Q11"/>
    <mergeCell ref="C12:C21"/>
    <mergeCell ref="D13:D14"/>
    <mergeCell ref="D15:D16"/>
    <mergeCell ref="D17:D20"/>
    <mergeCell ref="D21:E21"/>
    <mergeCell ref="F11:I11"/>
    <mergeCell ref="C3:E3"/>
    <mergeCell ref="F3:I3"/>
    <mergeCell ref="J3:M3"/>
    <mergeCell ref="N3:Q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&amp;"メイリオ,ボールド"&amp;22日別の優先給電ルールに基づく抑制、調整状況（2023年12月）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41E4-8AAB-4DCD-9D67-F4EF1CBB0115}">
  <dimension ref="B1:O69"/>
  <sheetViews>
    <sheetView showGridLines="0" view="pageBreakPreview" zoomScale="85" zoomScaleNormal="70" zoomScaleSheetLayoutView="85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3" ht="15.5" thickBot="1">
      <c r="I1" s="32"/>
      <c r="M1" s="32" t="s">
        <v>24</v>
      </c>
    </row>
    <row r="2" spans="2:13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365" t="s">
        <v>42</v>
      </c>
      <c r="K2" s="366"/>
      <c r="L2" s="365" t="s">
        <v>42</v>
      </c>
      <c r="M2" s="366"/>
    </row>
    <row r="3" spans="2:13" ht="16.5" thickBot="1">
      <c r="B3" s="3"/>
      <c r="C3" s="372" t="s">
        <v>3</v>
      </c>
      <c r="D3" s="373"/>
      <c r="E3" s="374"/>
      <c r="F3" s="25">
        <v>45292</v>
      </c>
      <c r="G3" s="26" t="s">
        <v>48</v>
      </c>
      <c r="H3" s="25">
        <v>45293</v>
      </c>
      <c r="I3" s="26" t="s">
        <v>49</v>
      </c>
      <c r="J3" s="25">
        <v>45304</v>
      </c>
      <c r="K3" s="26" t="s">
        <v>49</v>
      </c>
      <c r="L3" s="25">
        <v>45305</v>
      </c>
      <c r="M3" s="26" t="s">
        <v>49</v>
      </c>
    </row>
    <row r="4" spans="2:13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</row>
    <row r="5" spans="2:13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80.8</v>
      </c>
      <c r="G5" s="384" t="s">
        <v>45</v>
      </c>
      <c r="H5" s="9">
        <v>81.599999999999994</v>
      </c>
      <c r="I5" s="384" t="s">
        <v>45</v>
      </c>
      <c r="J5" s="9">
        <v>106.4</v>
      </c>
      <c r="K5" s="384" t="s">
        <v>45</v>
      </c>
      <c r="L5" s="9">
        <v>104.5</v>
      </c>
      <c r="M5" s="384" t="s">
        <v>45</v>
      </c>
    </row>
    <row r="6" spans="2:13" ht="16">
      <c r="B6" s="376"/>
      <c r="C6" s="379"/>
      <c r="D6" s="34" t="s">
        <v>12</v>
      </c>
      <c r="E6" s="319" t="s">
        <v>196</v>
      </c>
      <c r="F6" s="10">
        <v>101.2</v>
      </c>
      <c r="G6" s="385"/>
      <c r="H6" s="10">
        <v>101.1</v>
      </c>
      <c r="I6" s="385"/>
      <c r="J6" s="10">
        <v>119.6</v>
      </c>
      <c r="K6" s="385"/>
      <c r="L6" s="10">
        <v>117.2</v>
      </c>
      <c r="M6" s="385"/>
    </row>
    <row r="7" spans="2:13" ht="16">
      <c r="B7" s="376"/>
      <c r="C7" s="379"/>
      <c r="D7" s="35" t="s">
        <v>13</v>
      </c>
      <c r="E7" s="36" t="s">
        <v>5</v>
      </c>
      <c r="F7" s="28">
        <v>298.2</v>
      </c>
      <c r="G7" s="385"/>
      <c r="H7" s="28">
        <v>298.10000000000002</v>
      </c>
      <c r="I7" s="385"/>
      <c r="J7" s="28">
        <v>298.10000000000002</v>
      </c>
      <c r="K7" s="385"/>
      <c r="L7" s="28">
        <v>298</v>
      </c>
      <c r="M7" s="385"/>
    </row>
    <row r="8" spans="2:13" ht="16">
      <c r="B8" s="376"/>
      <c r="C8" s="379"/>
      <c r="D8" s="37" t="s">
        <v>14</v>
      </c>
      <c r="E8" s="38" t="s">
        <v>6</v>
      </c>
      <c r="F8" s="29">
        <v>17.399999999999999</v>
      </c>
      <c r="G8" s="385"/>
      <c r="H8" s="29">
        <v>15.49999999999992</v>
      </c>
      <c r="I8" s="385"/>
      <c r="J8" s="29">
        <v>16.199999999999896</v>
      </c>
      <c r="K8" s="385"/>
      <c r="L8" s="29">
        <v>14.2</v>
      </c>
      <c r="M8" s="385"/>
    </row>
    <row r="9" spans="2:13" ht="16">
      <c r="B9" s="376"/>
      <c r="C9" s="379"/>
      <c r="D9" s="39" t="s">
        <v>15</v>
      </c>
      <c r="E9" s="40" t="s">
        <v>7</v>
      </c>
      <c r="F9" s="30">
        <v>16.2</v>
      </c>
      <c r="G9" s="385"/>
      <c r="H9" s="30">
        <v>16.2</v>
      </c>
      <c r="I9" s="385"/>
      <c r="J9" s="30">
        <v>16.3</v>
      </c>
      <c r="K9" s="385"/>
      <c r="L9" s="30">
        <v>16.3</v>
      </c>
      <c r="M9" s="385"/>
    </row>
    <row r="10" spans="2:13" ht="16">
      <c r="B10" s="376"/>
      <c r="C10" s="379"/>
      <c r="D10" s="41" t="s">
        <v>17</v>
      </c>
      <c r="E10" s="42" t="s">
        <v>1</v>
      </c>
      <c r="F10" s="11">
        <v>35.1</v>
      </c>
      <c r="G10" s="385"/>
      <c r="H10" s="11">
        <v>35.1</v>
      </c>
      <c r="I10" s="385"/>
      <c r="J10" s="11">
        <v>35</v>
      </c>
      <c r="K10" s="385"/>
      <c r="L10" s="11">
        <v>35</v>
      </c>
      <c r="M10" s="385"/>
    </row>
    <row r="11" spans="2:13" ht="16">
      <c r="B11" s="376"/>
      <c r="C11" s="379"/>
      <c r="D11" s="43" t="s">
        <v>16</v>
      </c>
      <c r="E11" s="44" t="s">
        <v>2</v>
      </c>
      <c r="F11" s="12">
        <v>26.3</v>
      </c>
      <c r="G11" s="385"/>
      <c r="H11" s="12">
        <v>26.5</v>
      </c>
      <c r="I11" s="385"/>
      <c r="J11" s="12">
        <v>25.6</v>
      </c>
      <c r="K11" s="385"/>
      <c r="L11" s="12">
        <v>25.3</v>
      </c>
      <c r="M11" s="385"/>
    </row>
    <row r="12" spans="2:13" ht="16">
      <c r="B12" s="376"/>
      <c r="C12" s="379"/>
      <c r="D12" s="387" t="s">
        <v>18</v>
      </c>
      <c r="E12" s="45" t="s">
        <v>26</v>
      </c>
      <c r="F12" s="13">
        <v>631.29999999999995</v>
      </c>
      <c r="G12" s="385"/>
      <c r="H12" s="13">
        <v>696.8</v>
      </c>
      <c r="I12" s="385"/>
      <c r="J12" s="13">
        <v>801.6</v>
      </c>
      <c r="K12" s="385"/>
      <c r="L12" s="13">
        <v>790</v>
      </c>
      <c r="M12" s="385"/>
    </row>
    <row r="13" spans="2:13" ht="16">
      <c r="B13" s="376"/>
      <c r="C13" s="379"/>
      <c r="D13" s="388"/>
      <c r="E13" s="45" t="s">
        <v>27</v>
      </c>
      <c r="F13" s="13">
        <v>7.6</v>
      </c>
      <c r="G13" s="385"/>
      <c r="H13" s="13">
        <v>1.4</v>
      </c>
      <c r="I13" s="385"/>
      <c r="J13" s="13">
        <v>17.3</v>
      </c>
      <c r="K13" s="385"/>
      <c r="L13" s="13">
        <v>6.3</v>
      </c>
      <c r="M13" s="385"/>
    </row>
    <row r="14" spans="2:13" ht="16">
      <c r="B14" s="376"/>
      <c r="C14" s="379"/>
      <c r="D14" s="46" t="s">
        <v>19</v>
      </c>
      <c r="E14" s="47" t="s">
        <v>4</v>
      </c>
      <c r="F14" s="14">
        <v>305</v>
      </c>
      <c r="G14" s="385"/>
      <c r="H14" s="14">
        <v>258.2</v>
      </c>
      <c r="I14" s="385"/>
      <c r="J14" s="14">
        <v>134.4</v>
      </c>
      <c r="K14" s="385"/>
      <c r="L14" s="14">
        <v>146</v>
      </c>
      <c r="M14" s="385"/>
    </row>
    <row r="15" spans="2:13" ht="16.5" thickBot="1">
      <c r="B15" s="376"/>
      <c r="C15" s="380"/>
      <c r="D15" s="389" t="s">
        <v>28</v>
      </c>
      <c r="E15" s="390"/>
      <c r="F15" s="15">
        <v>1519.1</v>
      </c>
      <c r="G15" s="385"/>
      <c r="H15" s="15">
        <v>1530.5000000000002</v>
      </c>
      <c r="I15" s="385"/>
      <c r="J15" s="15">
        <v>1570.5</v>
      </c>
      <c r="K15" s="385"/>
      <c r="L15" s="15">
        <v>1552.8</v>
      </c>
      <c r="M15" s="385"/>
    </row>
    <row r="16" spans="2:13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805</v>
      </c>
      <c r="G16" s="385"/>
      <c r="H16" s="8">
        <v>825</v>
      </c>
      <c r="I16" s="385"/>
      <c r="J16" s="8">
        <v>948.1</v>
      </c>
      <c r="K16" s="385"/>
      <c r="L16" s="8">
        <v>855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-253.2</v>
      </c>
      <c r="G17" s="385"/>
      <c r="H17" s="16">
        <v>-253.2</v>
      </c>
      <c r="I17" s="385"/>
      <c r="J17" s="16">
        <v>-253.2</v>
      </c>
      <c r="K17" s="385"/>
      <c r="L17" s="16">
        <v>-253.2</v>
      </c>
      <c r="M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0</v>
      </c>
      <c r="K18" s="385"/>
      <c r="L18" s="17">
        <v>0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-200</v>
      </c>
      <c r="G19" s="385"/>
      <c r="H19" s="18">
        <v>-202</v>
      </c>
      <c r="I19" s="385"/>
      <c r="J19" s="18">
        <v>-225</v>
      </c>
      <c r="K19" s="385"/>
      <c r="L19" s="18">
        <v>-225</v>
      </c>
      <c r="M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</row>
    <row r="21" spans="2:15" ht="16.5" thickBot="1">
      <c r="B21" s="377"/>
      <c r="C21" s="393"/>
      <c r="D21" s="398" t="s">
        <v>34</v>
      </c>
      <c r="E21" s="399"/>
      <c r="F21" s="27">
        <v>1263.2</v>
      </c>
      <c r="G21" s="386"/>
      <c r="H21" s="27">
        <v>1285.2</v>
      </c>
      <c r="I21" s="386"/>
      <c r="J21" s="27">
        <v>1426.3</v>
      </c>
      <c r="K21" s="386"/>
      <c r="L21" s="27">
        <v>1333.2</v>
      </c>
      <c r="M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1519.1</v>
      </c>
      <c r="G23" s="400"/>
      <c r="H23" s="20">
        <v>1530.5000000000002</v>
      </c>
      <c r="I23" s="400"/>
      <c r="J23" s="20">
        <v>1570.5</v>
      </c>
      <c r="K23" s="400"/>
      <c r="L23" s="20">
        <v>1552.8</v>
      </c>
      <c r="M23" s="400"/>
    </row>
    <row r="24" spans="2:15" ht="16">
      <c r="B24" s="409"/>
      <c r="C24" s="403" t="s">
        <v>37</v>
      </c>
      <c r="D24" s="404"/>
      <c r="E24" s="405"/>
      <c r="F24" s="21">
        <v>1263.2</v>
      </c>
      <c r="G24" s="401"/>
      <c r="H24" s="21">
        <v>1285.2</v>
      </c>
      <c r="I24" s="401"/>
      <c r="J24" s="21">
        <v>1426.3</v>
      </c>
      <c r="K24" s="401"/>
      <c r="L24" s="21">
        <v>1333.2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255.89999999999986</v>
      </c>
      <c r="G25" s="402"/>
      <c r="H25" s="67">
        <v>245.30000000000018</v>
      </c>
      <c r="I25" s="402"/>
      <c r="J25" s="67">
        <v>144.20000000000005</v>
      </c>
      <c r="K25" s="402"/>
      <c r="L25" s="67">
        <v>219.59999999999991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>
        <f>SUM(F5:F14)</f>
        <v>1519.1</v>
      </c>
      <c r="H57" s="85">
        <f>SUM(H5:H14)</f>
        <v>1530.5000000000002</v>
      </c>
      <c r="J57" s="85">
        <f>SUM(J5:J14)</f>
        <v>1570.5</v>
      </c>
      <c r="L57" s="85">
        <f>SUM(L5:L14)</f>
        <v>1552.8</v>
      </c>
      <c r="N57" s="85" t="e">
        <f>SUM(#REF!)</f>
        <v>#REF!</v>
      </c>
    </row>
    <row r="58" spans="2:15">
      <c r="F58" s="86" t="str">
        <f>IF(F57=F15,"〇","×")</f>
        <v>〇</v>
      </c>
      <c r="H58" s="86" t="str">
        <f>IF(H57=H15,"〇","×")</f>
        <v>〇</v>
      </c>
      <c r="J58" s="86" t="str">
        <f>IF(J57=J15,"〇","×")</f>
        <v>〇</v>
      </c>
      <c r="L58" s="86" t="str">
        <f>IF(L57=L15,"〇","×")</f>
        <v>〇</v>
      </c>
      <c r="N58" s="86" t="e">
        <f>IF(N57=#REF!,"〇","×")</f>
        <v>#REF!</v>
      </c>
    </row>
    <row r="59" spans="2:15">
      <c r="F59" s="87">
        <f>F16-F17-F18-F19-F20</f>
        <v>1263.2</v>
      </c>
      <c r="H59" s="87">
        <f>H16-H17-H18-H19-H20</f>
        <v>1285.2</v>
      </c>
      <c r="J59" s="87">
        <f>J16-J17-J18-J19-J20</f>
        <v>1426.3</v>
      </c>
      <c r="L59" s="87">
        <f>L16-L17-L18-L19-L20</f>
        <v>1333.2</v>
      </c>
      <c r="N59" s="87" t="e">
        <f>#REF!-#REF!-#REF!-#REF!-#REF!</f>
        <v>#REF!</v>
      </c>
    </row>
    <row r="60" spans="2:15">
      <c r="F60" s="86" t="str">
        <f>IF(F59=F21,"〇","×")</f>
        <v>〇</v>
      </c>
      <c r="H60" s="86" t="str">
        <f>IF(H59=H21,"〇","×")</f>
        <v>〇</v>
      </c>
      <c r="J60" s="86" t="str">
        <f>IF(J59=J21,"〇","×")</f>
        <v>〇</v>
      </c>
      <c r="L60" s="86" t="str">
        <f>IF(L59=L21,"〇","×")</f>
        <v>〇</v>
      </c>
      <c r="N60" s="86" t="e">
        <f>IF(N59=#REF!,"〇","×")</f>
        <v>#REF!</v>
      </c>
    </row>
    <row r="62" spans="2:15" ht="14.25" customHeight="1"/>
    <row r="64" spans="2:15" ht="14.25" customHeight="1"/>
    <row r="69" ht="14.25" customHeight="1"/>
  </sheetData>
  <mergeCells count="26">
    <mergeCell ref="D25:E25"/>
    <mergeCell ref="D19:D20"/>
    <mergeCell ref="D21:E21"/>
    <mergeCell ref="K5:K21"/>
    <mergeCell ref="M5:M21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C3:E3"/>
    <mergeCell ref="C2:E2"/>
    <mergeCell ref="F2:G2"/>
    <mergeCell ref="H2:I2"/>
    <mergeCell ref="J2:K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7476-CA20-4F02-8C67-A0995EDB0359}">
  <sheetPr>
    <pageSetUpPr fitToPage="1"/>
  </sheetPr>
  <dimension ref="A1:Y57"/>
  <sheetViews>
    <sheetView showGridLines="0" view="pageBreakPreview" zoomScale="70" zoomScaleNormal="55" zoomScaleSheetLayoutView="70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</row>
    <row r="3" spans="3:25" ht="17" thickTop="1" thickBot="1">
      <c r="C3" s="435" t="s">
        <v>142</v>
      </c>
      <c r="D3" s="436"/>
      <c r="E3" s="437"/>
      <c r="F3" s="417">
        <v>45292</v>
      </c>
      <c r="G3" s="418"/>
      <c r="H3" s="418"/>
      <c r="I3" s="419"/>
      <c r="J3" s="417">
        <v>45293</v>
      </c>
      <c r="K3" s="418"/>
      <c r="L3" s="418"/>
      <c r="M3" s="419"/>
      <c r="N3" s="417">
        <v>45304</v>
      </c>
      <c r="O3" s="418"/>
      <c r="P3" s="418"/>
      <c r="Q3" s="419"/>
      <c r="R3" s="417">
        <v>45305</v>
      </c>
      <c r="S3" s="418"/>
      <c r="T3" s="418"/>
      <c r="U3" s="420"/>
      <c r="Y3" s="1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262" t="s">
        <v>92</v>
      </c>
      <c r="Y4" s="1"/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G5-F5</f>
        <v>0</v>
      </c>
      <c r="I5" s="219"/>
      <c r="J5" s="166">
        <v>12.4</v>
      </c>
      <c r="K5" s="165">
        <v>12.4</v>
      </c>
      <c r="L5" s="164">
        <f>K5-J5</f>
        <v>0</v>
      </c>
      <c r="M5" s="219"/>
      <c r="N5" s="166">
        <v>32.700000000000003</v>
      </c>
      <c r="O5" s="165">
        <v>32.700000000000003</v>
      </c>
      <c r="P5" s="164">
        <f>O5-N5</f>
        <v>0</v>
      </c>
      <c r="Q5" s="219"/>
      <c r="R5" s="166">
        <v>32.700000000000003</v>
      </c>
      <c r="S5" s="165">
        <v>32.700000000000003</v>
      </c>
      <c r="T5" s="164">
        <f>S5-R5</f>
        <v>0</v>
      </c>
      <c r="U5" s="263"/>
      <c r="Y5" s="1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 t="shared" ref="H6:H8" si="0">G6-F6</f>
        <v>0</v>
      </c>
      <c r="I6" s="219"/>
      <c r="J6" s="166">
        <v>17.5</v>
      </c>
      <c r="K6" s="165">
        <v>17.5</v>
      </c>
      <c r="L6" s="164">
        <f t="shared" ref="L6:L8" si="1">K6-J6</f>
        <v>0</v>
      </c>
      <c r="M6" s="219"/>
      <c r="N6" s="166">
        <v>17.5</v>
      </c>
      <c r="O6" s="165">
        <v>17.5</v>
      </c>
      <c r="P6" s="164">
        <f t="shared" ref="P6:P8" si="2">O6-N6</f>
        <v>0</v>
      </c>
      <c r="Q6" s="219"/>
      <c r="R6" s="166">
        <v>17.5</v>
      </c>
      <c r="S6" s="165">
        <v>17.5</v>
      </c>
      <c r="T6" s="164">
        <f t="shared" ref="T6:T8" si="3">S6-R6</f>
        <v>0</v>
      </c>
      <c r="U6" s="263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si="2"/>
        <v>0</v>
      </c>
      <c r="Q7" s="219"/>
      <c r="R7" s="166">
        <v>0</v>
      </c>
      <c r="S7" s="165">
        <v>0</v>
      </c>
      <c r="T7" s="164">
        <f t="shared" si="3"/>
        <v>0</v>
      </c>
      <c r="U7" s="263"/>
      <c r="Y7" s="1"/>
    </row>
    <row r="8" spans="3:25" ht="16">
      <c r="C8" s="423"/>
      <c r="D8" s="426"/>
      <c r="E8" s="218" t="s">
        <v>133</v>
      </c>
      <c r="F8" s="217">
        <v>50.900000000000006</v>
      </c>
      <c r="G8" s="216">
        <v>50.900000000000006</v>
      </c>
      <c r="H8" s="215">
        <f t="shared" si="0"/>
        <v>0</v>
      </c>
      <c r="I8" s="219"/>
      <c r="J8" s="217">
        <v>51.7</v>
      </c>
      <c r="K8" s="216">
        <v>51.7</v>
      </c>
      <c r="L8" s="215">
        <f t="shared" si="1"/>
        <v>0</v>
      </c>
      <c r="M8" s="219"/>
      <c r="N8" s="217">
        <v>56.2</v>
      </c>
      <c r="O8" s="216">
        <v>56.2</v>
      </c>
      <c r="P8" s="215">
        <f t="shared" si="2"/>
        <v>0</v>
      </c>
      <c r="Q8" s="219"/>
      <c r="R8" s="217">
        <v>54.300000000000004</v>
      </c>
      <c r="S8" s="216">
        <v>54.300000000000004</v>
      </c>
      <c r="T8" s="215">
        <f t="shared" si="3"/>
        <v>0</v>
      </c>
      <c r="U8" s="263"/>
      <c r="Y8" s="1"/>
    </row>
    <row r="9" spans="3:25" ht="16.5" thickBot="1">
      <c r="C9" s="424"/>
      <c r="D9" s="427" t="s">
        <v>101</v>
      </c>
      <c r="E9" s="428"/>
      <c r="F9" s="188">
        <f>SUM(F5:F8)</f>
        <v>80.800000000000011</v>
      </c>
      <c r="G9" s="187">
        <f>SUM(G5:G8)</f>
        <v>80.800000000000011</v>
      </c>
      <c r="H9" s="187">
        <f>G9-F9</f>
        <v>0</v>
      </c>
      <c r="I9" s="213" t="s">
        <v>81</v>
      </c>
      <c r="J9" s="188">
        <f>SUM(J5:J8)</f>
        <v>81.599999999999994</v>
      </c>
      <c r="K9" s="187">
        <f>SUM(K5:K8)</f>
        <v>81.599999999999994</v>
      </c>
      <c r="L9" s="187">
        <f>K9-J9</f>
        <v>0</v>
      </c>
      <c r="M9" s="213" t="s">
        <v>81</v>
      </c>
      <c r="N9" s="188">
        <f>SUM(N5:N8)</f>
        <v>106.4</v>
      </c>
      <c r="O9" s="187">
        <f>SUM(O5:O8)</f>
        <v>106.4</v>
      </c>
      <c r="P9" s="187">
        <f>O9-N9</f>
        <v>0</v>
      </c>
      <c r="Q9" s="213" t="s">
        <v>81</v>
      </c>
      <c r="R9" s="188">
        <f>SUM(R5:R8)</f>
        <v>104.5</v>
      </c>
      <c r="S9" s="187">
        <f>SUM(S5:S8)</f>
        <v>104.5</v>
      </c>
      <c r="T9" s="187">
        <f>S9-R9</f>
        <v>0</v>
      </c>
      <c r="U9" s="265" t="s">
        <v>81</v>
      </c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266"/>
      <c r="Y10" s="1"/>
    </row>
    <row r="11" spans="3:25" ht="16.5" thickBot="1">
      <c r="C11" s="429" t="s">
        <v>132</v>
      </c>
      <c r="D11" s="430"/>
      <c r="E11" s="431"/>
      <c r="F11" s="432">
        <v>45292</v>
      </c>
      <c r="G11" s="433"/>
      <c r="H11" s="433"/>
      <c r="I11" s="434"/>
      <c r="J11" s="432">
        <v>45293</v>
      </c>
      <c r="K11" s="433"/>
      <c r="L11" s="433"/>
      <c r="M11" s="434"/>
      <c r="N11" s="432">
        <v>45304</v>
      </c>
      <c r="O11" s="433"/>
      <c r="P11" s="433"/>
      <c r="Q11" s="434"/>
      <c r="R11" s="432">
        <v>45305</v>
      </c>
      <c r="S11" s="433"/>
      <c r="T11" s="433"/>
      <c r="U11" s="438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262" t="s">
        <v>92</v>
      </c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 t="shared" ref="H13:H21" si="4">G13-F13</f>
        <v>0</v>
      </c>
      <c r="I13" s="219"/>
      <c r="J13" s="166">
        <v>-26.1</v>
      </c>
      <c r="K13" s="165">
        <v>-26.1</v>
      </c>
      <c r="L13" s="164">
        <f t="shared" ref="L13:L21" si="5">K13-J13</f>
        <v>0</v>
      </c>
      <c r="M13" s="219"/>
      <c r="N13" s="166">
        <v>-26.1</v>
      </c>
      <c r="O13" s="165">
        <v>-26.1</v>
      </c>
      <c r="P13" s="164">
        <f t="shared" ref="P13:P21" si="6">O13-N13</f>
        <v>0</v>
      </c>
      <c r="Q13" s="219"/>
      <c r="R13" s="166">
        <v>-26.1</v>
      </c>
      <c r="S13" s="165">
        <v>-26.1</v>
      </c>
      <c r="T13" s="164">
        <f t="shared" ref="T13:T21" si="7">S13-R13</f>
        <v>0</v>
      </c>
      <c r="U13" s="263"/>
      <c r="V13" s="26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4"/>
        <v>0</v>
      </c>
      <c r="I14" s="219"/>
      <c r="J14" s="166">
        <v>-26.1</v>
      </c>
      <c r="K14" s="165">
        <v>-26.1</v>
      </c>
      <c r="L14" s="164">
        <f t="shared" si="5"/>
        <v>0</v>
      </c>
      <c r="M14" s="219"/>
      <c r="N14" s="166">
        <v>-26.1</v>
      </c>
      <c r="O14" s="165">
        <v>-26.1</v>
      </c>
      <c r="P14" s="164">
        <f t="shared" si="6"/>
        <v>0</v>
      </c>
      <c r="Q14" s="219"/>
      <c r="R14" s="166">
        <v>-26.1</v>
      </c>
      <c r="S14" s="165">
        <v>-26.1</v>
      </c>
      <c r="T14" s="164">
        <f t="shared" si="7"/>
        <v>0</v>
      </c>
      <c r="U14" s="263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4"/>
        <v>0</v>
      </c>
      <c r="I15" s="219"/>
      <c r="J15" s="166">
        <v>-32.5</v>
      </c>
      <c r="K15" s="165">
        <v>-32.5</v>
      </c>
      <c r="L15" s="164">
        <f t="shared" si="5"/>
        <v>0</v>
      </c>
      <c r="M15" s="219"/>
      <c r="N15" s="166">
        <v>-32.5</v>
      </c>
      <c r="O15" s="165">
        <v>-32.5</v>
      </c>
      <c r="P15" s="164">
        <f t="shared" si="6"/>
        <v>0</v>
      </c>
      <c r="Q15" s="219"/>
      <c r="R15" s="166">
        <v>-32.5</v>
      </c>
      <c r="S15" s="165">
        <v>-32.5</v>
      </c>
      <c r="T15" s="164">
        <f t="shared" si="7"/>
        <v>0</v>
      </c>
      <c r="U15" s="263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4"/>
        <v>0</v>
      </c>
      <c r="I16" s="219"/>
      <c r="J16" s="166">
        <v>-32.5</v>
      </c>
      <c r="K16" s="165">
        <v>-32.5</v>
      </c>
      <c r="L16" s="164">
        <f t="shared" si="5"/>
        <v>0</v>
      </c>
      <c r="M16" s="219"/>
      <c r="N16" s="166">
        <v>-32.5</v>
      </c>
      <c r="O16" s="165">
        <v>-32.5</v>
      </c>
      <c r="P16" s="164">
        <f t="shared" si="6"/>
        <v>0</v>
      </c>
      <c r="Q16" s="219"/>
      <c r="R16" s="166">
        <v>-32.5</v>
      </c>
      <c r="S16" s="165">
        <v>-32.5</v>
      </c>
      <c r="T16" s="164">
        <f t="shared" si="7"/>
        <v>0</v>
      </c>
      <c r="U16" s="263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4"/>
        <v>0</v>
      </c>
      <c r="I17" s="219"/>
      <c r="J17" s="166">
        <v>-34</v>
      </c>
      <c r="K17" s="165">
        <v>-34</v>
      </c>
      <c r="L17" s="164">
        <f t="shared" si="5"/>
        <v>0</v>
      </c>
      <c r="M17" s="219"/>
      <c r="N17" s="166">
        <v>-34</v>
      </c>
      <c r="O17" s="165">
        <v>-34</v>
      </c>
      <c r="P17" s="164">
        <f t="shared" si="6"/>
        <v>0</v>
      </c>
      <c r="Q17" s="219"/>
      <c r="R17" s="166">
        <v>-34</v>
      </c>
      <c r="S17" s="165">
        <v>-34</v>
      </c>
      <c r="T17" s="164">
        <f t="shared" si="7"/>
        <v>0</v>
      </c>
      <c r="U17" s="263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4"/>
        <v>0</v>
      </c>
      <c r="I18" s="219"/>
      <c r="J18" s="166">
        <v>-34</v>
      </c>
      <c r="K18" s="165">
        <v>-34</v>
      </c>
      <c r="L18" s="164">
        <f t="shared" si="5"/>
        <v>0</v>
      </c>
      <c r="M18" s="219"/>
      <c r="N18" s="166">
        <v>-34</v>
      </c>
      <c r="O18" s="165">
        <v>-34</v>
      </c>
      <c r="P18" s="164">
        <f t="shared" si="6"/>
        <v>0</v>
      </c>
      <c r="Q18" s="219"/>
      <c r="R18" s="166">
        <v>-34</v>
      </c>
      <c r="S18" s="165">
        <v>-34</v>
      </c>
      <c r="T18" s="164">
        <f t="shared" si="7"/>
        <v>0</v>
      </c>
      <c r="U18" s="263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4"/>
        <v>0</v>
      </c>
      <c r="I19" s="219"/>
      <c r="J19" s="166">
        <v>-34</v>
      </c>
      <c r="K19" s="165">
        <v>-34</v>
      </c>
      <c r="L19" s="164">
        <f t="shared" si="5"/>
        <v>0</v>
      </c>
      <c r="M19" s="219"/>
      <c r="N19" s="166">
        <v>-34</v>
      </c>
      <c r="O19" s="165">
        <v>-34</v>
      </c>
      <c r="P19" s="164">
        <f t="shared" si="6"/>
        <v>0</v>
      </c>
      <c r="Q19" s="219"/>
      <c r="R19" s="166">
        <v>-34</v>
      </c>
      <c r="S19" s="165">
        <v>-34</v>
      </c>
      <c r="T19" s="164">
        <f t="shared" si="7"/>
        <v>0</v>
      </c>
      <c r="U19" s="263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4"/>
        <v>0</v>
      </c>
      <c r="I20" s="219"/>
      <c r="J20" s="166">
        <v>-34</v>
      </c>
      <c r="K20" s="165">
        <v>-34</v>
      </c>
      <c r="L20" s="164">
        <f t="shared" si="5"/>
        <v>0</v>
      </c>
      <c r="M20" s="219"/>
      <c r="N20" s="166">
        <v>-34</v>
      </c>
      <c r="O20" s="165">
        <v>-34</v>
      </c>
      <c r="P20" s="164">
        <f t="shared" si="6"/>
        <v>0</v>
      </c>
      <c r="Q20" s="219"/>
      <c r="R20" s="166">
        <v>-34</v>
      </c>
      <c r="S20" s="165">
        <v>-34</v>
      </c>
      <c r="T20" s="164">
        <f t="shared" si="7"/>
        <v>0</v>
      </c>
      <c r="U20" s="263"/>
      <c r="Y20" s="1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-253.2</v>
      </c>
      <c r="H21" s="187">
        <f t="shared" si="4"/>
        <v>0</v>
      </c>
      <c r="I21" s="186" t="s">
        <v>81</v>
      </c>
      <c r="J21" s="188">
        <f>SUM(J13:J20)</f>
        <v>-253.2</v>
      </c>
      <c r="K21" s="187">
        <f>SUM(K13:K20)</f>
        <v>-253.2</v>
      </c>
      <c r="L21" s="187">
        <f t="shared" si="5"/>
        <v>0</v>
      </c>
      <c r="M21" s="186" t="s">
        <v>81</v>
      </c>
      <c r="N21" s="188">
        <f>SUM(N13:N20)</f>
        <v>-253.2</v>
      </c>
      <c r="O21" s="187">
        <f>SUM(O13:O20)</f>
        <v>-253.2</v>
      </c>
      <c r="P21" s="187">
        <f t="shared" si="6"/>
        <v>0</v>
      </c>
      <c r="Q21" s="186" t="s">
        <v>81</v>
      </c>
      <c r="R21" s="188">
        <f>SUM(R13:R20)</f>
        <v>-253.2</v>
      </c>
      <c r="S21" s="187">
        <f>SUM(S13:S20)</f>
        <v>-253.2</v>
      </c>
      <c r="T21" s="187">
        <f t="shared" si="7"/>
        <v>0</v>
      </c>
      <c r="U21" s="268" t="s">
        <v>81</v>
      </c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266"/>
      <c r="Y22" s="1"/>
    </row>
    <row r="23" spans="3:25" ht="16.5" thickBot="1">
      <c r="C23" s="429" t="s">
        <v>120</v>
      </c>
      <c r="D23" s="430"/>
      <c r="E23" s="431"/>
      <c r="F23" s="432">
        <v>45292</v>
      </c>
      <c r="G23" s="433"/>
      <c r="H23" s="433"/>
      <c r="I23" s="434"/>
      <c r="J23" s="432">
        <v>45293</v>
      </c>
      <c r="K23" s="433"/>
      <c r="L23" s="433"/>
      <c r="M23" s="434"/>
      <c r="N23" s="432">
        <v>45304</v>
      </c>
      <c r="O23" s="433"/>
      <c r="P23" s="433"/>
      <c r="Q23" s="434"/>
      <c r="R23" s="432">
        <v>45305</v>
      </c>
      <c r="S23" s="433"/>
      <c r="T23" s="433"/>
      <c r="U23" s="438"/>
      <c r="Y23" s="1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262" t="s">
        <v>92</v>
      </c>
      <c r="Y24" s="1"/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f>G25-F25</f>
        <v>0</v>
      </c>
      <c r="I25" s="219"/>
      <c r="J25" s="209">
        <v>-5</v>
      </c>
      <c r="K25" s="208">
        <v>-5</v>
      </c>
      <c r="L25" s="207">
        <f>K25-J25</f>
        <v>0</v>
      </c>
      <c r="M25" s="219"/>
      <c r="N25" s="209">
        <v>-5</v>
      </c>
      <c r="O25" s="208">
        <v>0</v>
      </c>
      <c r="P25" s="207">
        <f>O25-N25</f>
        <v>5</v>
      </c>
      <c r="Q25" s="219" t="s">
        <v>154</v>
      </c>
      <c r="R25" s="209">
        <v>-5</v>
      </c>
      <c r="S25" s="208">
        <v>0</v>
      </c>
      <c r="T25" s="207">
        <f>S25-R25</f>
        <v>5</v>
      </c>
      <c r="U25" s="263" t="s">
        <v>154</v>
      </c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266"/>
      <c r="Y26" s="1"/>
    </row>
    <row r="27" spans="3:25" ht="16.5" thickBot="1">
      <c r="C27" s="429" t="s">
        <v>116</v>
      </c>
      <c r="D27" s="430"/>
      <c r="E27" s="431"/>
      <c r="F27" s="432">
        <v>45292</v>
      </c>
      <c r="G27" s="433"/>
      <c r="H27" s="433"/>
      <c r="I27" s="434"/>
      <c r="J27" s="432">
        <v>45293</v>
      </c>
      <c r="K27" s="433"/>
      <c r="L27" s="433"/>
      <c r="M27" s="434"/>
      <c r="N27" s="432">
        <v>45304</v>
      </c>
      <c r="O27" s="433"/>
      <c r="P27" s="433"/>
      <c r="Q27" s="434"/>
      <c r="R27" s="432">
        <v>45305</v>
      </c>
      <c r="S27" s="433"/>
      <c r="T27" s="433"/>
      <c r="U27" s="438"/>
      <c r="Y27" s="1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262" t="s">
        <v>92</v>
      </c>
      <c r="Y28" s="1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36.200000000000003</v>
      </c>
      <c r="H29" s="457">
        <f t="shared" ref="H29:H34" si="8">G29-F29</f>
        <v>-7.5999999999999943</v>
      </c>
      <c r="I29" s="582" t="s">
        <v>146</v>
      </c>
      <c r="J29" s="200">
        <v>43.8</v>
      </c>
      <c r="K29" s="455">
        <v>36.200000000000003</v>
      </c>
      <c r="L29" s="457">
        <f t="shared" ref="L29:L34" si="9">K29-J29</f>
        <v>-7.5999999999999943</v>
      </c>
      <c r="M29" s="582" t="s">
        <v>146</v>
      </c>
      <c r="N29" s="200">
        <v>43.8</v>
      </c>
      <c r="O29" s="455">
        <v>43.8</v>
      </c>
      <c r="P29" s="457">
        <f t="shared" ref="P29:P34" si="10">O29-N29</f>
        <v>0</v>
      </c>
      <c r="Q29" s="582"/>
      <c r="R29" s="200">
        <v>43.8</v>
      </c>
      <c r="S29" s="455">
        <v>43.8</v>
      </c>
      <c r="T29" s="457">
        <f t="shared" ref="T29:T34" si="11">S29-R29</f>
        <v>0</v>
      </c>
      <c r="U29" s="584"/>
      <c r="Y29" s="1"/>
    </row>
    <row r="30" spans="3:25" ht="16">
      <c r="C30" s="451"/>
      <c r="D30" s="443"/>
      <c r="E30" s="454"/>
      <c r="F30" s="202">
        <v>0.47</v>
      </c>
      <c r="G30" s="456">
        <v>0</v>
      </c>
      <c r="H30" s="458">
        <f t="shared" si="8"/>
        <v>-0.47</v>
      </c>
      <c r="I30" s="583"/>
      <c r="J30" s="202">
        <v>0.47</v>
      </c>
      <c r="K30" s="456">
        <v>0</v>
      </c>
      <c r="L30" s="458">
        <f t="shared" si="9"/>
        <v>-0.47</v>
      </c>
      <c r="M30" s="583"/>
      <c r="N30" s="202">
        <v>0.47</v>
      </c>
      <c r="O30" s="456">
        <v>0</v>
      </c>
      <c r="P30" s="458">
        <f t="shared" si="10"/>
        <v>-0.47</v>
      </c>
      <c r="Q30" s="583"/>
      <c r="R30" s="202">
        <v>0.47</v>
      </c>
      <c r="S30" s="456">
        <v>0</v>
      </c>
      <c r="T30" s="458">
        <f t="shared" si="11"/>
        <v>-0.47</v>
      </c>
      <c r="U30" s="585"/>
      <c r="Y30" s="1"/>
    </row>
    <row r="31" spans="3:25" ht="16">
      <c r="C31" s="451"/>
      <c r="D31" s="443"/>
      <c r="E31" s="453" t="s">
        <v>109</v>
      </c>
      <c r="F31" s="200">
        <v>54.4</v>
      </c>
      <c r="G31" s="455">
        <v>27.2</v>
      </c>
      <c r="H31" s="457">
        <f t="shared" si="8"/>
        <v>-27.2</v>
      </c>
      <c r="I31" s="582" t="s">
        <v>150</v>
      </c>
      <c r="J31" s="200">
        <v>54.4</v>
      </c>
      <c r="K31" s="455">
        <v>27.2</v>
      </c>
      <c r="L31" s="457">
        <f t="shared" si="9"/>
        <v>-27.2</v>
      </c>
      <c r="M31" s="582" t="s">
        <v>150</v>
      </c>
      <c r="N31" s="200">
        <v>54.4</v>
      </c>
      <c r="O31" s="455">
        <v>26.1</v>
      </c>
      <c r="P31" s="457">
        <f t="shared" si="10"/>
        <v>-28.299999999999997</v>
      </c>
      <c r="Q31" s="582" t="s">
        <v>204</v>
      </c>
      <c r="R31" s="200">
        <v>54.4</v>
      </c>
      <c r="S31" s="455">
        <v>26.1</v>
      </c>
      <c r="T31" s="457">
        <f t="shared" si="11"/>
        <v>-28.299999999999997</v>
      </c>
      <c r="U31" s="584" t="s">
        <v>204</v>
      </c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>
        <f t="shared" si="8"/>
        <v>-0.28999999999999998</v>
      </c>
      <c r="I32" s="583"/>
      <c r="J32" s="202">
        <v>0.28999999999999998</v>
      </c>
      <c r="K32" s="456">
        <v>0</v>
      </c>
      <c r="L32" s="458">
        <f t="shared" si="9"/>
        <v>-0.28999999999999998</v>
      </c>
      <c r="M32" s="583"/>
      <c r="N32" s="202">
        <v>0.28999999999999998</v>
      </c>
      <c r="O32" s="456">
        <v>0</v>
      </c>
      <c r="P32" s="458">
        <f t="shared" si="10"/>
        <v>-0.28999999999999998</v>
      </c>
      <c r="Q32" s="583"/>
      <c r="R32" s="202">
        <v>0.28999999999999998</v>
      </c>
      <c r="S32" s="456">
        <v>0</v>
      </c>
      <c r="T32" s="458">
        <f t="shared" si="11"/>
        <v>-0.28999999999999998</v>
      </c>
      <c r="U32" s="585"/>
      <c r="Y32" s="1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37.5</v>
      </c>
      <c r="H33" s="457">
        <f t="shared" si="8"/>
        <v>-11.700000000000003</v>
      </c>
      <c r="I33" s="582" t="s">
        <v>146</v>
      </c>
      <c r="J33" s="200">
        <v>49.2</v>
      </c>
      <c r="K33" s="199">
        <v>37.6</v>
      </c>
      <c r="L33" s="457">
        <f t="shared" si="9"/>
        <v>-11.600000000000001</v>
      </c>
      <c r="M33" s="582" t="s">
        <v>146</v>
      </c>
      <c r="N33" s="200">
        <v>49.2</v>
      </c>
      <c r="O33" s="199">
        <v>49.6</v>
      </c>
      <c r="P33" s="457">
        <f t="shared" si="10"/>
        <v>0.39999999999999858</v>
      </c>
      <c r="Q33" s="582" t="s">
        <v>148</v>
      </c>
      <c r="R33" s="200">
        <v>49.2</v>
      </c>
      <c r="S33" s="199">
        <v>47.3</v>
      </c>
      <c r="T33" s="457">
        <f t="shared" si="11"/>
        <v>-1.9000000000000057</v>
      </c>
      <c r="U33" s="584" t="s">
        <v>146</v>
      </c>
      <c r="Y33" s="1"/>
    </row>
    <row r="34" spans="3:25" ht="16">
      <c r="C34" s="451"/>
      <c r="D34" s="467"/>
      <c r="E34" s="463" t="s">
        <v>104</v>
      </c>
      <c r="F34" s="198">
        <v>0.26</v>
      </c>
      <c r="G34" s="197">
        <v>0.2</v>
      </c>
      <c r="H34" s="458">
        <f t="shared" si="8"/>
        <v>-0.06</v>
      </c>
      <c r="I34" s="583"/>
      <c r="J34" s="198">
        <v>0.26</v>
      </c>
      <c r="K34" s="197">
        <v>0.2</v>
      </c>
      <c r="L34" s="458">
        <f t="shared" si="9"/>
        <v>-0.06</v>
      </c>
      <c r="M34" s="583"/>
      <c r="N34" s="198">
        <v>0.26</v>
      </c>
      <c r="O34" s="197">
        <v>0.26</v>
      </c>
      <c r="P34" s="458">
        <f t="shared" si="10"/>
        <v>0</v>
      </c>
      <c r="Q34" s="583"/>
      <c r="R34" s="198">
        <v>0.26</v>
      </c>
      <c r="S34" s="197">
        <v>0.25</v>
      </c>
      <c r="T34" s="458">
        <f t="shared" si="11"/>
        <v>-1.0000000000000009E-2</v>
      </c>
      <c r="U34" s="585"/>
      <c r="Y34" s="1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270"/>
      <c r="Y35" s="1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271"/>
      <c r="Y36" s="1"/>
    </row>
    <row r="37" spans="3:25" ht="16">
      <c r="C37" s="451"/>
      <c r="D37" s="467"/>
      <c r="E37" s="190" t="s">
        <v>103</v>
      </c>
      <c r="F37" s="166">
        <v>13</v>
      </c>
      <c r="G37" s="165">
        <v>0.3</v>
      </c>
      <c r="H37" s="164">
        <f>G37-F37</f>
        <v>-12.7</v>
      </c>
      <c r="I37" s="219" t="s">
        <v>147</v>
      </c>
      <c r="J37" s="166">
        <v>13</v>
      </c>
      <c r="K37" s="165">
        <v>0.1</v>
      </c>
      <c r="L37" s="164">
        <f>K37-J37</f>
        <v>-12.9</v>
      </c>
      <c r="M37" s="219" t="s">
        <v>147</v>
      </c>
      <c r="N37" s="166">
        <v>13</v>
      </c>
      <c r="O37" s="165">
        <v>0.1</v>
      </c>
      <c r="P37" s="164">
        <f>O37-N37</f>
        <v>-12.9</v>
      </c>
      <c r="Q37" s="219" t="s">
        <v>147</v>
      </c>
      <c r="R37" s="166">
        <v>13</v>
      </c>
      <c r="S37" s="165">
        <v>0</v>
      </c>
      <c r="T37" s="164">
        <f>S37-R37</f>
        <v>-13</v>
      </c>
      <c r="U37" s="263" t="s">
        <v>147</v>
      </c>
      <c r="Y37" s="1"/>
    </row>
    <row r="38" spans="3:25" ht="16.5" thickBot="1">
      <c r="C38" s="452"/>
      <c r="D38" s="427" t="s">
        <v>101</v>
      </c>
      <c r="E38" s="428"/>
      <c r="F38" s="188">
        <f>SUM(F29,F31,F33,F37)</f>
        <v>160.39999999999998</v>
      </c>
      <c r="G38" s="187">
        <f>SUM(G29,G31,G33,G37)</f>
        <v>101.2</v>
      </c>
      <c r="H38" s="187">
        <f>G38-F38</f>
        <v>-59.199999999999974</v>
      </c>
      <c r="I38" s="186"/>
      <c r="J38" s="188">
        <f>SUM(J29,J31,J33,J37)</f>
        <v>160.39999999999998</v>
      </c>
      <c r="K38" s="187">
        <f>SUM(K29,K31,K33,K37)</f>
        <v>101.1</v>
      </c>
      <c r="L38" s="187">
        <f>K38-J38</f>
        <v>-59.299999999999983</v>
      </c>
      <c r="M38" s="186"/>
      <c r="N38" s="188">
        <f>SUM(N29,N31,N33,N37)</f>
        <v>160.39999999999998</v>
      </c>
      <c r="O38" s="187">
        <f>SUM(O29,O31,O33,O37)</f>
        <v>119.6</v>
      </c>
      <c r="P38" s="187">
        <f>O38-N38</f>
        <v>-40.799999999999983</v>
      </c>
      <c r="Q38" s="186"/>
      <c r="R38" s="188">
        <f>SUM(R29,R31,R33,R37)</f>
        <v>160.39999999999998</v>
      </c>
      <c r="S38" s="187">
        <f>SUM(S29,S31,S33,S37)</f>
        <v>117.2</v>
      </c>
      <c r="T38" s="187">
        <f>S38-R38</f>
        <v>-43.199999999999974</v>
      </c>
      <c r="U38" s="268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266"/>
      <c r="Y39" s="1"/>
    </row>
    <row r="40" spans="3:25" ht="16.5" thickBot="1">
      <c r="C40" s="429" t="s">
        <v>100</v>
      </c>
      <c r="D40" s="430"/>
      <c r="E40" s="431"/>
      <c r="F40" s="469">
        <v>45292</v>
      </c>
      <c r="G40" s="470"/>
      <c r="H40" s="470"/>
      <c r="I40" s="471"/>
      <c r="J40" s="469">
        <v>45293</v>
      </c>
      <c r="K40" s="470"/>
      <c r="L40" s="470"/>
      <c r="M40" s="471"/>
      <c r="N40" s="469">
        <v>45304</v>
      </c>
      <c r="O40" s="470"/>
      <c r="P40" s="470"/>
      <c r="Q40" s="471"/>
      <c r="R40" s="469">
        <v>45305</v>
      </c>
      <c r="S40" s="470"/>
      <c r="T40" s="470"/>
      <c r="U40" s="472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262" t="s">
        <v>92</v>
      </c>
      <c r="Y41" s="1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:H43" si="12">G42-F42</f>
        <v>0</v>
      </c>
      <c r="I42" s="582"/>
      <c r="J42" s="178">
        <v>0</v>
      </c>
      <c r="K42" s="478">
        <v>0</v>
      </c>
      <c r="L42" s="457">
        <f t="shared" ref="L42:L43" si="13">K42-J42</f>
        <v>0</v>
      </c>
      <c r="M42" s="582"/>
      <c r="N42" s="178">
        <v>0</v>
      </c>
      <c r="O42" s="478">
        <v>0</v>
      </c>
      <c r="P42" s="457">
        <f t="shared" ref="P42:P43" si="14">O42-N42</f>
        <v>0</v>
      </c>
      <c r="Q42" s="582"/>
      <c r="R42" s="178">
        <v>0</v>
      </c>
      <c r="S42" s="478">
        <v>0</v>
      </c>
      <c r="T42" s="457">
        <f t="shared" ref="T42:T43" si="15">S42-R42</f>
        <v>0</v>
      </c>
      <c r="U42" s="584"/>
      <c r="Y42" s="1"/>
    </row>
    <row r="43" spans="3:25" ht="16.5" thickBot="1">
      <c r="C43" s="474"/>
      <c r="D43" s="475"/>
      <c r="E43" s="477"/>
      <c r="F43" s="183">
        <v>200</v>
      </c>
      <c r="G43" s="479"/>
      <c r="H43" s="480">
        <f t="shared" si="12"/>
        <v>-200</v>
      </c>
      <c r="I43" s="583"/>
      <c r="J43" s="183">
        <v>202</v>
      </c>
      <c r="K43" s="479"/>
      <c r="L43" s="480">
        <f t="shared" si="13"/>
        <v>-202</v>
      </c>
      <c r="M43" s="583"/>
      <c r="N43" s="183">
        <v>225</v>
      </c>
      <c r="O43" s="479"/>
      <c r="P43" s="480">
        <f t="shared" si="14"/>
        <v>-225</v>
      </c>
      <c r="Q43" s="583"/>
      <c r="R43" s="183">
        <v>225</v>
      </c>
      <c r="S43" s="479"/>
      <c r="T43" s="480">
        <f t="shared" si="15"/>
        <v>-225</v>
      </c>
      <c r="U43" s="585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266"/>
      <c r="Y44" s="1"/>
    </row>
    <row r="45" spans="3:25" ht="16.5" thickBot="1">
      <c r="C45" s="429" t="s">
        <v>94</v>
      </c>
      <c r="D45" s="430"/>
      <c r="E45" s="431"/>
      <c r="F45" s="469">
        <v>45292</v>
      </c>
      <c r="G45" s="470"/>
      <c r="H45" s="470"/>
      <c r="I45" s="471"/>
      <c r="J45" s="469">
        <v>45293</v>
      </c>
      <c r="K45" s="470"/>
      <c r="L45" s="470"/>
      <c r="M45" s="471"/>
      <c r="N45" s="469">
        <v>45304</v>
      </c>
      <c r="O45" s="470"/>
      <c r="P45" s="470"/>
      <c r="Q45" s="471"/>
      <c r="R45" s="469">
        <v>45305</v>
      </c>
      <c r="S45" s="470"/>
      <c r="T45" s="470"/>
      <c r="U45" s="472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262" t="s">
        <v>92</v>
      </c>
      <c r="Y46" s="1"/>
    </row>
    <row r="47" spans="3:25" ht="16">
      <c r="C47" s="444"/>
      <c r="D47" s="483"/>
      <c r="E47" s="488" t="s">
        <v>91</v>
      </c>
      <c r="F47" s="178">
        <v>30.8</v>
      </c>
      <c r="G47" s="478">
        <v>35.1</v>
      </c>
      <c r="H47" s="457">
        <f t="shared" ref="H47:H48" si="16">G47-F47</f>
        <v>4.3000000000000007</v>
      </c>
      <c r="I47" s="582" t="s">
        <v>150</v>
      </c>
      <c r="J47" s="178">
        <v>30.8</v>
      </c>
      <c r="K47" s="478">
        <v>35.1</v>
      </c>
      <c r="L47" s="457">
        <f t="shared" ref="L47:L48" si="17">K47-J47</f>
        <v>4.3000000000000007</v>
      </c>
      <c r="M47" s="582" t="s">
        <v>150</v>
      </c>
      <c r="N47" s="178">
        <v>30.8</v>
      </c>
      <c r="O47" s="478">
        <v>35</v>
      </c>
      <c r="P47" s="457">
        <f t="shared" ref="P47:P48" si="18">O47-N47</f>
        <v>4.1999999999999993</v>
      </c>
      <c r="Q47" s="582" t="s">
        <v>150</v>
      </c>
      <c r="R47" s="178">
        <v>30.8</v>
      </c>
      <c r="S47" s="478">
        <v>35</v>
      </c>
      <c r="T47" s="457">
        <f t="shared" ref="T47:T48" si="19">S47-R47</f>
        <v>4.1999999999999993</v>
      </c>
      <c r="U47" s="584" t="s">
        <v>150</v>
      </c>
      <c r="Y47" s="1"/>
    </row>
    <row r="48" spans="3:25" ht="16.5" thickBot="1">
      <c r="C48" s="486"/>
      <c r="D48" s="487"/>
      <c r="E48" s="489"/>
      <c r="F48" s="177">
        <v>0.65</v>
      </c>
      <c r="G48" s="479"/>
      <c r="H48" s="480">
        <f t="shared" si="16"/>
        <v>-0.65</v>
      </c>
      <c r="I48" s="583"/>
      <c r="J48" s="177">
        <v>0.65</v>
      </c>
      <c r="K48" s="479"/>
      <c r="L48" s="480">
        <f t="shared" si="17"/>
        <v>-0.65</v>
      </c>
      <c r="M48" s="583"/>
      <c r="N48" s="177">
        <v>0.65</v>
      </c>
      <c r="O48" s="479"/>
      <c r="P48" s="480">
        <f t="shared" si="18"/>
        <v>-0.65</v>
      </c>
      <c r="Q48" s="583"/>
      <c r="R48" s="177">
        <v>0.65</v>
      </c>
      <c r="S48" s="479"/>
      <c r="T48" s="480">
        <f t="shared" si="19"/>
        <v>-0.65</v>
      </c>
      <c r="U48" s="585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266"/>
      <c r="Y49" s="1"/>
    </row>
    <row r="50" spans="1:25" ht="16.5" thickBot="1">
      <c r="C50" s="429" t="s">
        <v>89</v>
      </c>
      <c r="D50" s="430"/>
      <c r="E50" s="431"/>
      <c r="F50" s="469">
        <v>45292</v>
      </c>
      <c r="G50" s="470"/>
      <c r="H50" s="470"/>
      <c r="I50" s="471"/>
      <c r="J50" s="469">
        <v>45293</v>
      </c>
      <c r="K50" s="470"/>
      <c r="L50" s="470"/>
      <c r="M50" s="471"/>
      <c r="N50" s="469">
        <v>45304</v>
      </c>
      <c r="O50" s="470"/>
      <c r="P50" s="470"/>
      <c r="Q50" s="471"/>
      <c r="R50" s="469">
        <v>45305</v>
      </c>
      <c r="S50" s="470"/>
      <c r="T50" s="470"/>
      <c r="U50" s="472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272" t="s">
        <v>84</v>
      </c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G52-F52</f>
        <v>0</v>
      </c>
      <c r="I52" s="163" t="s">
        <v>81</v>
      </c>
      <c r="J52" s="166">
        <v>0</v>
      </c>
      <c r="K52" s="165">
        <v>0</v>
      </c>
      <c r="L52" s="164">
        <f>K52-J52</f>
        <v>0</v>
      </c>
      <c r="M52" s="163" t="s">
        <v>81</v>
      </c>
      <c r="N52" s="166">
        <v>0</v>
      </c>
      <c r="O52" s="165">
        <v>0</v>
      </c>
      <c r="P52" s="164">
        <f>O52-N52</f>
        <v>0</v>
      </c>
      <c r="Q52" s="163" t="s">
        <v>81</v>
      </c>
      <c r="R52" s="166">
        <v>0</v>
      </c>
      <c r="S52" s="165">
        <v>0</v>
      </c>
      <c r="T52" s="164">
        <f>S52-R52</f>
        <v>0</v>
      </c>
      <c r="U52" s="273" t="s">
        <v>81</v>
      </c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26.3</v>
      </c>
      <c r="H53" s="223" t="s">
        <v>81</v>
      </c>
      <c r="I53" s="222" t="s">
        <v>201</v>
      </c>
      <c r="J53" s="225">
        <v>0</v>
      </c>
      <c r="K53" s="224">
        <v>26.5</v>
      </c>
      <c r="L53" s="223" t="s">
        <v>81</v>
      </c>
      <c r="M53" s="222" t="s">
        <v>201</v>
      </c>
      <c r="N53" s="225">
        <v>0</v>
      </c>
      <c r="O53" s="224">
        <v>25.6</v>
      </c>
      <c r="P53" s="223" t="s">
        <v>81</v>
      </c>
      <c r="Q53" s="222" t="s">
        <v>201</v>
      </c>
      <c r="R53" s="225">
        <v>0</v>
      </c>
      <c r="S53" s="224">
        <v>25.3</v>
      </c>
      <c r="T53" s="223" t="s">
        <v>81</v>
      </c>
      <c r="U53" s="274" t="s">
        <v>201</v>
      </c>
      <c r="Y53" s="1"/>
    </row>
    <row r="54" spans="1:25" ht="15.5" thickTop="1">
      <c r="C54" s="1" t="s">
        <v>79</v>
      </c>
      <c r="Y54" s="1"/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14">
    <mergeCell ref="C51:D53"/>
    <mergeCell ref="T47:T48"/>
    <mergeCell ref="U47:U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K47:K48"/>
    <mergeCell ref="C45:E45"/>
    <mergeCell ref="F45:I45"/>
    <mergeCell ref="J45:M45"/>
    <mergeCell ref="N45:Q45"/>
    <mergeCell ref="R45:U45"/>
    <mergeCell ref="O29:O30"/>
    <mergeCell ref="P29:P30"/>
    <mergeCell ref="E34:E36"/>
    <mergeCell ref="D38:E38"/>
    <mergeCell ref="C40:E40"/>
    <mergeCell ref="F40:I40"/>
    <mergeCell ref="J40:M40"/>
    <mergeCell ref="N40:Q40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U33:U34"/>
    <mergeCell ref="M31:M32"/>
    <mergeCell ref="O31:O32"/>
    <mergeCell ref="P31:P32"/>
    <mergeCell ref="Q31:Q32"/>
    <mergeCell ref="S31:S32"/>
    <mergeCell ref="T31:T32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Q29:Q30"/>
    <mergeCell ref="S29:S30"/>
    <mergeCell ref="T29:T30"/>
    <mergeCell ref="U29:U30"/>
    <mergeCell ref="E31:E32"/>
    <mergeCell ref="G31:G32"/>
    <mergeCell ref="H31:H32"/>
    <mergeCell ref="I31:I32"/>
    <mergeCell ref="K31:K32"/>
    <mergeCell ref="L31:L32"/>
    <mergeCell ref="I29:I30"/>
    <mergeCell ref="K29:K30"/>
    <mergeCell ref="L29:L30"/>
    <mergeCell ref="M29:M30"/>
    <mergeCell ref="C23:E23"/>
    <mergeCell ref="F23:I23"/>
    <mergeCell ref="J23:M23"/>
    <mergeCell ref="N23:Q23"/>
    <mergeCell ref="R23:U23"/>
    <mergeCell ref="C24:D25"/>
    <mergeCell ref="E24:E25"/>
    <mergeCell ref="C11:E11"/>
    <mergeCell ref="F11:I11"/>
    <mergeCell ref="J11:M11"/>
    <mergeCell ref="N11:Q11"/>
    <mergeCell ref="R11:U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R3:U3"/>
    <mergeCell ref="C4:C9"/>
    <mergeCell ref="D5:D6"/>
    <mergeCell ref="D7:D8"/>
    <mergeCell ref="D9:E9"/>
  </mergeCells>
  <phoneticPr fontId="1"/>
  <conditionalFormatting sqref="I5:I8">
    <cfRule type="expression" dxfId="31" priority="32">
      <formula>AND(H5&lt;&gt;0,I5="")</formula>
    </cfRule>
  </conditionalFormatting>
  <conditionalFormatting sqref="I13:I20">
    <cfRule type="expression" dxfId="30" priority="28">
      <formula>AND(H13&lt;&gt;0,I13="")</formula>
    </cfRule>
  </conditionalFormatting>
  <conditionalFormatting sqref="I25">
    <cfRule type="expression" dxfId="29" priority="24">
      <formula>AND(H25&lt;&gt;0,I25="")</formula>
    </cfRule>
  </conditionalFormatting>
  <conditionalFormatting sqref="I29">
    <cfRule type="expression" dxfId="28" priority="20">
      <formula>AND(H29&lt;&gt;0,I29="")</formula>
    </cfRule>
  </conditionalFormatting>
  <conditionalFormatting sqref="I31 I33">
    <cfRule type="expression" dxfId="27" priority="19">
      <formula>AND(H31&lt;&gt;0,I31="")</formula>
    </cfRule>
  </conditionalFormatting>
  <conditionalFormatting sqref="I37">
    <cfRule type="expression" dxfId="26" priority="18">
      <formula>AND(H37&lt;&gt;0,I37="")</formula>
    </cfRule>
  </conditionalFormatting>
  <conditionalFormatting sqref="I42">
    <cfRule type="expression" dxfId="25" priority="17">
      <formula>AND(H42&lt;&gt;0,I42="")</formula>
    </cfRule>
  </conditionalFormatting>
  <conditionalFormatting sqref="I47">
    <cfRule type="expression" dxfId="24" priority="16">
      <formula>AND(H47&lt;&gt;0,I47="")</formula>
    </cfRule>
  </conditionalFormatting>
  <conditionalFormatting sqref="M5:M8">
    <cfRule type="expression" dxfId="23" priority="31">
      <formula>AND(L5&lt;&gt;0,M5="")</formula>
    </cfRule>
  </conditionalFormatting>
  <conditionalFormatting sqref="M13:M20">
    <cfRule type="expression" dxfId="22" priority="27">
      <formula>AND(L13&lt;&gt;0,M13="")</formula>
    </cfRule>
  </conditionalFormatting>
  <conditionalFormatting sqref="M25">
    <cfRule type="expression" dxfId="21" priority="23">
      <formula>AND(L25&lt;&gt;0,M25="")</formula>
    </cfRule>
  </conditionalFormatting>
  <conditionalFormatting sqref="M29">
    <cfRule type="expression" dxfId="20" priority="1">
      <formula>AND(L29&lt;&gt;0,M29="")</formula>
    </cfRule>
  </conditionalFormatting>
  <conditionalFormatting sqref="M31 M33">
    <cfRule type="expression" dxfId="19" priority="15">
      <formula>AND(L31&lt;&gt;0,M31="")</formula>
    </cfRule>
  </conditionalFormatting>
  <conditionalFormatting sqref="M37">
    <cfRule type="expression" dxfId="18" priority="14">
      <formula>AND(L37&lt;&gt;0,M37="")</formula>
    </cfRule>
  </conditionalFormatting>
  <conditionalFormatting sqref="M42">
    <cfRule type="expression" dxfId="17" priority="7">
      <formula>AND(L42&lt;&gt;0,M42="")</formula>
    </cfRule>
  </conditionalFormatting>
  <conditionalFormatting sqref="M47">
    <cfRule type="expression" dxfId="16" priority="4">
      <formula>AND(L47&lt;&gt;0,M47="")</formula>
    </cfRule>
  </conditionalFormatting>
  <conditionalFormatting sqref="Q5:Q8">
    <cfRule type="expression" dxfId="15" priority="30">
      <formula>AND(P5&lt;&gt;0,Q5="")</formula>
    </cfRule>
  </conditionalFormatting>
  <conditionalFormatting sqref="Q13:Q20">
    <cfRule type="expression" dxfId="14" priority="26">
      <formula>AND(P13&lt;&gt;0,Q13="")</formula>
    </cfRule>
  </conditionalFormatting>
  <conditionalFormatting sqref="Q25">
    <cfRule type="expression" dxfId="13" priority="22">
      <formula>AND(P25&lt;&gt;0,Q25="")</formula>
    </cfRule>
  </conditionalFormatting>
  <conditionalFormatting sqref="Q29">
    <cfRule type="expression" dxfId="12" priority="13">
      <formula>AND(P29&lt;&gt;0,Q29="")</formula>
    </cfRule>
  </conditionalFormatting>
  <conditionalFormatting sqref="Q31 Q33">
    <cfRule type="expression" dxfId="11" priority="12">
      <formula>AND(P31&lt;&gt;0,Q31="")</formula>
    </cfRule>
  </conditionalFormatting>
  <conditionalFormatting sqref="Q37">
    <cfRule type="expression" dxfId="10" priority="11">
      <formula>AND(P37&lt;&gt;0,Q37="")</formula>
    </cfRule>
  </conditionalFormatting>
  <conditionalFormatting sqref="Q42">
    <cfRule type="expression" dxfId="9" priority="6">
      <formula>AND(P42&lt;&gt;0,Q42="")</formula>
    </cfRule>
  </conditionalFormatting>
  <conditionalFormatting sqref="Q47">
    <cfRule type="expression" dxfId="8" priority="3">
      <formula>AND(P47&lt;&gt;0,Q47="")</formula>
    </cfRule>
  </conditionalFormatting>
  <conditionalFormatting sqref="U5:U8">
    <cfRule type="expression" dxfId="7" priority="29">
      <formula>AND(T5&lt;&gt;0,U5="")</formula>
    </cfRule>
  </conditionalFormatting>
  <conditionalFormatting sqref="U13:U20">
    <cfRule type="expression" dxfId="6" priority="25">
      <formula>AND(T13&lt;&gt;0,U13="")</formula>
    </cfRule>
  </conditionalFormatting>
  <conditionalFormatting sqref="U25">
    <cfRule type="expression" dxfId="5" priority="21">
      <formula>AND(T25&lt;&gt;0,U25="")</formula>
    </cfRule>
  </conditionalFormatting>
  <conditionalFormatting sqref="U29">
    <cfRule type="expression" dxfId="4" priority="10">
      <formula>AND(T29&lt;&gt;0,U29="")</formula>
    </cfRule>
  </conditionalFormatting>
  <conditionalFormatting sqref="U31 U33">
    <cfRule type="expression" dxfId="3" priority="9">
      <formula>AND(T31&lt;&gt;0,U31="")</formula>
    </cfRule>
  </conditionalFormatting>
  <conditionalFormatting sqref="U37">
    <cfRule type="expression" dxfId="2" priority="8">
      <formula>AND(T37&lt;&gt;0,U37="")</formula>
    </cfRule>
  </conditionalFormatting>
  <conditionalFormatting sqref="U42">
    <cfRule type="expression" dxfId="1" priority="5">
      <formula>AND(T42&lt;&gt;0,U42="")</formula>
    </cfRule>
  </conditionalFormatting>
  <conditionalFormatting sqref="U47">
    <cfRule type="expression" dxfId="0" priority="2">
      <formula>AND(T47&lt;&gt;0,U47="")</formula>
    </cfRule>
  </conditionalFormatting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B962-07F7-41FD-BA9A-C4B4D8EF6E89}">
  <dimension ref="A1:Y57"/>
  <sheetViews>
    <sheetView showGridLines="0" view="pageBreakPreview" topLeftCell="A11" zoomScale="70" zoomScaleNormal="100" zoomScaleSheetLayoutView="70" zoomScalePageLayoutView="8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45784</v>
      </c>
      <c r="G3" s="418"/>
      <c r="H3" s="418"/>
      <c r="I3" s="419"/>
      <c r="J3" s="417">
        <v>45785</v>
      </c>
      <c r="K3" s="418"/>
      <c r="L3" s="418"/>
      <c r="M3" s="419"/>
      <c r="N3" s="417">
        <v>45787</v>
      </c>
      <c r="O3" s="418"/>
      <c r="P3" s="418"/>
      <c r="Q3" s="419"/>
      <c r="R3" s="417">
        <v>45789</v>
      </c>
      <c r="S3" s="418"/>
      <c r="T3" s="418"/>
      <c r="U3" s="419"/>
      <c r="V3" s="417">
        <v>45790</v>
      </c>
      <c r="W3" s="418"/>
      <c r="X3" s="418"/>
      <c r="Y3" s="420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3:25" ht="16">
      <c r="C5" s="422"/>
      <c r="D5" s="425" t="s">
        <v>138</v>
      </c>
      <c r="E5" s="211" t="s">
        <v>137</v>
      </c>
      <c r="F5" s="166">
        <v>15.7</v>
      </c>
      <c r="G5" s="165">
        <v>15.7</v>
      </c>
      <c r="H5" s="164">
        <f t="shared" ref="H5:H8" si="0">SUM(G5,-F5)</f>
        <v>0</v>
      </c>
      <c r="I5" s="219"/>
      <c r="J5" s="166">
        <v>15.7</v>
      </c>
      <c r="K5" s="165">
        <v>15.7</v>
      </c>
      <c r="L5" s="164">
        <f t="shared" ref="L5:L8" si="1">SUM(K5,-J5)</f>
        <v>0</v>
      </c>
      <c r="M5" s="219"/>
      <c r="N5" s="166">
        <v>15.7</v>
      </c>
      <c r="O5" s="165">
        <v>15.7</v>
      </c>
      <c r="P5" s="164">
        <f>SUM(O5,-N5)</f>
        <v>0</v>
      </c>
      <c r="Q5" s="219"/>
      <c r="R5" s="166">
        <v>35.299999999999997</v>
      </c>
      <c r="S5" s="165">
        <v>35.299999999999997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</row>
    <row r="8" spans="3:25" ht="16">
      <c r="C8" s="423"/>
      <c r="D8" s="426"/>
      <c r="E8" s="218" t="s">
        <v>133</v>
      </c>
      <c r="F8" s="217">
        <v>53.5</v>
      </c>
      <c r="G8" s="216">
        <v>53.5</v>
      </c>
      <c r="H8" s="215">
        <f t="shared" si="0"/>
        <v>0</v>
      </c>
      <c r="I8" s="214"/>
      <c r="J8" s="217">
        <v>54.5</v>
      </c>
      <c r="K8" s="216">
        <v>54.5</v>
      </c>
      <c r="L8" s="215">
        <f t="shared" si="1"/>
        <v>0</v>
      </c>
      <c r="M8" s="214"/>
      <c r="N8" s="217">
        <v>53.400000000000006</v>
      </c>
      <c r="O8" s="216">
        <v>53.400000000000006</v>
      </c>
      <c r="P8" s="215">
        <f>SUM(O8,-N8)</f>
        <v>0</v>
      </c>
      <c r="Q8" s="214"/>
      <c r="R8" s="217">
        <v>54.300000000000004</v>
      </c>
      <c r="S8" s="216">
        <v>54.300000000000004</v>
      </c>
      <c r="T8" s="215">
        <f>SUM(S8,-R8)</f>
        <v>0</v>
      </c>
      <c r="U8" s="214"/>
      <c r="V8" s="217">
        <v>55.1</v>
      </c>
      <c r="W8" s="216">
        <v>55.1</v>
      </c>
      <c r="X8" s="215">
        <f>SUM(W8,-V8)</f>
        <v>0</v>
      </c>
      <c r="Y8" s="264"/>
    </row>
    <row r="9" spans="3:25" ht="16.5" thickBot="1">
      <c r="C9" s="424"/>
      <c r="D9" s="427" t="s">
        <v>101</v>
      </c>
      <c r="E9" s="428"/>
      <c r="F9" s="188">
        <f t="shared" ref="F9:H9" si="5">SUM(F5:F8)</f>
        <v>78</v>
      </c>
      <c r="G9" s="187">
        <f t="shared" si="5"/>
        <v>78</v>
      </c>
      <c r="H9" s="187">
        <f t="shared" si="5"/>
        <v>0</v>
      </c>
      <c r="I9" s="213" t="s">
        <v>159</v>
      </c>
      <c r="J9" s="188">
        <f>SUM(J5:J8)</f>
        <v>79</v>
      </c>
      <c r="K9" s="187">
        <f>SUM(K5:K8)</f>
        <v>79</v>
      </c>
      <c r="L9" s="187">
        <f t="shared" ref="L9" si="6">SUM(L5:L8)</f>
        <v>0</v>
      </c>
      <c r="M9" s="213" t="s">
        <v>159</v>
      </c>
      <c r="N9" s="188">
        <f>SUM(N5:N8)</f>
        <v>77.900000000000006</v>
      </c>
      <c r="O9" s="187">
        <f>SUM(O5:O8)</f>
        <v>77.900000000000006</v>
      </c>
      <c r="P9" s="187">
        <f>SUM(P5:P8)</f>
        <v>0</v>
      </c>
      <c r="Q9" s="213" t="s">
        <v>159</v>
      </c>
      <c r="R9" s="188">
        <f>SUM(R5:R8)</f>
        <v>98.4</v>
      </c>
      <c r="S9" s="187">
        <f>SUM(S5:S8)</f>
        <v>98.4</v>
      </c>
      <c r="T9" s="187">
        <f>SUM(T5:T8)</f>
        <v>0</v>
      </c>
      <c r="U9" s="213" t="s">
        <v>159</v>
      </c>
      <c r="V9" s="188">
        <f>SUM(V5:V8)</f>
        <v>76.300000000000011</v>
      </c>
      <c r="W9" s="187">
        <f>SUM(W5:W8)</f>
        <v>76.300000000000011</v>
      </c>
      <c r="X9" s="187">
        <f>SUM(X5:X8)</f>
        <v>0</v>
      </c>
      <c r="Y9" s="265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2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-32.5</v>
      </c>
      <c r="X15" s="164">
        <f t="shared" si="11"/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2"/>
      <c r="J16" s="166">
        <v>-32.5</v>
      </c>
      <c r="K16" s="165">
        <v>-32.5</v>
      </c>
      <c r="L16" s="164">
        <f t="shared" si="8"/>
        <v>0</v>
      </c>
      <c r="M16" s="189"/>
      <c r="N16" s="166">
        <v>-32.5</v>
      </c>
      <c r="O16" s="165">
        <v>-32.5</v>
      </c>
      <c r="P16" s="164">
        <f t="shared" si="9"/>
        <v>0</v>
      </c>
      <c r="Q16" s="189"/>
      <c r="R16" s="166">
        <v>-32.5</v>
      </c>
      <c r="S16" s="165">
        <v>-32.5</v>
      </c>
      <c r="T16" s="164">
        <f t="shared" si="10"/>
        <v>0</v>
      </c>
      <c r="U16" s="189"/>
      <c r="V16" s="166">
        <v>-32.5</v>
      </c>
      <c r="W16" s="165">
        <v>-32.5</v>
      </c>
      <c r="X16" s="164">
        <f t="shared" si="11"/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7"/>
        <v>0</v>
      </c>
      <c r="I17" s="232"/>
      <c r="J17" s="166">
        <v>-34</v>
      </c>
      <c r="K17" s="165">
        <v>-34</v>
      </c>
      <c r="L17" s="164">
        <f t="shared" si="8"/>
        <v>0</v>
      </c>
      <c r="M17" s="189"/>
      <c r="N17" s="166">
        <v>-34</v>
      </c>
      <c r="O17" s="165">
        <v>-34</v>
      </c>
      <c r="P17" s="164">
        <f t="shared" si="9"/>
        <v>0</v>
      </c>
      <c r="Q17" s="189"/>
      <c r="R17" s="166">
        <v>-34</v>
      </c>
      <c r="S17" s="165">
        <v>0</v>
      </c>
      <c r="T17" s="164">
        <f t="shared" si="10"/>
        <v>34</v>
      </c>
      <c r="U17" s="189" t="s">
        <v>145</v>
      </c>
      <c r="V17" s="166">
        <v>-34</v>
      </c>
      <c r="W17" s="165">
        <v>0</v>
      </c>
      <c r="X17" s="164">
        <f t="shared" si="11"/>
        <v>34</v>
      </c>
      <c r="Y17" s="267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-34</v>
      </c>
      <c r="L18" s="164">
        <f t="shared" si="8"/>
        <v>0</v>
      </c>
      <c r="M18" s="189"/>
      <c r="N18" s="166">
        <v>-34</v>
      </c>
      <c r="O18" s="165">
        <v>-34</v>
      </c>
      <c r="P18" s="164">
        <f t="shared" si="9"/>
        <v>0</v>
      </c>
      <c r="Q18" s="189"/>
      <c r="R18" s="166">
        <v>-34</v>
      </c>
      <c r="S18" s="165">
        <v>0</v>
      </c>
      <c r="T18" s="164">
        <f t="shared" si="10"/>
        <v>34</v>
      </c>
      <c r="U18" s="189" t="s">
        <v>145</v>
      </c>
      <c r="V18" s="166">
        <v>-34</v>
      </c>
      <c r="W18" s="165">
        <v>0</v>
      </c>
      <c r="X18" s="164">
        <f t="shared" si="11"/>
        <v>34</v>
      </c>
      <c r="Y18" s="267" t="s">
        <v>145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0</v>
      </c>
      <c r="T19" s="164">
        <f t="shared" si="10"/>
        <v>34</v>
      </c>
      <c r="U19" s="189" t="s">
        <v>145</v>
      </c>
      <c r="V19" s="166">
        <v>-34</v>
      </c>
      <c r="W19" s="165">
        <v>0</v>
      </c>
      <c r="X19" s="164">
        <f t="shared" si="11"/>
        <v>34</v>
      </c>
      <c r="Y19" s="267" t="s">
        <v>145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0</v>
      </c>
      <c r="T20" s="164">
        <f t="shared" si="10"/>
        <v>34</v>
      </c>
      <c r="U20" s="189" t="s">
        <v>145</v>
      </c>
      <c r="V20" s="166">
        <v>-34</v>
      </c>
      <c r="W20" s="165">
        <v>0</v>
      </c>
      <c r="X20" s="164">
        <f t="shared" si="11"/>
        <v>34</v>
      </c>
      <c r="Y20" s="267" t="s">
        <v>145</v>
      </c>
    </row>
    <row r="21" spans="3:25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-227.1</v>
      </c>
      <c r="H21" s="187">
        <f t="shared" si="12"/>
        <v>26.1</v>
      </c>
      <c r="I21" s="186" t="s">
        <v>159</v>
      </c>
      <c r="J21" s="188">
        <f t="shared" si="12"/>
        <v>-253.2</v>
      </c>
      <c r="K21" s="187">
        <f t="shared" si="12"/>
        <v>-227.1</v>
      </c>
      <c r="L21" s="187">
        <f t="shared" ref="L21" si="13"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-91.1</v>
      </c>
      <c r="T21" s="187">
        <f>SUM(T13:T20)</f>
        <v>162.1</v>
      </c>
      <c r="U21" s="186" t="s">
        <v>159</v>
      </c>
      <c r="V21" s="188">
        <f>SUM(V13:V20)</f>
        <v>-253.2</v>
      </c>
      <c r="W21" s="187">
        <f>SUM(W13:W20)</f>
        <v>-91.1</v>
      </c>
      <c r="X21" s="187">
        <f>SUM(X13:X20)</f>
        <v>162.1</v>
      </c>
      <c r="Y21" s="268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3:25" ht="16.5" thickBot="1">
      <c r="C25" s="446"/>
      <c r="D25" s="447"/>
      <c r="E25" s="449"/>
      <c r="F25" s="209">
        <v>-5</v>
      </c>
      <c r="G25" s="208">
        <v>-4.5</v>
      </c>
      <c r="H25" s="207">
        <f>SUM(G25,-F25)</f>
        <v>0.5</v>
      </c>
      <c r="I25" s="275" t="s">
        <v>150</v>
      </c>
      <c r="J25" s="209">
        <v>-5</v>
      </c>
      <c r="K25" s="208">
        <v>-4.4000000000000004</v>
      </c>
      <c r="L25" s="207">
        <f t="shared" ref="L25" si="14">SUM(K25,-J25)</f>
        <v>0.59999999999999964</v>
      </c>
      <c r="M25" s="275" t="s">
        <v>150</v>
      </c>
      <c r="N25" s="209">
        <v>-5</v>
      </c>
      <c r="O25" s="208">
        <v>-4.4000000000000004</v>
      </c>
      <c r="P25" s="207">
        <f>SUM(O25,-N25)</f>
        <v>0.59999999999999964</v>
      </c>
      <c r="Q25" s="275" t="s">
        <v>150</v>
      </c>
      <c r="R25" s="209">
        <v>-5</v>
      </c>
      <c r="S25" s="208">
        <v>-4.4000000000000004</v>
      </c>
      <c r="T25" s="207">
        <f>SUM(S25,-R25)</f>
        <v>0.59999999999999964</v>
      </c>
      <c r="U25" s="275" t="s">
        <v>150</v>
      </c>
      <c r="V25" s="209">
        <v>-5</v>
      </c>
      <c r="W25" s="208">
        <v>-4.4000000000000004</v>
      </c>
      <c r="X25" s="207">
        <f>SUM(W25,-V25)</f>
        <v>0.59999999999999964</v>
      </c>
      <c r="Y25" s="276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5">SUM(G29,-F29)</f>
        <v>0</v>
      </c>
      <c r="I29" s="459"/>
      <c r="J29" s="200">
        <v>0</v>
      </c>
      <c r="K29" s="455">
        <v>0</v>
      </c>
      <c r="L29" s="457">
        <f t="shared" ref="L29" si="16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461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27.2</v>
      </c>
      <c r="G31" s="455">
        <v>27.2</v>
      </c>
      <c r="H31" s="457">
        <f t="shared" ref="H31" si="17">SUM(G31,-F31)</f>
        <v>0</v>
      </c>
      <c r="I31" s="459"/>
      <c r="J31" s="200">
        <v>27.2</v>
      </c>
      <c r="K31" s="455">
        <v>27.2</v>
      </c>
      <c r="L31" s="457">
        <f t="shared" ref="L31" si="18">SUM(K31,-J31)</f>
        <v>0</v>
      </c>
      <c r="M31" s="459"/>
      <c r="N31" s="200">
        <v>27.2</v>
      </c>
      <c r="O31" s="455">
        <v>17.5</v>
      </c>
      <c r="P31" s="457">
        <f t="shared" ref="P31" si="19">SUM(O31,-N31)</f>
        <v>-9.6999999999999993</v>
      </c>
      <c r="Q31" s="459" t="s">
        <v>149</v>
      </c>
      <c r="R31" s="200">
        <v>27.2</v>
      </c>
      <c r="S31" s="455">
        <v>27.2</v>
      </c>
      <c r="T31" s="457">
        <f t="shared" ref="T31" si="20">SUM(S31,-R31)</f>
        <v>0</v>
      </c>
      <c r="U31" s="459"/>
      <c r="V31" s="200">
        <v>27.2</v>
      </c>
      <c r="W31" s="455">
        <v>27.2</v>
      </c>
      <c r="X31" s="457">
        <f t="shared" ref="X31" si="21">SUM(W31,-V31)</f>
        <v>0</v>
      </c>
      <c r="Y31" s="46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23.9</v>
      </c>
      <c r="G33" s="199">
        <v>35.4</v>
      </c>
      <c r="H33" s="457">
        <f t="shared" ref="H33" si="22">SUM(G33,-F33)</f>
        <v>11.5</v>
      </c>
      <c r="I33" s="459" t="s">
        <v>184</v>
      </c>
      <c r="J33" s="200">
        <v>29.5</v>
      </c>
      <c r="K33" s="199">
        <v>44.9</v>
      </c>
      <c r="L33" s="457">
        <f t="shared" ref="L33" si="23">SUM(K33,-J33)</f>
        <v>15.399999999999999</v>
      </c>
      <c r="M33" s="459" t="s">
        <v>184</v>
      </c>
      <c r="N33" s="200">
        <v>29.5</v>
      </c>
      <c r="O33" s="199">
        <v>24.3</v>
      </c>
      <c r="P33" s="457">
        <f t="shared" ref="P33" si="24">SUM(O33,-N33)</f>
        <v>-5.1999999999999993</v>
      </c>
      <c r="Q33" s="459" t="s">
        <v>146</v>
      </c>
      <c r="R33" s="200">
        <v>29.5</v>
      </c>
      <c r="S33" s="199">
        <v>40</v>
      </c>
      <c r="T33" s="457">
        <f t="shared" ref="T33" si="25">SUM(S33,-R33)</f>
        <v>10.5</v>
      </c>
      <c r="U33" s="459" t="s">
        <v>184</v>
      </c>
      <c r="V33" s="200">
        <v>29.5</v>
      </c>
      <c r="W33" s="199">
        <v>38.5</v>
      </c>
      <c r="X33" s="457">
        <f t="shared" ref="X33" si="26">SUM(W33,-V33)</f>
        <v>9</v>
      </c>
      <c r="Y33" s="461" t="s">
        <v>148</v>
      </c>
    </row>
    <row r="34" spans="3:25" ht="16">
      <c r="C34" s="451"/>
      <c r="D34" s="467"/>
      <c r="E34" s="463" t="s">
        <v>104</v>
      </c>
      <c r="F34" s="198">
        <v>0.2</v>
      </c>
      <c r="G34" s="230">
        <v>29</v>
      </c>
      <c r="H34" s="458"/>
      <c r="I34" s="460"/>
      <c r="J34" s="198">
        <v>0.22</v>
      </c>
      <c r="K34" s="230">
        <v>34</v>
      </c>
      <c r="L34" s="458"/>
      <c r="M34" s="460"/>
      <c r="N34" s="198">
        <v>0.22</v>
      </c>
      <c r="O34" s="230">
        <v>0.18</v>
      </c>
      <c r="P34" s="458"/>
      <c r="Q34" s="460"/>
      <c r="R34" s="198">
        <v>0.22</v>
      </c>
      <c r="S34" s="230">
        <v>30</v>
      </c>
      <c r="T34" s="458"/>
      <c r="U34" s="460"/>
      <c r="V34" s="198">
        <v>0.22</v>
      </c>
      <c r="W34" s="230">
        <v>29</v>
      </c>
      <c r="X34" s="458"/>
      <c r="Y34" s="462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10</v>
      </c>
      <c r="G37" s="165">
        <v>0.49999999999999856</v>
      </c>
      <c r="H37" s="164">
        <f t="shared" ref="H37" si="27">SUM(G37,-F37)</f>
        <v>-9.5000000000000018</v>
      </c>
      <c r="I37" s="189" t="s">
        <v>147</v>
      </c>
      <c r="J37" s="166">
        <v>10</v>
      </c>
      <c r="K37" s="165">
        <v>0.5</v>
      </c>
      <c r="L37" s="164">
        <f t="shared" ref="L37" si="28">SUM(K37,-J37)</f>
        <v>-9.5</v>
      </c>
      <c r="M37" s="189" t="s">
        <v>147</v>
      </c>
      <c r="N37" s="166">
        <v>10</v>
      </c>
      <c r="O37" s="165">
        <v>0.3</v>
      </c>
      <c r="P37" s="164">
        <f t="shared" ref="P37" si="29">SUM(O37,-N37)</f>
        <v>-9.6999999999999993</v>
      </c>
      <c r="Q37" s="189" t="s">
        <v>147</v>
      </c>
      <c r="R37" s="166">
        <v>10</v>
      </c>
      <c r="S37" s="165">
        <v>0.3</v>
      </c>
      <c r="T37" s="164">
        <f t="shared" ref="T37" si="30">SUM(S37,-R37)</f>
        <v>-9.6999999999999993</v>
      </c>
      <c r="U37" s="189" t="s">
        <v>170</v>
      </c>
      <c r="V37" s="166">
        <v>10</v>
      </c>
      <c r="W37" s="165">
        <v>0.2999999999999986</v>
      </c>
      <c r="X37" s="164">
        <f t="shared" ref="X37" si="31">SUM(W37,-V37)</f>
        <v>-9.7000000000000011</v>
      </c>
      <c r="Y37" s="267" t="s">
        <v>170</v>
      </c>
    </row>
    <row r="38" spans="3:25" ht="16.5" thickBot="1">
      <c r="C38" s="452"/>
      <c r="D38" s="427" t="s">
        <v>101</v>
      </c>
      <c r="E38" s="428"/>
      <c r="F38" s="188">
        <f t="shared" ref="F38" si="32">SUM(F29,F31,F33,F37)</f>
        <v>61.099999999999994</v>
      </c>
      <c r="G38" s="187">
        <f t="shared" ref="G38" si="33">SUM(G29:G33,G37)</f>
        <v>63.099999999999994</v>
      </c>
      <c r="H38" s="187">
        <f t="shared" ref="H38" si="34">SUM(H29:H34,H37)</f>
        <v>1.9999999999999982</v>
      </c>
      <c r="I38" s="186"/>
      <c r="J38" s="188">
        <f t="shared" ref="J38" si="35">SUM(J29,J31,J33,J37)</f>
        <v>66.7</v>
      </c>
      <c r="K38" s="187">
        <f t="shared" ref="K38" si="36">SUM(K29:K33,K37)</f>
        <v>72.599999999999994</v>
      </c>
      <c r="L38" s="187">
        <f t="shared" ref="L38" si="37">SUM(L29:L34,L37)</f>
        <v>5.8999999999999986</v>
      </c>
      <c r="M38" s="186"/>
      <c r="N38" s="188">
        <f>SUM(N29,N31,N33,N37)</f>
        <v>66.7</v>
      </c>
      <c r="O38" s="187">
        <f>SUM(O29:O33,O37)</f>
        <v>42.099999999999994</v>
      </c>
      <c r="P38" s="187">
        <f>SUM(P29:P34,P37)</f>
        <v>-24.599999999999998</v>
      </c>
      <c r="Q38" s="186"/>
      <c r="R38" s="188">
        <f>SUM(R29,R31,R33,R37)</f>
        <v>66.7</v>
      </c>
      <c r="S38" s="187">
        <f>SUM(S29:S33,S37)</f>
        <v>67.5</v>
      </c>
      <c r="T38" s="187">
        <f>SUM(T29:T34,T37)</f>
        <v>0.80000000000000071</v>
      </c>
      <c r="U38" s="186"/>
      <c r="V38" s="188">
        <f>SUM(V29,V31,V33,V37)</f>
        <v>66.7</v>
      </c>
      <c r="W38" s="187">
        <f>SUM(W29:W33,W37)</f>
        <v>66</v>
      </c>
      <c r="X38" s="187">
        <f>SUM(X29:X34,X37)</f>
        <v>-0.70000000000000107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38">SUM(G42,-F42)</f>
        <v>0</v>
      </c>
      <c r="I42" s="459"/>
      <c r="J42" s="178">
        <v>0</v>
      </c>
      <c r="K42" s="478">
        <v>0</v>
      </c>
      <c r="L42" s="457">
        <f t="shared" ref="L42" si="39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3:25" ht="16.5" thickBot="1">
      <c r="C43" s="474"/>
      <c r="D43" s="475"/>
      <c r="E43" s="477"/>
      <c r="F43" s="183">
        <v>180</v>
      </c>
      <c r="G43" s="479"/>
      <c r="H43" s="480"/>
      <c r="I43" s="481"/>
      <c r="J43" s="183">
        <v>180</v>
      </c>
      <c r="K43" s="479"/>
      <c r="L43" s="480"/>
      <c r="M43" s="481"/>
      <c r="N43" s="183">
        <v>127.2</v>
      </c>
      <c r="O43" s="479"/>
      <c r="P43" s="480"/>
      <c r="Q43" s="481"/>
      <c r="R43" s="183">
        <v>147.19999999999999</v>
      </c>
      <c r="S43" s="479"/>
      <c r="T43" s="480"/>
      <c r="U43" s="481"/>
      <c r="V43" s="183">
        <v>150.6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3:25" ht="16">
      <c r="C47" s="444"/>
      <c r="D47" s="483"/>
      <c r="E47" s="488" t="s">
        <v>91</v>
      </c>
      <c r="F47" s="178">
        <v>36.799999999999997</v>
      </c>
      <c r="G47" s="478">
        <v>31.4</v>
      </c>
      <c r="H47" s="457">
        <f t="shared" ref="H47" si="40">SUM(G47,-F47)</f>
        <v>-5.3999999999999986</v>
      </c>
      <c r="I47" s="459" t="s">
        <v>146</v>
      </c>
      <c r="J47" s="178">
        <v>36.799999999999997</v>
      </c>
      <c r="K47" s="478">
        <v>31.9</v>
      </c>
      <c r="L47" s="457">
        <f t="shared" ref="L47" si="41">SUM(K47,-J47)</f>
        <v>-4.8999999999999986</v>
      </c>
      <c r="M47" s="459" t="s">
        <v>146</v>
      </c>
      <c r="N47" s="178">
        <v>38</v>
      </c>
      <c r="O47" s="478">
        <v>28.7</v>
      </c>
      <c r="P47" s="457">
        <f>SUM(O47,-N47)</f>
        <v>-9.3000000000000007</v>
      </c>
      <c r="Q47" s="459" t="s">
        <v>146</v>
      </c>
      <c r="R47" s="178">
        <v>31.2</v>
      </c>
      <c r="S47" s="478">
        <v>28.8</v>
      </c>
      <c r="T47" s="457">
        <f>SUM(S47,-R47)</f>
        <v>-2.3999999999999986</v>
      </c>
      <c r="U47" s="459" t="s">
        <v>146</v>
      </c>
      <c r="V47" s="178">
        <v>31.2</v>
      </c>
      <c r="W47" s="478">
        <v>28.8</v>
      </c>
      <c r="X47" s="457">
        <f>SUM(W47,-V47)</f>
        <v>-2.3999999999999986</v>
      </c>
      <c r="Y47" s="461" t="s">
        <v>146</v>
      </c>
    </row>
    <row r="48" spans="3:25" ht="16.5" thickBot="1">
      <c r="C48" s="486"/>
      <c r="D48" s="487"/>
      <c r="E48" s="489"/>
      <c r="F48" s="177">
        <v>0.57999999999999996</v>
      </c>
      <c r="G48" s="479"/>
      <c r="H48" s="480"/>
      <c r="I48" s="481"/>
      <c r="J48" s="177">
        <v>0.57999999999999996</v>
      </c>
      <c r="K48" s="479"/>
      <c r="L48" s="480"/>
      <c r="M48" s="481"/>
      <c r="N48" s="177">
        <v>0.55000000000000004</v>
      </c>
      <c r="O48" s="479"/>
      <c r="P48" s="480"/>
      <c r="Q48" s="481"/>
      <c r="R48" s="177">
        <v>0.55000000000000004</v>
      </c>
      <c r="S48" s="479"/>
      <c r="T48" s="480"/>
      <c r="U48" s="481"/>
      <c r="V48" s="177">
        <v>0.55000000000000004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2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3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27.6</v>
      </c>
      <c r="H53" s="223" t="s">
        <v>159</v>
      </c>
      <c r="I53" s="222" t="s">
        <v>213</v>
      </c>
      <c r="J53" s="225">
        <v>0</v>
      </c>
      <c r="K53" s="229">
        <v>27.1</v>
      </c>
      <c r="L53" s="223" t="s">
        <v>159</v>
      </c>
      <c r="M53" s="222" t="s">
        <v>213</v>
      </c>
      <c r="N53" s="225">
        <v>0</v>
      </c>
      <c r="O53" s="229">
        <v>27.8</v>
      </c>
      <c r="P53" s="223" t="s">
        <v>159</v>
      </c>
      <c r="Q53" s="222" t="s">
        <v>213</v>
      </c>
      <c r="R53" s="225">
        <v>0</v>
      </c>
      <c r="S53" s="229">
        <v>25.8</v>
      </c>
      <c r="T53" s="223" t="s">
        <v>159</v>
      </c>
      <c r="U53" s="222" t="s">
        <v>213</v>
      </c>
      <c r="V53" s="225">
        <v>0</v>
      </c>
      <c r="W53" s="229">
        <v>25.8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AAD4-A5C4-4994-822B-25610978294D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190</v>
      </c>
      <c r="O2" s="366"/>
    </row>
    <row r="3" spans="2:15" ht="16.5" thickBot="1">
      <c r="B3" s="3"/>
      <c r="C3" s="372" t="s">
        <v>3</v>
      </c>
      <c r="D3" s="373"/>
      <c r="E3" s="374"/>
      <c r="F3" s="25">
        <v>45332</v>
      </c>
      <c r="G3" s="26" t="s">
        <v>48</v>
      </c>
      <c r="H3" s="25">
        <v>45333</v>
      </c>
      <c r="I3" s="26" t="s">
        <v>71</v>
      </c>
      <c r="J3" s="25">
        <v>45334</v>
      </c>
      <c r="K3" s="26" t="s">
        <v>48</v>
      </c>
      <c r="L3" s="25">
        <v>45335</v>
      </c>
      <c r="M3" s="26" t="s">
        <v>48</v>
      </c>
      <c r="N3" s="25">
        <v>45339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85.4</v>
      </c>
      <c r="G5" s="384" t="s">
        <v>45</v>
      </c>
      <c r="H5" s="9">
        <v>84.6</v>
      </c>
      <c r="I5" s="384" t="s">
        <v>45</v>
      </c>
      <c r="J5" s="9">
        <v>85.2</v>
      </c>
      <c r="K5" s="384" t="s">
        <v>45</v>
      </c>
      <c r="L5" s="9">
        <v>86.4</v>
      </c>
      <c r="M5" s="384" t="s">
        <v>45</v>
      </c>
      <c r="N5" s="9">
        <v>75.8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141.19999999999999</v>
      </c>
      <c r="G6" s="385"/>
      <c r="H6" s="10">
        <v>143.80000000000001</v>
      </c>
      <c r="I6" s="385"/>
      <c r="J6" s="10">
        <v>142.69999999999999</v>
      </c>
      <c r="K6" s="385"/>
      <c r="L6" s="10">
        <v>162.5</v>
      </c>
      <c r="M6" s="385"/>
      <c r="N6" s="10">
        <v>127.6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413.1</v>
      </c>
      <c r="G7" s="385"/>
      <c r="H7" s="28">
        <v>413.2</v>
      </c>
      <c r="I7" s="385"/>
      <c r="J7" s="28">
        <v>413.2</v>
      </c>
      <c r="K7" s="385"/>
      <c r="L7" s="28">
        <v>413.5</v>
      </c>
      <c r="M7" s="385"/>
      <c r="N7" s="28">
        <v>413.4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19.899999999999999</v>
      </c>
      <c r="G8" s="385"/>
      <c r="H8" s="29">
        <v>17.699999999999797</v>
      </c>
      <c r="I8" s="385"/>
      <c r="J8" s="29">
        <v>17.200000000000138</v>
      </c>
      <c r="K8" s="385"/>
      <c r="L8" s="29">
        <v>18.100000000000001</v>
      </c>
      <c r="M8" s="385"/>
      <c r="N8" s="29">
        <v>17.199999999999978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16.3</v>
      </c>
      <c r="I9" s="385"/>
      <c r="J9" s="30">
        <v>16.3</v>
      </c>
      <c r="K9" s="385"/>
      <c r="L9" s="30">
        <v>16.3</v>
      </c>
      <c r="M9" s="385"/>
      <c r="N9" s="30">
        <v>15.9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33.299999999999997</v>
      </c>
      <c r="G10" s="385"/>
      <c r="H10" s="11">
        <v>33.299999999999997</v>
      </c>
      <c r="I10" s="385"/>
      <c r="J10" s="11">
        <v>33.299999999999997</v>
      </c>
      <c r="K10" s="385"/>
      <c r="L10" s="11">
        <v>33.299999999999997</v>
      </c>
      <c r="M10" s="385"/>
      <c r="N10" s="11">
        <v>31.7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23.1</v>
      </c>
      <c r="G11" s="385"/>
      <c r="H11" s="12">
        <v>22.7</v>
      </c>
      <c r="I11" s="385"/>
      <c r="J11" s="12">
        <v>22.3</v>
      </c>
      <c r="K11" s="385"/>
      <c r="L11" s="12">
        <v>22.5</v>
      </c>
      <c r="M11" s="385"/>
      <c r="N11" s="12">
        <v>23.3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756.6</v>
      </c>
      <c r="G12" s="385"/>
      <c r="H12" s="13">
        <v>735.5</v>
      </c>
      <c r="I12" s="385"/>
      <c r="J12" s="13">
        <v>831.1</v>
      </c>
      <c r="K12" s="385"/>
      <c r="L12" s="13">
        <v>770.8</v>
      </c>
      <c r="M12" s="385"/>
      <c r="N12" s="13">
        <v>838.1</v>
      </c>
      <c r="O12" s="385"/>
    </row>
    <row r="13" spans="2:15" ht="16">
      <c r="B13" s="376"/>
      <c r="C13" s="379"/>
      <c r="D13" s="388"/>
      <c r="E13" s="45" t="s">
        <v>27</v>
      </c>
      <c r="F13" s="13">
        <v>17.3</v>
      </c>
      <c r="G13" s="385"/>
      <c r="H13" s="13">
        <v>22.2</v>
      </c>
      <c r="I13" s="385"/>
      <c r="J13" s="13">
        <v>2.2000000000000002</v>
      </c>
      <c r="K13" s="385"/>
      <c r="L13" s="13">
        <v>7.6</v>
      </c>
      <c r="M13" s="385"/>
      <c r="N13" s="13">
        <v>1.4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261.7</v>
      </c>
      <c r="G14" s="385"/>
      <c r="H14" s="14">
        <v>268.10000000000002</v>
      </c>
      <c r="I14" s="385"/>
      <c r="J14" s="14">
        <v>187.2</v>
      </c>
      <c r="K14" s="385"/>
      <c r="L14" s="14">
        <v>247.5</v>
      </c>
      <c r="M14" s="385"/>
      <c r="N14" s="14">
        <v>180.2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1767.9</v>
      </c>
      <c r="G15" s="385"/>
      <c r="H15" s="15">
        <v>1757.4</v>
      </c>
      <c r="I15" s="385"/>
      <c r="J15" s="15">
        <v>1750.7</v>
      </c>
      <c r="K15" s="385"/>
      <c r="L15" s="15">
        <v>1778.4999999999998</v>
      </c>
      <c r="M15" s="385"/>
      <c r="N15" s="15">
        <v>1724.6000000000001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915</v>
      </c>
      <c r="G16" s="385"/>
      <c r="H16" s="8">
        <v>874.1</v>
      </c>
      <c r="I16" s="385"/>
      <c r="J16" s="8">
        <v>905</v>
      </c>
      <c r="K16" s="385"/>
      <c r="L16" s="8">
        <v>965</v>
      </c>
      <c r="M16" s="385"/>
      <c r="N16" s="8">
        <v>875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-253.2</v>
      </c>
      <c r="G17" s="385"/>
      <c r="H17" s="16">
        <v>-188.2</v>
      </c>
      <c r="I17" s="385"/>
      <c r="J17" s="16">
        <v>-253.2</v>
      </c>
      <c r="K17" s="385"/>
      <c r="L17" s="16">
        <v>-253.2</v>
      </c>
      <c r="M17" s="385"/>
      <c r="N17" s="16">
        <v>-253.2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0</v>
      </c>
      <c r="I18" s="385"/>
      <c r="J18" s="17">
        <v>0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-218</v>
      </c>
      <c r="G19" s="385"/>
      <c r="H19" s="18">
        <v>-216</v>
      </c>
      <c r="I19" s="385"/>
      <c r="J19" s="18">
        <v>-218</v>
      </c>
      <c r="K19" s="385"/>
      <c r="L19" s="18">
        <v>-266</v>
      </c>
      <c r="M19" s="385"/>
      <c r="N19" s="18">
        <v>-218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1386.2</v>
      </c>
      <c r="G21" s="386"/>
      <c r="H21" s="27">
        <v>1278.3</v>
      </c>
      <c r="I21" s="386"/>
      <c r="J21" s="27">
        <v>1376.2</v>
      </c>
      <c r="K21" s="386"/>
      <c r="L21" s="27">
        <v>1484.2</v>
      </c>
      <c r="M21" s="386"/>
      <c r="N21" s="27">
        <v>1346.2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1767.9</v>
      </c>
      <c r="G23" s="400"/>
      <c r="H23" s="20">
        <v>1757.4</v>
      </c>
      <c r="I23" s="400"/>
      <c r="J23" s="20">
        <v>1750.7</v>
      </c>
      <c r="K23" s="400"/>
      <c r="L23" s="20">
        <v>1778.4999999999998</v>
      </c>
      <c r="M23" s="400"/>
      <c r="N23" s="20">
        <v>1724.6000000000001</v>
      </c>
      <c r="O23" s="400"/>
    </row>
    <row r="24" spans="2:15" ht="16">
      <c r="B24" s="409"/>
      <c r="C24" s="403" t="s">
        <v>37</v>
      </c>
      <c r="D24" s="404"/>
      <c r="E24" s="405"/>
      <c r="F24" s="21">
        <v>1386.2</v>
      </c>
      <c r="G24" s="401"/>
      <c r="H24" s="21">
        <v>1278.3</v>
      </c>
      <c r="I24" s="401"/>
      <c r="J24" s="21">
        <v>1376.2</v>
      </c>
      <c r="K24" s="401"/>
      <c r="L24" s="21">
        <v>1484.2</v>
      </c>
      <c r="M24" s="401"/>
      <c r="N24" s="21">
        <v>1346.2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381.70000000000005</v>
      </c>
      <c r="G25" s="402"/>
      <c r="H25" s="67">
        <v>479.10000000000014</v>
      </c>
      <c r="I25" s="402"/>
      <c r="J25" s="67">
        <v>374.5</v>
      </c>
      <c r="K25" s="402"/>
      <c r="L25" s="67">
        <v>294.29999999999973</v>
      </c>
      <c r="M25" s="402"/>
      <c r="N25" s="67">
        <v>378.40000000000009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日別の需給状況・再エネ出力抑制の必要性（2024年2月）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E74B-DF78-43A1-900F-853B9FA220F6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 t="s">
        <v>57</v>
      </c>
      <c r="O1" s="32"/>
    </row>
    <row r="2" spans="2:15" ht="16">
      <c r="B2" s="2"/>
      <c r="C2" s="367" t="s">
        <v>0</v>
      </c>
      <c r="D2" s="368"/>
      <c r="E2" s="369"/>
      <c r="F2" s="365" t="s">
        <v>190</v>
      </c>
      <c r="G2" s="366"/>
      <c r="H2" s="365" t="s">
        <v>190</v>
      </c>
      <c r="I2" s="366"/>
      <c r="J2" s="365" t="s">
        <v>190</v>
      </c>
      <c r="K2" s="366"/>
    </row>
    <row r="3" spans="2:15" ht="16.5" thickBot="1">
      <c r="B3" s="3"/>
      <c r="C3" s="372" t="s">
        <v>3</v>
      </c>
      <c r="D3" s="373"/>
      <c r="E3" s="374"/>
      <c r="F3" s="25">
        <v>45340</v>
      </c>
      <c r="G3" s="26" t="s">
        <v>49</v>
      </c>
      <c r="H3" s="25">
        <v>45347</v>
      </c>
      <c r="I3" s="26" t="s">
        <v>208</v>
      </c>
      <c r="J3" s="25">
        <v>45350</v>
      </c>
      <c r="K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73.8</v>
      </c>
      <c r="G5" s="384" t="s">
        <v>45</v>
      </c>
      <c r="H5" s="9">
        <v>75.2</v>
      </c>
      <c r="I5" s="384" t="s">
        <v>45</v>
      </c>
      <c r="J5" s="9">
        <v>97.8</v>
      </c>
      <c r="K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128.1</v>
      </c>
      <c r="G6" s="385"/>
      <c r="H6" s="10">
        <v>113.4</v>
      </c>
      <c r="I6" s="385"/>
      <c r="J6" s="10">
        <v>134.30000000000001</v>
      </c>
      <c r="K6" s="385"/>
    </row>
    <row r="7" spans="2:15" ht="16">
      <c r="B7" s="376"/>
      <c r="C7" s="379"/>
      <c r="D7" s="35" t="s">
        <v>13</v>
      </c>
      <c r="E7" s="36" t="s">
        <v>5</v>
      </c>
      <c r="F7" s="28">
        <v>413.7</v>
      </c>
      <c r="G7" s="385"/>
      <c r="H7" s="28">
        <v>413.3</v>
      </c>
      <c r="I7" s="385"/>
      <c r="J7" s="28">
        <v>413.5</v>
      </c>
      <c r="K7" s="385"/>
    </row>
    <row r="8" spans="2:15" ht="16">
      <c r="B8" s="376"/>
      <c r="C8" s="379"/>
      <c r="D8" s="37" t="s">
        <v>14</v>
      </c>
      <c r="E8" s="38" t="s">
        <v>6</v>
      </c>
      <c r="F8" s="29">
        <v>16.800000000000146</v>
      </c>
      <c r="G8" s="385"/>
      <c r="H8" s="29">
        <v>35.5</v>
      </c>
      <c r="I8" s="385"/>
      <c r="J8" s="29">
        <v>27.9</v>
      </c>
      <c r="K8" s="385"/>
    </row>
    <row r="9" spans="2:15" ht="16">
      <c r="B9" s="376"/>
      <c r="C9" s="379"/>
      <c r="D9" s="39" t="s">
        <v>15</v>
      </c>
      <c r="E9" s="40" t="s">
        <v>7</v>
      </c>
      <c r="F9" s="30">
        <v>16.100000000000001</v>
      </c>
      <c r="G9" s="385"/>
      <c r="H9" s="30">
        <v>16.100000000000001</v>
      </c>
      <c r="I9" s="385"/>
      <c r="J9" s="30">
        <v>15.9</v>
      </c>
      <c r="K9" s="385"/>
    </row>
    <row r="10" spans="2:15" ht="16">
      <c r="B10" s="376"/>
      <c r="C10" s="379"/>
      <c r="D10" s="41" t="s">
        <v>17</v>
      </c>
      <c r="E10" s="42" t="s">
        <v>1</v>
      </c>
      <c r="F10" s="11">
        <v>31</v>
      </c>
      <c r="G10" s="385"/>
      <c r="H10" s="11">
        <v>33.299999999999997</v>
      </c>
      <c r="I10" s="385"/>
      <c r="J10" s="11">
        <v>33.299999999999997</v>
      </c>
      <c r="K10" s="385"/>
    </row>
    <row r="11" spans="2:15" ht="16">
      <c r="B11" s="376"/>
      <c r="C11" s="379"/>
      <c r="D11" s="43" t="s">
        <v>16</v>
      </c>
      <c r="E11" s="44" t="s">
        <v>2</v>
      </c>
      <c r="F11" s="12">
        <v>23.7</v>
      </c>
      <c r="G11" s="385"/>
      <c r="H11" s="12">
        <v>24.8</v>
      </c>
      <c r="I11" s="385"/>
      <c r="J11" s="12">
        <v>24.3</v>
      </c>
      <c r="K11" s="385"/>
    </row>
    <row r="12" spans="2:15" ht="16">
      <c r="B12" s="376"/>
      <c r="C12" s="379"/>
      <c r="D12" s="387" t="s">
        <v>18</v>
      </c>
      <c r="E12" s="45" t="s">
        <v>26</v>
      </c>
      <c r="F12" s="13">
        <v>827.2</v>
      </c>
      <c r="G12" s="385"/>
      <c r="H12" s="13">
        <v>417.5</v>
      </c>
      <c r="I12" s="385"/>
      <c r="J12" s="13">
        <v>795.4</v>
      </c>
      <c r="K12" s="385"/>
    </row>
    <row r="13" spans="2:15" ht="16">
      <c r="B13" s="376"/>
      <c r="C13" s="379"/>
      <c r="D13" s="388"/>
      <c r="E13" s="45" t="s">
        <v>27</v>
      </c>
      <c r="F13" s="13">
        <v>8.8000000000000007</v>
      </c>
      <c r="G13" s="385"/>
      <c r="H13" s="13">
        <v>7.7</v>
      </c>
      <c r="I13" s="385"/>
      <c r="J13" s="13">
        <v>5.8</v>
      </c>
      <c r="K13" s="385"/>
    </row>
    <row r="14" spans="2:15" ht="16">
      <c r="B14" s="376"/>
      <c r="C14" s="379"/>
      <c r="D14" s="46" t="s">
        <v>19</v>
      </c>
      <c r="E14" s="47" t="s">
        <v>4</v>
      </c>
      <c r="F14" s="14">
        <v>205.8</v>
      </c>
      <c r="G14" s="385"/>
      <c r="H14" s="14">
        <v>357</v>
      </c>
      <c r="I14" s="385"/>
      <c r="J14" s="14">
        <v>222.9</v>
      </c>
      <c r="K14" s="385"/>
    </row>
    <row r="15" spans="2:15" ht="16.5" thickBot="1">
      <c r="B15" s="376"/>
      <c r="C15" s="380"/>
      <c r="D15" s="389" t="s">
        <v>28</v>
      </c>
      <c r="E15" s="390"/>
      <c r="F15" s="15">
        <v>1745</v>
      </c>
      <c r="G15" s="385"/>
      <c r="H15" s="15">
        <v>1493.8</v>
      </c>
      <c r="I15" s="385"/>
      <c r="J15" s="15">
        <v>1771.1</v>
      </c>
      <c r="K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775</v>
      </c>
      <c r="G16" s="385"/>
      <c r="H16" s="8">
        <v>843</v>
      </c>
      <c r="I16" s="385"/>
      <c r="J16" s="8">
        <v>960.3</v>
      </c>
      <c r="K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-253.2</v>
      </c>
      <c r="G17" s="385"/>
      <c r="H17" s="16">
        <v>-253.2</v>
      </c>
      <c r="I17" s="385"/>
      <c r="J17" s="16">
        <v>-253.2</v>
      </c>
      <c r="K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0</v>
      </c>
      <c r="I18" s="385"/>
      <c r="J18" s="17">
        <v>0</v>
      </c>
      <c r="K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-220</v>
      </c>
      <c r="G19" s="385"/>
      <c r="H19" s="18">
        <v>-214</v>
      </c>
      <c r="I19" s="385"/>
      <c r="J19" s="18">
        <v>-260.2</v>
      </c>
      <c r="K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</row>
    <row r="21" spans="2:15" ht="16.5" thickBot="1">
      <c r="B21" s="377"/>
      <c r="C21" s="393"/>
      <c r="D21" s="398" t="s">
        <v>34</v>
      </c>
      <c r="E21" s="399"/>
      <c r="F21" s="27">
        <v>1248.2</v>
      </c>
      <c r="G21" s="386"/>
      <c r="H21" s="27">
        <v>1310.2</v>
      </c>
      <c r="I21" s="386"/>
      <c r="J21" s="27">
        <v>1473.7</v>
      </c>
      <c r="K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1745</v>
      </c>
      <c r="G23" s="400"/>
      <c r="H23" s="20">
        <v>1493.8</v>
      </c>
      <c r="I23" s="400"/>
      <c r="J23" s="20">
        <v>1771.1</v>
      </c>
      <c r="K23" s="400"/>
    </row>
    <row r="24" spans="2:15" ht="16">
      <c r="B24" s="409"/>
      <c r="C24" s="403" t="s">
        <v>37</v>
      </c>
      <c r="D24" s="404"/>
      <c r="E24" s="405"/>
      <c r="F24" s="21">
        <v>1248.2</v>
      </c>
      <c r="G24" s="401"/>
      <c r="H24" s="21">
        <v>1310.2</v>
      </c>
      <c r="I24" s="401"/>
      <c r="J24" s="21">
        <v>1473.7</v>
      </c>
      <c r="K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496.79999999999995</v>
      </c>
      <c r="G25" s="402"/>
      <c r="H25" s="67">
        <v>183.59999999999991</v>
      </c>
      <c r="I25" s="402"/>
      <c r="J25" s="67">
        <v>297.39999999999986</v>
      </c>
      <c r="K25" s="402"/>
    </row>
    <row r="26" spans="2:15" ht="15.5" thickBot="1">
      <c r="B26" s="22"/>
      <c r="C26" s="23"/>
      <c r="D26" s="23"/>
      <c r="E26" s="23"/>
      <c r="F26" s="24"/>
      <c r="G26" s="22"/>
      <c r="H26" s="329"/>
      <c r="I26" s="330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3">
    <mergeCell ref="B23:B25"/>
    <mergeCell ref="C23:E23"/>
    <mergeCell ref="G23:G25"/>
    <mergeCell ref="I23:I25"/>
    <mergeCell ref="K23:K25"/>
    <mergeCell ref="C24:E24"/>
    <mergeCell ref="D25:E25"/>
    <mergeCell ref="C2:E2"/>
    <mergeCell ref="F2:G2"/>
    <mergeCell ref="H2:I2"/>
    <mergeCell ref="J2:K2"/>
    <mergeCell ref="C3:E3"/>
    <mergeCell ref="B5:B21"/>
    <mergeCell ref="C5:C15"/>
    <mergeCell ref="G5:G21"/>
    <mergeCell ref="I5:I21"/>
    <mergeCell ref="K5:K21"/>
    <mergeCell ref="D12:D13"/>
    <mergeCell ref="D15:E15"/>
    <mergeCell ref="C16:C21"/>
    <mergeCell ref="D17:D18"/>
    <mergeCell ref="D19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日別の需給状況・再エネ出力抑制の必要性（2024年2月）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6261-18B4-41F5-BD35-B3A9B8CFAC96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45332</v>
      </c>
      <c r="G3" s="418"/>
      <c r="H3" s="418"/>
      <c r="I3" s="419"/>
      <c r="J3" s="417">
        <v>45333</v>
      </c>
      <c r="K3" s="418"/>
      <c r="L3" s="418"/>
      <c r="M3" s="419"/>
      <c r="N3" s="417">
        <v>45334</v>
      </c>
      <c r="O3" s="418"/>
      <c r="P3" s="418"/>
      <c r="Q3" s="419"/>
      <c r="R3" s="417">
        <v>45335</v>
      </c>
      <c r="S3" s="418"/>
      <c r="T3" s="418"/>
      <c r="U3" s="419"/>
      <c r="V3" s="417">
        <v>45339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55.5</v>
      </c>
      <c r="G8" s="216">
        <v>55.5</v>
      </c>
      <c r="H8" s="215">
        <v>0</v>
      </c>
      <c r="I8" s="214"/>
      <c r="J8" s="217">
        <v>54.7</v>
      </c>
      <c r="K8" s="216">
        <v>54.7</v>
      </c>
      <c r="L8" s="215">
        <v>0</v>
      </c>
      <c r="M8" s="214"/>
      <c r="N8" s="217">
        <v>55.300000000000004</v>
      </c>
      <c r="O8" s="216">
        <v>55.300000000000004</v>
      </c>
      <c r="P8" s="215">
        <v>0</v>
      </c>
      <c r="Q8" s="214"/>
      <c r="R8" s="217">
        <v>56.5</v>
      </c>
      <c r="S8" s="216">
        <v>56.5</v>
      </c>
      <c r="T8" s="215">
        <v>0</v>
      </c>
      <c r="U8" s="214"/>
      <c r="V8" s="217">
        <v>54.7</v>
      </c>
      <c r="W8" s="216">
        <v>54.7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v>85.4</v>
      </c>
      <c r="G9" s="187">
        <v>85.4</v>
      </c>
      <c r="H9" s="187">
        <v>0</v>
      </c>
      <c r="I9" s="213" t="s">
        <v>81</v>
      </c>
      <c r="J9" s="188">
        <v>84.6</v>
      </c>
      <c r="K9" s="187">
        <v>84.6</v>
      </c>
      <c r="L9" s="187">
        <v>0</v>
      </c>
      <c r="M9" s="213" t="s">
        <v>81</v>
      </c>
      <c r="N9" s="188">
        <v>85.2</v>
      </c>
      <c r="O9" s="187">
        <v>85.2</v>
      </c>
      <c r="P9" s="187">
        <v>0</v>
      </c>
      <c r="Q9" s="213" t="s">
        <v>81</v>
      </c>
      <c r="R9" s="188">
        <v>86.4</v>
      </c>
      <c r="S9" s="187">
        <v>86.4</v>
      </c>
      <c r="T9" s="187">
        <v>0</v>
      </c>
      <c r="U9" s="213" t="s">
        <v>81</v>
      </c>
      <c r="V9" s="188">
        <v>75.800000000000011</v>
      </c>
      <c r="W9" s="187">
        <v>75.800000000000011</v>
      </c>
      <c r="X9" s="187"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45332</v>
      </c>
      <c r="G11" s="433"/>
      <c r="H11" s="433"/>
      <c r="I11" s="434"/>
      <c r="J11" s="432">
        <v>45333</v>
      </c>
      <c r="K11" s="433"/>
      <c r="L11" s="433"/>
      <c r="M11" s="434"/>
      <c r="N11" s="432">
        <v>45334</v>
      </c>
      <c r="O11" s="433"/>
      <c r="P11" s="433"/>
      <c r="Q11" s="434"/>
      <c r="R11" s="432">
        <v>45335</v>
      </c>
      <c r="S11" s="433"/>
      <c r="T11" s="433"/>
      <c r="U11" s="434"/>
      <c r="V11" s="432">
        <v>45339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0</v>
      </c>
      <c r="L15" s="164">
        <v>32.5</v>
      </c>
      <c r="M15" s="189" t="s">
        <v>90</v>
      </c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0</v>
      </c>
      <c r="L16" s="164">
        <v>32.5</v>
      </c>
      <c r="M16" s="189" t="s">
        <v>90</v>
      </c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-253.2</v>
      </c>
      <c r="H21" s="187">
        <v>0</v>
      </c>
      <c r="I21" s="186" t="s">
        <v>81</v>
      </c>
      <c r="J21" s="188">
        <v>-253.2</v>
      </c>
      <c r="K21" s="187">
        <v>-188.2</v>
      </c>
      <c r="L21" s="187">
        <v>65</v>
      </c>
      <c r="M21" s="186" t="s">
        <v>81</v>
      </c>
      <c r="N21" s="188">
        <v>-253.2</v>
      </c>
      <c r="O21" s="187">
        <v>-253.2</v>
      </c>
      <c r="P21" s="187">
        <v>0</v>
      </c>
      <c r="Q21" s="186" t="s">
        <v>81</v>
      </c>
      <c r="R21" s="188">
        <v>-253.2</v>
      </c>
      <c r="S21" s="187">
        <v>-253.2</v>
      </c>
      <c r="T21" s="187">
        <v>0</v>
      </c>
      <c r="U21" s="186" t="s">
        <v>81</v>
      </c>
      <c r="V21" s="188">
        <v>-253.2</v>
      </c>
      <c r="W21" s="187">
        <v>-253.2</v>
      </c>
      <c r="X21" s="187">
        <v>0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45332</v>
      </c>
      <c r="G23" s="433"/>
      <c r="H23" s="433"/>
      <c r="I23" s="434"/>
      <c r="J23" s="432">
        <v>45333</v>
      </c>
      <c r="K23" s="433"/>
      <c r="L23" s="433"/>
      <c r="M23" s="434"/>
      <c r="N23" s="432">
        <v>45334</v>
      </c>
      <c r="O23" s="433"/>
      <c r="P23" s="433"/>
      <c r="Q23" s="434"/>
      <c r="R23" s="432">
        <v>45335</v>
      </c>
      <c r="S23" s="433"/>
      <c r="T23" s="433"/>
      <c r="U23" s="434"/>
      <c r="V23" s="432">
        <v>45339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v>5</v>
      </c>
      <c r="I25" s="206" t="s">
        <v>209</v>
      </c>
      <c r="J25" s="209">
        <v>-5</v>
      </c>
      <c r="K25" s="208">
        <v>0</v>
      </c>
      <c r="L25" s="207">
        <v>5</v>
      </c>
      <c r="M25" s="206" t="s">
        <v>209</v>
      </c>
      <c r="N25" s="209">
        <v>-5</v>
      </c>
      <c r="O25" s="208">
        <v>0</v>
      </c>
      <c r="P25" s="207">
        <v>5</v>
      </c>
      <c r="Q25" s="206" t="s">
        <v>209</v>
      </c>
      <c r="R25" s="209">
        <v>-5</v>
      </c>
      <c r="S25" s="208">
        <v>0</v>
      </c>
      <c r="T25" s="207">
        <v>5</v>
      </c>
      <c r="U25" s="206" t="s">
        <v>209</v>
      </c>
      <c r="V25" s="209">
        <v>-5</v>
      </c>
      <c r="W25" s="208">
        <v>0</v>
      </c>
      <c r="X25" s="207">
        <v>5</v>
      </c>
      <c r="Y25" s="269" t="s">
        <v>209</v>
      </c>
    </row>
    <row r="26" spans="3:25" ht="16.5" customHeight="1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45332</v>
      </c>
      <c r="G27" s="433"/>
      <c r="H27" s="433"/>
      <c r="I27" s="434"/>
      <c r="J27" s="432">
        <v>45333</v>
      </c>
      <c r="K27" s="433"/>
      <c r="L27" s="433"/>
      <c r="M27" s="434"/>
      <c r="N27" s="432">
        <v>45334</v>
      </c>
      <c r="O27" s="433"/>
      <c r="P27" s="433"/>
      <c r="Q27" s="434"/>
      <c r="R27" s="432">
        <v>45335</v>
      </c>
      <c r="S27" s="433"/>
      <c r="T27" s="433"/>
      <c r="U27" s="434"/>
      <c r="V27" s="432">
        <v>45339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>
        <v>43.8</v>
      </c>
      <c r="W29" s="455">
        <v>43.8</v>
      </c>
      <c r="X29" s="457">
        <v>0</v>
      </c>
      <c r="Y29" s="46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62</v>
      </c>
      <c r="T31" s="457">
        <v>7.6000000000000014</v>
      </c>
      <c r="U31" s="459" t="s">
        <v>108</v>
      </c>
      <c r="V31" s="200">
        <v>54.4</v>
      </c>
      <c r="W31" s="455">
        <v>54.4</v>
      </c>
      <c r="X31" s="457">
        <v>0</v>
      </c>
      <c r="Y31" s="46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42.6</v>
      </c>
      <c r="H33" s="457">
        <v>-6.6000000000000014</v>
      </c>
      <c r="I33" s="459" t="s">
        <v>95</v>
      </c>
      <c r="J33" s="200">
        <v>49.2</v>
      </c>
      <c r="K33" s="199">
        <v>45.2</v>
      </c>
      <c r="L33" s="457">
        <v>-4</v>
      </c>
      <c r="M33" s="459" t="s">
        <v>95</v>
      </c>
      <c r="N33" s="200">
        <v>49.2</v>
      </c>
      <c r="O33" s="199">
        <v>44.1</v>
      </c>
      <c r="P33" s="457">
        <v>-5.1000000000000014</v>
      </c>
      <c r="Q33" s="459" t="s">
        <v>95</v>
      </c>
      <c r="R33" s="200">
        <v>49.2</v>
      </c>
      <c r="S33" s="199">
        <v>56.3</v>
      </c>
      <c r="T33" s="457">
        <v>7.0999999999999943</v>
      </c>
      <c r="U33" s="459" t="s">
        <v>105</v>
      </c>
      <c r="V33" s="200">
        <v>49.2</v>
      </c>
      <c r="W33" s="199">
        <v>29</v>
      </c>
      <c r="X33" s="457">
        <v>-20.200000000000003</v>
      </c>
      <c r="Y33" s="461" t="s">
        <v>95</v>
      </c>
    </row>
    <row r="34" spans="3:25" ht="16">
      <c r="C34" s="451"/>
      <c r="D34" s="467"/>
      <c r="E34" s="463" t="s">
        <v>104</v>
      </c>
      <c r="F34" s="198">
        <v>0.26</v>
      </c>
      <c r="G34" s="197">
        <v>0.23</v>
      </c>
      <c r="H34" s="458"/>
      <c r="I34" s="460"/>
      <c r="J34" s="198">
        <v>0.26</v>
      </c>
      <c r="K34" s="197">
        <v>0.24</v>
      </c>
      <c r="L34" s="458"/>
      <c r="M34" s="460"/>
      <c r="N34" s="198">
        <v>0.26</v>
      </c>
      <c r="O34" s="197">
        <v>0.23</v>
      </c>
      <c r="P34" s="458"/>
      <c r="Q34" s="460"/>
      <c r="R34" s="198">
        <v>0.26</v>
      </c>
      <c r="S34" s="197">
        <v>0.3</v>
      </c>
      <c r="T34" s="458"/>
      <c r="U34" s="460"/>
      <c r="V34" s="198">
        <v>0.26</v>
      </c>
      <c r="W34" s="197">
        <v>0.15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102</v>
      </c>
      <c r="J37" s="166">
        <v>13</v>
      </c>
      <c r="K37" s="165">
        <v>0.4</v>
      </c>
      <c r="L37" s="164">
        <v>-12.6</v>
      </c>
      <c r="M37" s="189" t="s">
        <v>102</v>
      </c>
      <c r="N37" s="166">
        <v>13</v>
      </c>
      <c r="O37" s="165">
        <v>0.4</v>
      </c>
      <c r="P37" s="164">
        <v>-12.6</v>
      </c>
      <c r="Q37" s="189" t="s">
        <v>102</v>
      </c>
      <c r="R37" s="166">
        <v>13</v>
      </c>
      <c r="S37" s="165">
        <v>0.4</v>
      </c>
      <c r="T37" s="164">
        <v>-12.6</v>
      </c>
      <c r="U37" s="189" t="s">
        <v>102</v>
      </c>
      <c r="V37" s="166">
        <v>13</v>
      </c>
      <c r="W37" s="165">
        <v>0.4</v>
      </c>
      <c r="X37" s="164">
        <v>-12.6</v>
      </c>
      <c r="Y37" s="267" t="s">
        <v>102</v>
      </c>
    </row>
    <row r="38" spans="3:25" ht="16.5" thickBot="1">
      <c r="C38" s="452"/>
      <c r="D38" s="427" t="s">
        <v>101</v>
      </c>
      <c r="E38" s="428"/>
      <c r="F38" s="188">
        <v>160.39999999999998</v>
      </c>
      <c r="G38" s="187">
        <v>141.19999999999999</v>
      </c>
      <c r="H38" s="187">
        <v>-19.200000000000003</v>
      </c>
      <c r="I38" s="186"/>
      <c r="J38" s="188">
        <v>160.39999999999998</v>
      </c>
      <c r="K38" s="187">
        <v>143.79999999999998</v>
      </c>
      <c r="L38" s="187">
        <v>-16.600000000000001</v>
      </c>
      <c r="M38" s="186"/>
      <c r="N38" s="188">
        <v>160.39999999999998</v>
      </c>
      <c r="O38" s="187">
        <v>142.69999999999999</v>
      </c>
      <c r="P38" s="187">
        <v>-17.700000000000003</v>
      </c>
      <c r="Q38" s="186"/>
      <c r="R38" s="188">
        <v>160.39999999999998</v>
      </c>
      <c r="S38" s="187">
        <v>162.5</v>
      </c>
      <c r="T38" s="187">
        <v>2.0999999999999961</v>
      </c>
      <c r="U38" s="186"/>
      <c r="V38" s="188">
        <v>160.39999999999998</v>
      </c>
      <c r="W38" s="187">
        <v>127.6</v>
      </c>
      <c r="X38" s="187">
        <v>-32.800000000000004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45332</v>
      </c>
      <c r="G40" s="470"/>
      <c r="H40" s="470"/>
      <c r="I40" s="471"/>
      <c r="J40" s="469">
        <v>45333</v>
      </c>
      <c r="K40" s="470"/>
      <c r="L40" s="470"/>
      <c r="M40" s="471"/>
      <c r="N40" s="469">
        <v>45334</v>
      </c>
      <c r="O40" s="470"/>
      <c r="P40" s="470"/>
      <c r="Q40" s="471"/>
      <c r="R40" s="469">
        <v>45335</v>
      </c>
      <c r="S40" s="470"/>
      <c r="T40" s="470"/>
      <c r="U40" s="471"/>
      <c r="V40" s="469">
        <v>45339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218</v>
      </c>
      <c r="G43" s="479"/>
      <c r="H43" s="480"/>
      <c r="I43" s="481"/>
      <c r="J43" s="183">
        <v>216</v>
      </c>
      <c r="K43" s="479"/>
      <c r="L43" s="480"/>
      <c r="M43" s="481"/>
      <c r="N43" s="183">
        <v>218</v>
      </c>
      <c r="O43" s="479"/>
      <c r="P43" s="480"/>
      <c r="Q43" s="481"/>
      <c r="R43" s="183">
        <v>266</v>
      </c>
      <c r="S43" s="479"/>
      <c r="T43" s="480"/>
      <c r="U43" s="481"/>
      <c r="V43" s="183">
        <v>218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45332</v>
      </c>
      <c r="G45" s="470"/>
      <c r="H45" s="470"/>
      <c r="I45" s="471"/>
      <c r="J45" s="469">
        <v>45333</v>
      </c>
      <c r="K45" s="470"/>
      <c r="L45" s="470"/>
      <c r="M45" s="471"/>
      <c r="N45" s="469">
        <v>45334</v>
      </c>
      <c r="O45" s="470"/>
      <c r="P45" s="470"/>
      <c r="Q45" s="471"/>
      <c r="R45" s="469">
        <v>45335</v>
      </c>
      <c r="S45" s="470"/>
      <c r="T45" s="470"/>
      <c r="U45" s="471"/>
      <c r="V45" s="469">
        <v>45339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30.8</v>
      </c>
      <c r="G47" s="478">
        <v>33.299999999999997</v>
      </c>
      <c r="H47" s="457">
        <v>2.4999999999999964</v>
      </c>
      <c r="I47" s="459" t="s">
        <v>90</v>
      </c>
      <c r="J47" s="178">
        <v>30.8</v>
      </c>
      <c r="K47" s="478">
        <v>33.299999999999997</v>
      </c>
      <c r="L47" s="457">
        <v>2.4999999999999964</v>
      </c>
      <c r="M47" s="459" t="s">
        <v>90</v>
      </c>
      <c r="N47" s="178">
        <v>30.8</v>
      </c>
      <c r="O47" s="478">
        <v>33.299999999999997</v>
      </c>
      <c r="P47" s="457">
        <v>2.4999999999999964</v>
      </c>
      <c r="Q47" s="459" t="s">
        <v>90</v>
      </c>
      <c r="R47" s="178">
        <v>30.8</v>
      </c>
      <c r="S47" s="478">
        <v>33.299999999999997</v>
      </c>
      <c r="T47" s="457">
        <v>2.4999999999999964</v>
      </c>
      <c r="U47" s="459" t="s">
        <v>90</v>
      </c>
      <c r="V47" s="178">
        <v>28.5</v>
      </c>
      <c r="W47" s="478">
        <v>31.7</v>
      </c>
      <c r="X47" s="457">
        <v>3.1999999999999993</v>
      </c>
      <c r="Y47" s="461" t="s">
        <v>90</v>
      </c>
    </row>
    <row r="48" spans="3:25" ht="16.5" thickBot="1">
      <c r="C48" s="486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1"/>
      <c r="R48" s="177">
        <v>0.64</v>
      </c>
      <c r="S48" s="479"/>
      <c r="T48" s="480"/>
      <c r="U48" s="481"/>
      <c r="V48" s="177">
        <v>0.66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45332</v>
      </c>
      <c r="G50" s="470"/>
      <c r="H50" s="470"/>
      <c r="I50" s="471"/>
      <c r="J50" s="469">
        <v>45333</v>
      </c>
      <c r="K50" s="470"/>
      <c r="L50" s="470"/>
      <c r="M50" s="471"/>
      <c r="N50" s="469">
        <v>45334</v>
      </c>
      <c r="O50" s="470"/>
      <c r="P50" s="470"/>
      <c r="Q50" s="471"/>
      <c r="R50" s="469">
        <v>45335</v>
      </c>
      <c r="S50" s="470"/>
      <c r="T50" s="470"/>
      <c r="U50" s="471"/>
      <c r="V50" s="469">
        <v>45339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23.1</v>
      </c>
      <c r="H53" s="223" t="s">
        <v>81</v>
      </c>
      <c r="I53" s="222" t="s">
        <v>80</v>
      </c>
      <c r="J53" s="225">
        <v>0</v>
      </c>
      <c r="K53" s="224">
        <v>22.7</v>
      </c>
      <c r="L53" s="223" t="s">
        <v>81</v>
      </c>
      <c r="M53" s="222" t="s">
        <v>80</v>
      </c>
      <c r="N53" s="225">
        <v>0</v>
      </c>
      <c r="O53" s="224">
        <v>22.3</v>
      </c>
      <c r="P53" s="223" t="s">
        <v>81</v>
      </c>
      <c r="Q53" s="222" t="s">
        <v>80</v>
      </c>
      <c r="R53" s="225">
        <v>0</v>
      </c>
      <c r="S53" s="224">
        <v>22.5</v>
      </c>
      <c r="T53" s="223" t="s">
        <v>81</v>
      </c>
      <c r="U53" s="222" t="s">
        <v>80</v>
      </c>
      <c r="V53" s="225">
        <v>0</v>
      </c>
      <c r="W53" s="224">
        <v>23.3</v>
      </c>
      <c r="X53" s="223" t="s">
        <v>81</v>
      </c>
      <c r="Y53" s="274" t="s">
        <v>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106F-6D27-4F33-9BDA-AC98812A370D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0" t="s">
        <v>143</v>
      </c>
      <c r="Y2" s="220"/>
    </row>
    <row r="3" spans="3:25" ht="17" thickTop="1" thickBot="1">
      <c r="C3" s="435" t="s">
        <v>142</v>
      </c>
      <c r="D3" s="436"/>
      <c r="E3" s="437"/>
      <c r="F3" s="417">
        <v>45340</v>
      </c>
      <c r="G3" s="418"/>
      <c r="H3" s="418"/>
      <c r="I3" s="419"/>
      <c r="J3" s="417">
        <v>45347</v>
      </c>
      <c r="K3" s="418"/>
      <c r="L3" s="418"/>
      <c r="M3" s="419"/>
      <c r="N3" s="417">
        <v>45350</v>
      </c>
      <c r="O3" s="418"/>
      <c r="P3" s="418"/>
      <c r="Q3" s="420"/>
      <c r="U3" s="1"/>
      <c r="Y3" s="1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262" t="s">
        <v>92</v>
      </c>
      <c r="U4" s="1"/>
      <c r="Y4" s="1"/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32.700000000000003</v>
      </c>
      <c r="P5" s="164">
        <v>20.300000000000004</v>
      </c>
      <c r="Q5" s="263" t="s">
        <v>108</v>
      </c>
      <c r="U5" s="1"/>
      <c r="Y5" s="1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63"/>
      <c r="U6" s="1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63"/>
      <c r="U7" s="1"/>
      <c r="Y7" s="1"/>
    </row>
    <row r="8" spans="3:25" ht="16">
      <c r="C8" s="423"/>
      <c r="D8" s="426"/>
      <c r="E8" s="218" t="s">
        <v>133</v>
      </c>
      <c r="F8" s="217">
        <v>52.7</v>
      </c>
      <c r="G8" s="216">
        <v>52.7</v>
      </c>
      <c r="H8" s="215">
        <v>0</v>
      </c>
      <c r="I8" s="214"/>
      <c r="J8" s="217">
        <v>54.1</v>
      </c>
      <c r="K8" s="216">
        <v>54.1</v>
      </c>
      <c r="L8" s="215">
        <v>0</v>
      </c>
      <c r="M8" s="214"/>
      <c r="N8" s="217">
        <v>56.400000000000006</v>
      </c>
      <c r="O8" s="216">
        <v>56.400000000000006</v>
      </c>
      <c r="P8" s="215">
        <v>0</v>
      </c>
      <c r="Q8" s="264"/>
      <c r="U8" s="1"/>
      <c r="Y8" s="1"/>
    </row>
    <row r="9" spans="3:25" ht="16.5" thickBot="1">
      <c r="C9" s="424"/>
      <c r="D9" s="427" t="s">
        <v>101</v>
      </c>
      <c r="E9" s="428"/>
      <c r="F9" s="188">
        <v>73.800000000000011</v>
      </c>
      <c r="G9" s="187">
        <v>73.800000000000011</v>
      </c>
      <c r="H9" s="187">
        <v>0</v>
      </c>
      <c r="I9" s="213" t="s">
        <v>81</v>
      </c>
      <c r="J9" s="188">
        <v>75.2</v>
      </c>
      <c r="K9" s="187">
        <v>75.2</v>
      </c>
      <c r="L9" s="187">
        <v>0</v>
      </c>
      <c r="M9" s="213" t="s">
        <v>81</v>
      </c>
      <c r="N9" s="188">
        <v>77.5</v>
      </c>
      <c r="O9" s="187">
        <v>97.800000000000011</v>
      </c>
      <c r="P9" s="187">
        <v>20.300000000000004</v>
      </c>
      <c r="Q9" s="265" t="s">
        <v>81</v>
      </c>
      <c r="U9" s="1"/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266"/>
      <c r="U10" s="1"/>
      <c r="Y10" s="1"/>
    </row>
    <row r="11" spans="3:25" ht="16.5" thickBot="1">
      <c r="C11" s="429" t="s">
        <v>132</v>
      </c>
      <c r="D11" s="430"/>
      <c r="E11" s="431"/>
      <c r="F11" s="432">
        <v>45340</v>
      </c>
      <c r="G11" s="433"/>
      <c r="H11" s="433"/>
      <c r="I11" s="434"/>
      <c r="J11" s="432">
        <v>45347</v>
      </c>
      <c r="K11" s="433"/>
      <c r="L11" s="433"/>
      <c r="M11" s="434"/>
      <c r="N11" s="432">
        <v>45350</v>
      </c>
      <c r="O11" s="433"/>
      <c r="P11" s="433"/>
      <c r="Q11" s="438"/>
      <c r="U11" s="1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262" t="s">
        <v>92</v>
      </c>
      <c r="U12" s="1"/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267"/>
      <c r="U13" s="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267"/>
      <c r="U14" s="1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267"/>
      <c r="U15" s="1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267"/>
      <c r="U16" s="1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86"/>
      <c r="U17" s="1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267"/>
      <c r="U18" s="1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267"/>
      <c r="U19" s="1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267"/>
      <c r="U20" s="1"/>
      <c r="Y20" s="1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-253.2</v>
      </c>
      <c r="H21" s="187">
        <v>0</v>
      </c>
      <c r="I21" s="186" t="s">
        <v>81</v>
      </c>
      <c r="J21" s="188">
        <v>-253.2</v>
      </c>
      <c r="K21" s="187">
        <v>-253.2</v>
      </c>
      <c r="L21" s="187">
        <v>0</v>
      </c>
      <c r="M21" s="186" t="s">
        <v>81</v>
      </c>
      <c r="N21" s="188">
        <v>-253.2</v>
      </c>
      <c r="O21" s="187">
        <v>-253.2</v>
      </c>
      <c r="P21" s="187">
        <v>0</v>
      </c>
      <c r="Q21" s="268" t="s">
        <v>81</v>
      </c>
      <c r="U21" s="1"/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266"/>
      <c r="U22" s="1"/>
      <c r="Y22" s="1"/>
    </row>
    <row r="23" spans="3:25" ht="16.5" thickBot="1">
      <c r="C23" s="429" t="s">
        <v>120</v>
      </c>
      <c r="D23" s="430"/>
      <c r="E23" s="431"/>
      <c r="F23" s="432">
        <v>45340</v>
      </c>
      <c r="G23" s="433"/>
      <c r="H23" s="433"/>
      <c r="I23" s="434"/>
      <c r="J23" s="432">
        <v>45347</v>
      </c>
      <c r="K23" s="433"/>
      <c r="L23" s="433"/>
      <c r="M23" s="434"/>
      <c r="N23" s="432">
        <v>45350</v>
      </c>
      <c r="O23" s="433"/>
      <c r="P23" s="433"/>
      <c r="Q23" s="438"/>
      <c r="U23" s="1"/>
      <c r="Y23" s="1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262" t="s">
        <v>92</v>
      </c>
      <c r="U24" s="1"/>
      <c r="Y24" s="1"/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v>5</v>
      </c>
      <c r="I25" s="206" t="s">
        <v>95</v>
      </c>
      <c r="J25" s="209">
        <v>-5</v>
      </c>
      <c r="K25" s="208">
        <v>0</v>
      </c>
      <c r="L25" s="207">
        <v>5</v>
      </c>
      <c r="M25" s="206" t="s">
        <v>209</v>
      </c>
      <c r="N25" s="209">
        <v>-5</v>
      </c>
      <c r="O25" s="208">
        <v>0</v>
      </c>
      <c r="P25" s="207">
        <v>5</v>
      </c>
      <c r="Q25" s="269" t="s">
        <v>209</v>
      </c>
      <c r="U25" s="1"/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266"/>
      <c r="U26" s="1"/>
      <c r="Y26" s="1"/>
    </row>
    <row r="27" spans="3:25" ht="16.5" thickBot="1">
      <c r="C27" s="429" t="s">
        <v>116</v>
      </c>
      <c r="D27" s="430"/>
      <c r="E27" s="431"/>
      <c r="F27" s="432">
        <v>45340</v>
      </c>
      <c r="G27" s="433"/>
      <c r="H27" s="433"/>
      <c r="I27" s="434"/>
      <c r="J27" s="432">
        <v>45347</v>
      </c>
      <c r="K27" s="433"/>
      <c r="L27" s="433"/>
      <c r="M27" s="434"/>
      <c r="N27" s="432">
        <v>45350</v>
      </c>
      <c r="O27" s="433"/>
      <c r="P27" s="433"/>
      <c r="Q27" s="438"/>
      <c r="U27" s="1"/>
      <c r="Y27" s="1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262" t="s">
        <v>92</v>
      </c>
      <c r="U28" s="1"/>
      <c r="Y28" s="1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61"/>
      <c r="U29" s="1"/>
      <c r="Y29" s="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2"/>
      <c r="U30" s="1"/>
      <c r="Y30" s="1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27.2</v>
      </c>
      <c r="K31" s="455">
        <v>26.1</v>
      </c>
      <c r="L31" s="457">
        <v>-1.0999999999999979</v>
      </c>
      <c r="M31" s="459" t="s">
        <v>95</v>
      </c>
      <c r="N31" s="200">
        <v>27.2</v>
      </c>
      <c r="O31" s="455">
        <v>35.799999999999997</v>
      </c>
      <c r="P31" s="457">
        <v>8.5999999999999979</v>
      </c>
      <c r="Q31" s="461" t="s">
        <v>210</v>
      </c>
      <c r="U31" s="1"/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2"/>
      <c r="U32" s="1"/>
      <c r="Y32" s="1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29.5</v>
      </c>
      <c r="H33" s="457">
        <v>-19.700000000000003</v>
      </c>
      <c r="I33" s="459" t="s">
        <v>95</v>
      </c>
      <c r="J33" s="200">
        <v>49.2</v>
      </c>
      <c r="K33" s="199">
        <v>43.1</v>
      </c>
      <c r="L33" s="457">
        <v>-6.1000000000000014</v>
      </c>
      <c r="M33" s="459" t="s">
        <v>95</v>
      </c>
      <c r="N33" s="200">
        <v>49.2</v>
      </c>
      <c r="O33" s="199">
        <v>54.2</v>
      </c>
      <c r="P33" s="457">
        <v>5</v>
      </c>
      <c r="Q33" s="461" t="s">
        <v>211</v>
      </c>
      <c r="U33" s="1"/>
      <c r="Y33" s="1"/>
    </row>
    <row r="34" spans="3:25" ht="16">
      <c r="C34" s="451"/>
      <c r="D34" s="467"/>
      <c r="E34" s="463" t="s">
        <v>104</v>
      </c>
      <c r="F34" s="198">
        <v>0.26</v>
      </c>
      <c r="G34" s="197">
        <v>0.16</v>
      </c>
      <c r="H34" s="458"/>
      <c r="I34" s="460"/>
      <c r="J34" s="198">
        <v>0.26</v>
      </c>
      <c r="K34" s="197">
        <v>0.23</v>
      </c>
      <c r="L34" s="458"/>
      <c r="M34" s="460"/>
      <c r="N34" s="198">
        <v>0.26</v>
      </c>
      <c r="O34" s="197">
        <v>0.28999999999999998</v>
      </c>
      <c r="P34" s="458"/>
      <c r="Q34" s="462"/>
      <c r="U34" s="1"/>
      <c r="Y34" s="1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270"/>
      <c r="U35" s="1"/>
      <c r="Y35" s="1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271"/>
      <c r="U36" s="1"/>
      <c r="Y36" s="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102</v>
      </c>
      <c r="J37" s="166">
        <v>13</v>
      </c>
      <c r="K37" s="165">
        <v>0.4</v>
      </c>
      <c r="L37" s="164">
        <v>-12.6</v>
      </c>
      <c r="M37" s="189" t="s">
        <v>102</v>
      </c>
      <c r="N37" s="166">
        <v>13</v>
      </c>
      <c r="O37" s="165">
        <v>0.5</v>
      </c>
      <c r="P37" s="164">
        <v>-12.5</v>
      </c>
      <c r="Q37" s="267" t="s">
        <v>102</v>
      </c>
      <c r="U37" s="1"/>
      <c r="Y37" s="1"/>
    </row>
    <row r="38" spans="3:25" ht="16.5" thickBot="1">
      <c r="C38" s="452"/>
      <c r="D38" s="427" t="s">
        <v>101</v>
      </c>
      <c r="E38" s="428"/>
      <c r="F38" s="188">
        <v>160.39999999999998</v>
      </c>
      <c r="G38" s="187">
        <v>128.1</v>
      </c>
      <c r="H38" s="187">
        <v>-32.300000000000004</v>
      </c>
      <c r="I38" s="186"/>
      <c r="J38" s="188">
        <v>133.19999999999999</v>
      </c>
      <c r="K38" s="187">
        <v>113.4</v>
      </c>
      <c r="L38" s="187">
        <v>-19.799999999999997</v>
      </c>
      <c r="M38" s="186"/>
      <c r="N38" s="188">
        <v>133.19999999999999</v>
      </c>
      <c r="O38" s="187">
        <v>134.30000000000001</v>
      </c>
      <c r="P38" s="187">
        <v>1.0999999999999979</v>
      </c>
      <c r="Q38" s="268"/>
      <c r="U38" s="1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266"/>
      <c r="U39" s="1"/>
      <c r="Y39" s="1"/>
    </row>
    <row r="40" spans="3:25" ht="16.5" thickBot="1">
      <c r="C40" s="429" t="s">
        <v>100</v>
      </c>
      <c r="D40" s="430"/>
      <c r="E40" s="431"/>
      <c r="F40" s="469">
        <v>45340</v>
      </c>
      <c r="G40" s="470"/>
      <c r="H40" s="470"/>
      <c r="I40" s="471"/>
      <c r="J40" s="469">
        <v>45347</v>
      </c>
      <c r="K40" s="470"/>
      <c r="L40" s="470"/>
      <c r="M40" s="471"/>
      <c r="N40" s="469">
        <v>45350</v>
      </c>
      <c r="O40" s="470"/>
      <c r="P40" s="470"/>
      <c r="Q40" s="472"/>
      <c r="U40" s="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262" t="s">
        <v>92</v>
      </c>
      <c r="U41" s="1"/>
      <c r="Y41" s="1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61"/>
      <c r="U42" s="1"/>
      <c r="Y42" s="1"/>
    </row>
    <row r="43" spans="3:25" ht="16.5" thickBot="1">
      <c r="C43" s="474"/>
      <c r="D43" s="475"/>
      <c r="E43" s="477"/>
      <c r="F43" s="183">
        <v>220</v>
      </c>
      <c r="G43" s="479"/>
      <c r="H43" s="480"/>
      <c r="I43" s="481"/>
      <c r="J43" s="183">
        <v>214</v>
      </c>
      <c r="K43" s="479"/>
      <c r="L43" s="480"/>
      <c r="M43" s="481"/>
      <c r="N43" s="183">
        <v>260.2</v>
      </c>
      <c r="O43" s="479"/>
      <c r="P43" s="480"/>
      <c r="Q43" s="482"/>
      <c r="U43" s="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266"/>
      <c r="U44" s="1"/>
      <c r="Y44" s="1"/>
    </row>
    <row r="45" spans="3:25" ht="16.5" thickBot="1">
      <c r="C45" s="429" t="s">
        <v>94</v>
      </c>
      <c r="D45" s="430"/>
      <c r="E45" s="431"/>
      <c r="F45" s="469">
        <v>45340</v>
      </c>
      <c r="G45" s="470"/>
      <c r="H45" s="470"/>
      <c r="I45" s="471"/>
      <c r="J45" s="469">
        <v>45347</v>
      </c>
      <c r="K45" s="470"/>
      <c r="L45" s="470"/>
      <c r="M45" s="471"/>
      <c r="N45" s="469">
        <v>45350</v>
      </c>
      <c r="O45" s="470"/>
      <c r="P45" s="470"/>
      <c r="Q45" s="472"/>
      <c r="U45" s="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262" t="s">
        <v>92</v>
      </c>
      <c r="U46" s="1"/>
      <c r="Y46" s="1"/>
    </row>
    <row r="47" spans="3:25" ht="16">
      <c r="C47" s="444"/>
      <c r="D47" s="483"/>
      <c r="E47" s="488" t="s">
        <v>91</v>
      </c>
      <c r="F47" s="178">
        <v>28.5</v>
      </c>
      <c r="G47" s="478">
        <v>31</v>
      </c>
      <c r="H47" s="457">
        <v>2.5</v>
      </c>
      <c r="I47" s="459" t="s">
        <v>90</v>
      </c>
      <c r="J47" s="178">
        <v>30.8</v>
      </c>
      <c r="K47" s="478">
        <v>33.299999999999997</v>
      </c>
      <c r="L47" s="457">
        <v>2.4999999999999964</v>
      </c>
      <c r="M47" s="459" t="s">
        <v>90</v>
      </c>
      <c r="N47" s="178">
        <v>30.8</v>
      </c>
      <c r="O47" s="478">
        <v>33.299999999999997</v>
      </c>
      <c r="P47" s="457">
        <v>2.4999999999999964</v>
      </c>
      <c r="Q47" s="461" t="s">
        <v>90</v>
      </c>
      <c r="U47" s="1"/>
      <c r="Y47" s="1"/>
    </row>
    <row r="48" spans="3:25" ht="16.5" thickBot="1">
      <c r="C48" s="486"/>
      <c r="D48" s="487"/>
      <c r="E48" s="489"/>
      <c r="F48" s="177">
        <v>0.66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2"/>
      <c r="U48" s="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266"/>
      <c r="U49" s="1"/>
      <c r="Y49" s="1"/>
    </row>
    <row r="50" spans="1:25" ht="16.5" thickBot="1">
      <c r="C50" s="429" t="s">
        <v>89</v>
      </c>
      <c r="D50" s="430"/>
      <c r="E50" s="431"/>
      <c r="F50" s="469">
        <v>45340</v>
      </c>
      <c r="G50" s="470"/>
      <c r="H50" s="470"/>
      <c r="I50" s="471"/>
      <c r="J50" s="469">
        <v>45347</v>
      </c>
      <c r="K50" s="470"/>
      <c r="L50" s="470"/>
      <c r="M50" s="471"/>
      <c r="N50" s="469">
        <v>45350</v>
      </c>
      <c r="O50" s="470"/>
      <c r="P50" s="470"/>
      <c r="Q50" s="472"/>
      <c r="U50" s="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272" t="s">
        <v>84</v>
      </c>
      <c r="U51" s="1"/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273" t="s">
        <v>81</v>
      </c>
      <c r="U52" s="1"/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23.7</v>
      </c>
      <c r="H53" s="223" t="s">
        <v>81</v>
      </c>
      <c r="I53" s="222" t="s">
        <v>80</v>
      </c>
      <c r="J53" s="225">
        <v>0</v>
      </c>
      <c r="K53" s="224">
        <v>24.8</v>
      </c>
      <c r="L53" s="223" t="s">
        <v>81</v>
      </c>
      <c r="M53" s="222" t="s">
        <v>80</v>
      </c>
      <c r="N53" s="225">
        <v>0</v>
      </c>
      <c r="O53" s="224">
        <v>24.3</v>
      </c>
      <c r="P53" s="223" t="s">
        <v>81</v>
      </c>
      <c r="Q53" s="274" t="s">
        <v>80</v>
      </c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93">
    <mergeCell ref="C51:D53"/>
    <mergeCell ref="L47:L48"/>
    <mergeCell ref="M47:M48"/>
    <mergeCell ref="O47:O48"/>
    <mergeCell ref="P47:P48"/>
    <mergeCell ref="Q47:Q48"/>
    <mergeCell ref="C50:E50"/>
    <mergeCell ref="F50:I50"/>
    <mergeCell ref="J50:M50"/>
    <mergeCell ref="N50:Q50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Q33:Q34"/>
    <mergeCell ref="E34:E36"/>
    <mergeCell ref="D38:E38"/>
    <mergeCell ref="C40:E40"/>
    <mergeCell ref="F40:I40"/>
    <mergeCell ref="J40:M40"/>
    <mergeCell ref="N40:Q40"/>
    <mergeCell ref="M31:M32"/>
    <mergeCell ref="O31:O32"/>
    <mergeCell ref="P31:P32"/>
    <mergeCell ref="Q31:Q32"/>
    <mergeCell ref="D33:D37"/>
    <mergeCell ref="H33:H34"/>
    <mergeCell ref="I33:I34"/>
    <mergeCell ref="L33:L34"/>
    <mergeCell ref="M33:M34"/>
    <mergeCell ref="P33:P34"/>
    <mergeCell ref="E31:E32"/>
    <mergeCell ref="G31:G32"/>
    <mergeCell ref="H31:H32"/>
    <mergeCell ref="I31:I32"/>
    <mergeCell ref="K31:K32"/>
    <mergeCell ref="L31:L32"/>
    <mergeCell ref="Q29:Q30"/>
    <mergeCell ref="C27:E27"/>
    <mergeCell ref="F27:I27"/>
    <mergeCell ref="J27:M27"/>
    <mergeCell ref="N27:Q27"/>
    <mergeCell ref="C28:C38"/>
    <mergeCell ref="D29:D32"/>
    <mergeCell ref="E29:E30"/>
    <mergeCell ref="G29:G30"/>
    <mergeCell ref="H29:H30"/>
    <mergeCell ref="I29:I30"/>
    <mergeCell ref="K29:K30"/>
    <mergeCell ref="L29:L30"/>
    <mergeCell ref="M29:M30"/>
    <mergeCell ref="O29:O30"/>
    <mergeCell ref="P29:P30"/>
    <mergeCell ref="C23:E23"/>
    <mergeCell ref="F23:I23"/>
    <mergeCell ref="J23:M23"/>
    <mergeCell ref="N23:Q23"/>
    <mergeCell ref="C24:D25"/>
    <mergeCell ref="E24:E25"/>
    <mergeCell ref="C11:E11"/>
    <mergeCell ref="F11:I11"/>
    <mergeCell ref="J11:M11"/>
    <mergeCell ref="N11:Q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88D5-A523-4086-93A6-5523E46750B9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45352</v>
      </c>
      <c r="G3" s="26" t="s">
        <v>48</v>
      </c>
      <c r="H3" s="25">
        <v>45353</v>
      </c>
      <c r="I3" s="26" t="s">
        <v>48</v>
      </c>
      <c r="J3" s="25">
        <v>45354</v>
      </c>
      <c r="K3" s="26" t="s">
        <v>48</v>
      </c>
      <c r="L3" s="25">
        <v>45355</v>
      </c>
      <c r="M3" s="26" t="s">
        <v>48</v>
      </c>
      <c r="N3" s="25">
        <v>45358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108.5</v>
      </c>
      <c r="G5" s="384" t="s">
        <v>45</v>
      </c>
      <c r="H5" s="9">
        <v>99.3</v>
      </c>
      <c r="I5" s="384" t="s">
        <v>45</v>
      </c>
      <c r="J5" s="9">
        <v>95.7</v>
      </c>
      <c r="K5" s="384" t="s">
        <v>45</v>
      </c>
      <c r="L5" s="9">
        <v>99.1</v>
      </c>
      <c r="M5" s="384" t="s">
        <v>45</v>
      </c>
      <c r="N5" s="9">
        <v>106.1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118.4</v>
      </c>
      <c r="G6" s="385"/>
      <c r="H6" s="10">
        <v>111.2</v>
      </c>
      <c r="I6" s="385"/>
      <c r="J6" s="10">
        <v>106.9</v>
      </c>
      <c r="K6" s="385"/>
      <c r="L6" s="10">
        <v>122</v>
      </c>
      <c r="M6" s="385"/>
      <c r="N6" s="10">
        <v>162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413.5</v>
      </c>
      <c r="G7" s="385"/>
      <c r="H7" s="28">
        <v>413.6</v>
      </c>
      <c r="I7" s="385"/>
      <c r="J7" s="28">
        <v>413.9</v>
      </c>
      <c r="K7" s="385"/>
      <c r="L7" s="28">
        <v>414.2</v>
      </c>
      <c r="M7" s="385"/>
      <c r="N7" s="28">
        <v>414.1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27.4</v>
      </c>
      <c r="G8" s="385"/>
      <c r="H8" s="29">
        <v>25.099999999999806</v>
      </c>
      <c r="I8" s="385"/>
      <c r="J8" s="29">
        <v>25.8</v>
      </c>
      <c r="K8" s="385"/>
      <c r="L8" s="29">
        <v>24.2</v>
      </c>
      <c r="M8" s="385"/>
      <c r="N8" s="29">
        <v>31.599999999999977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15.8</v>
      </c>
      <c r="G9" s="385"/>
      <c r="H9" s="30">
        <v>16.7</v>
      </c>
      <c r="I9" s="385"/>
      <c r="J9" s="30">
        <v>16.7</v>
      </c>
      <c r="K9" s="385"/>
      <c r="L9" s="30">
        <v>16.7</v>
      </c>
      <c r="M9" s="385"/>
      <c r="N9" s="30">
        <v>12.4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35.5</v>
      </c>
      <c r="G10" s="385"/>
      <c r="H10" s="11">
        <v>35.5</v>
      </c>
      <c r="I10" s="385"/>
      <c r="J10" s="11">
        <v>35.5</v>
      </c>
      <c r="K10" s="385"/>
      <c r="L10" s="11">
        <v>35.5</v>
      </c>
      <c r="M10" s="385"/>
      <c r="N10" s="11">
        <v>35.5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</v>
      </c>
      <c r="G11" s="385"/>
      <c r="H11" s="12">
        <v>26.1</v>
      </c>
      <c r="I11" s="385"/>
      <c r="J11" s="12">
        <v>25.8</v>
      </c>
      <c r="K11" s="385"/>
      <c r="L11" s="12">
        <v>25.8</v>
      </c>
      <c r="M11" s="385"/>
      <c r="N11" s="12">
        <v>24.6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845.4</v>
      </c>
      <c r="G12" s="385"/>
      <c r="H12" s="13">
        <v>702.2</v>
      </c>
      <c r="I12" s="385"/>
      <c r="J12" s="13">
        <v>622.20000000000005</v>
      </c>
      <c r="K12" s="385"/>
      <c r="L12" s="13">
        <v>648.6</v>
      </c>
      <c r="M12" s="385"/>
      <c r="N12" s="13">
        <v>807.7</v>
      </c>
      <c r="O12" s="385"/>
    </row>
    <row r="13" spans="2:15" ht="16">
      <c r="B13" s="376"/>
      <c r="C13" s="379"/>
      <c r="D13" s="388"/>
      <c r="E13" s="45" t="s">
        <v>27</v>
      </c>
      <c r="F13" s="13">
        <v>23.3</v>
      </c>
      <c r="G13" s="385"/>
      <c r="H13" s="13">
        <v>10.9</v>
      </c>
      <c r="I13" s="385"/>
      <c r="J13" s="13">
        <v>11.4</v>
      </c>
      <c r="K13" s="385"/>
      <c r="L13" s="13">
        <v>0</v>
      </c>
      <c r="M13" s="385"/>
      <c r="N13" s="13">
        <v>1.3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226</v>
      </c>
      <c r="G14" s="385"/>
      <c r="H14" s="14">
        <v>343</v>
      </c>
      <c r="I14" s="385"/>
      <c r="J14" s="14">
        <v>343</v>
      </c>
      <c r="K14" s="385"/>
      <c r="L14" s="14">
        <v>343</v>
      </c>
      <c r="M14" s="385"/>
      <c r="N14" s="14">
        <v>226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1838.8</v>
      </c>
      <c r="G15" s="385"/>
      <c r="H15" s="15">
        <v>1783.6</v>
      </c>
      <c r="I15" s="385"/>
      <c r="J15" s="15">
        <v>1696.9</v>
      </c>
      <c r="K15" s="385"/>
      <c r="L15" s="15">
        <v>1729.1</v>
      </c>
      <c r="M15" s="385"/>
      <c r="N15" s="15">
        <v>1821.3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1025</v>
      </c>
      <c r="G16" s="385"/>
      <c r="H16" s="8">
        <v>1035</v>
      </c>
      <c r="I16" s="385"/>
      <c r="J16" s="8">
        <v>855</v>
      </c>
      <c r="K16" s="385"/>
      <c r="L16" s="8">
        <v>1025</v>
      </c>
      <c r="M16" s="385"/>
      <c r="N16" s="8">
        <v>955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-185.2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-4.7</v>
      </c>
      <c r="G18" s="385"/>
      <c r="H18" s="17">
        <v>-4.7</v>
      </c>
      <c r="I18" s="385"/>
      <c r="J18" s="17">
        <v>-4.7</v>
      </c>
      <c r="K18" s="385"/>
      <c r="L18" s="17">
        <v>0</v>
      </c>
      <c r="M18" s="385"/>
      <c r="N18" s="17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-244</v>
      </c>
      <c r="G19" s="385"/>
      <c r="H19" s="18">
        <v>-206</v>
      </c>
      <c r="I19" s="385"/>
      <c r="J19" s="18">
        <v>-206</v>
      </c>
      <c r="K19" s="385"/>
      <c r="L19" s="18">
        <v>-254</v>
      </c>
      <c r="M19" s="385"/>
      <c r="N19" s="18">
        <v>-254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-10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1468.9</v>
      </c>
      <c r="G21" s="386"/>
      <c r="H21" s="27">
        <v>1430.9</v>
      </c>
      <c r="I21" s="386"/>
      <c r="J21" s="27">
        <v>1250.9000000000001</v>
      </c>
      <c r="K21" s="386"/>
      <c r="L21" s="27">
        <v>1464.2</v>
      </c>
      <c r="M21" s="386"/>
      <c r="N21" s="27">
        <v>1394.2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1838.8</v>
      </c>
      <c r="G23" s="400"/>
      <c r="H23" s="20">
        <v>1783.6</v>
      </c>
      <c r="I23" s="400"/>
      <c r="J23" s="20">
        <v>1696.9</v>
      </c>
      <c r="K23" s="400"/>
      <c r="L23" s="20">
        <v>1729.1</v>
      </c>
      <c r="M23" s="400"/>
      <c r="N23" s="20">
        <v>1821.3</v>
      </c>
      <c r="O23" s="400"/>
    </row>
    <row r="24" spans="2:15" ht="16">
      <c r="B24" s="409"/>
      <c r="C24" s="403" t="s">
        <v>37</v>
      </c>
      <c r="D24" s="404"/>
      <c r="E24" s="405"/>
      <c r="F24" s="21">
        <v>1468.9</v>
      </c>
      <c r="G24" s="401"/>
      <c r="H24" s="21">
        <v>1430.9</v>
      </c>
      <c r="I24" s="401"/>
      <c r="J24" s="21">
        <v>1250.9000000000001</v>
      </c>
      <c r="K24" s="401"/>
      <c r="L24" s="21">
        <v>1464.2</v>
      </c>
      <c r="M24" s="401"/>
      <c r="N24" s="21">
        <v>1394.2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369.89999999999986</v>
      </c>
      <c r="G25" s="402"/>
      <c r="H25" s="67">
        <v>352.69999999999982</v>
      </c>
      <c r="I25" s="402"/>
      <c r="J25" s="67">
        <v>446</v>
      </c>
      <c r="K25" s="402"/>
      <c r="L25" s="67">
        <v>264.89999999999986</v>
      </c>
      <c r="M25" s="402"/>
      <c r="N25" s="67">
        <v>427.09999999999991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日別の需給状況・再エネ出力抑制の必要性（2024年3月）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582-07FF-4EB9-B456-BD178E3E1352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45359</v>
      </c>
      <c r="G3" s="26" t="s">
        <v>48</v>
      </c>
      <c r="H3" s="25">
        <v>45360</v>
      </c>
      <c r="I3" s="26" t="s">
        <v>48</v>
      </c>
      <c r="J3" s="25">
        <v>45361</v>
      </c>
      <c r="K3" s="26" t="s">
        <v>48</v>
      </c>
      <c r="L3" s="25">
        <v>45362</v>
      </c>
      <c r="M3" s="26" t="s">
        <v>50</v>
      </c>
      <c r="N3" s="25">
        <v>45363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106.7</v>
      </c>
      <c r="G5" s="384" t="s">
        <v>45</v>
      </c>
      <c r="H5" s="9">
        <v>96.2</v>
      </c>
      <c r="I5" s="384" t="s">
        <v>45</v>
      </c>
      <c r="J5" s="9">
        <v>95.5</v>
      </c>
      <c r="K5" s="384" t="s">
        <v>45</v>
      </c>
      <c r="L5" s="9">
        <v>110.8</v>
      </c>
      <c r="M5" s="384" t="s">
        <v>45</v>
      </c>
      <c r="N5" s="9">
        <v>97.3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167.5</v>
      </c>
      <c r="G6" s="385"/>
      <c r="H6" s="10">
        <v>92.4</v>
      </c>
      <c r="I6" s="385"/>
      <c r="J6" s="10">
        <v>86.4</v>
      </c>
      <c r="K6" s="385"/>
      <c r="L6" s="10">
        <v>129.5</v>
      </c>
      <c r="M6" s="385"/>
      <c r="N6" s="10">
        <v>130.1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414.1</v>
      </c>
      <c r="G7" s="385"/>
      <c r="H7" s="28">
        <v>414.3</v>
      </c>
      <c r="I7" s="385"/>
      <c r="J7" s="28">
        <v>414.3</v>
      </c>
      <c r="K7" s="385"/>
      <c r="L7" s="28">
        <v>414.2</v>
      </c>
      <c r="M7" s="385"/>
      <c r="N7" s="28">
        <v>411.2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28.5</v>
      </c>
      <c r="G8" s="385"/>
      <c r="H8" s="29">
        <v>24.9</v>
      </c>
      <c r="I8" s="385"/>
      <c r="J8" s="29">
        <v>27.8</v>
      </c>
      <c r="K8" s="385"/>
      <c r="L8" s="29">
        <v>28.8</v>
      </c>
      <c r="M8" s="385"/>
      <c r="N8" s="29">
        <v>25.7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12.4</v>
      </c>
      <c r="G9" s="385"/>
      <c r="H9" s="30">
        <v>12.5</v>
      </c>
      <c r="I9" s="385"/>
      <c r="J9" s="30">
        <v>12.5</v>
      </c>
      <c r="K9" s="385"/>
      <c r="L9" s="30">
        <v>12.5</v>
      </c>
      <c r="M9" s="385"/>
      <c r="N9" s="30">
        <v>12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35.799999999999997</v>
      </c>
      <c r="G10" s="385"/>
      <c r="H10" s="11">
        <v>35.799999999999997</v>
      </c>
      <c r="I10" s="385"/>
      <c r="J10" s="11">
        <v>35.799999999999997</v>
      </c>
      <c r="K10" s="385"/>
      <c r="L10" s="11">
        <v>29</v>
      </c>
      <c r="M10" s="385"/>
      <c r="N10" s="11">
        <v>29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25.4</v>
      </c>
      <c r="G11" s="385"/>
      <c r="H11" s="12">
        <v>25.8</v>
      </c>
      <c r="I11" s="385"/>
      <c r="J11" s="12">
        <v>25.4</v>
      </c>
      <c r="K11" s="385"/>
      <c r="L11" s="12">
        <v>25.8</v>
      </c>
      <c r="M11" s="385"/>
      <c r="N11" s="12">
        <v>25.2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863.3</v>
      </c>
      <c r="G12" s="385"/>
      <c r="H12" s="13">
        <v>776.8</v>
      </c>
      <c r="I12" s="385"/>
      <c r="J12" s="13">
        <v>866.2</v>
      </c>
      <c r="K12" s="385"/>
      <c r="L12" s="13">
        <v>600.5</v>
      </c>
      <c r="M12" s="385"/>
      <c r="N12" s="13">
        <v>728.7</v>
      </c>
      <c r="O12" s="385"/>
    </row>
    <row r="13" spans="2:15" ht="16">
      <c r="B13" s="376"/>
      <c r="C13" s="379"/>
      <c r="D13" s="388"/>
      <c r="E13" s="45" t="s">
        <v>27</v>
      </c>
      <c r="F13" s="13">
        <v>20.7</v>
      </c>
      <c r="G13" s="385"/>
      <c r="H13" s="13">
        <v>14.6</v>
      </c>
      <c r="I13" s="385"/>
      <c r="J13" s="13">
        <v>1.4</v>
      </c>
      <c r="K13" s="385"/>
      <c r="L13" s="13">
        <v>10.3</v>
      </c>
      <c r="M13" s="385"/>
      <c r="N13" s="13">
        <v>19.7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226</v>
      </c>
      <c r="G14" s="385"/>
      <c r="H14" s="14">
        <v>226</v>
      </c>
      <c r="I14" s="385"/>
      <c r="J14" s="14">
        <v>226</v>
      </c>
      <c r="K14" s="385"/>
      <c r="L14" s="14">
        <v>343</v>
      </c>
      <c r="M14" s="385"/>
      <c r="N14" s="14">
        <v>343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1900.3999999999999</v>
      </c>
      <c r="G15" s="385"/>
      <c r="H15" s="15">
        <v>1719.2999999999997</v>
      </c>
      <c r="I15" s="385"/>
      <c r="J15" s="15">
        <v>1791.3000000000002</v>
      </c>
      <c r="K15" s="385"/>
      <c r="L15" s="15">
        <v>1704.3999999999999</v>
      </c>
      <c r="M15" s="385"/>
      <c r="N15" s="15">
        <v>1821.9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985</v>
      </c>
      <c r="G16" s="385"/>
      <c r="H16" s="8">
        <v>879.2</v>
      </c>
      <c r="I16" s="385"/>
      <c r="J16" s="8">
        <v>845</v>
      </c>
      <c r="K16" s="385"/>
      <c r="L16" s="8">
        <v>1060.8</v>
      </c>
      <c r="M16" s="385"/>
      <c r="N16" s="8">
        <v>935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-185.2</v>
      </c>
      <c r="K17" s="385"/>
      <c r="L17" s="16">
        <v>-185.2</v>
      </c>
      <c r="M17" s="385"/>
      <c r="N17" s="16">
        <v>-152.69999999999999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0</v>
      </c>
      <c r="G18" s="385"/>
      <c r="H18" s="17">
        <v>-4.7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-254</v>
      </c>
      <c r="G19" s="385"/>
      <c r="H19" s="18">
        <v>-206</v>
      </c>
      <c r="I19" s="385"/>
      <c r="J19" s="18">
        <v>-206</v>
      </c>
      <c r="K19" s="385"/>
      <c r="L19" s="18">
        <v>-247.9</v>
      </c>
      <c r="M19" s="385"/>
      <c r="N19" s="18">
        <v>-254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-14.1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1424.2</v>
      </c>
      <c r="G21" s="386"/>
      <c r="H21" s="27">
        <v>1275.1000000000001</v>
      </c>
      <c r="I21" s="386"/>
      <c r="J21" s="27">
        <v>1241.2</v>
      </c>
      <c r="K21" s="386"/>
      <c r="L21" s="27">
        <v>1513</v>
      </c>
      <c r="M21" s="386"/>
      <c r="N21" s="27">
        <v>1346.7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1900.3999999999999</v>
      </c>
      <c r="G23" s="400"/>
      <c r="H23" s="20">
        <v>1719.2999999999997</v>
      </c>
      <c r="I23" s="400"/>
      <c r="J23" s="20">
        <v>1791.3000000000002</v>
      </c>
      <c r="K23" s="400"/>
      <c r="L23" s="20">
        <v>1704.3999999999999</v>
      </c>
      <c r="M23" s="400"/>
      <c r="N23" s="20">
        <v>1821.9</v>
      </c>
      <c r="O23" s="400"/>
    </row>
    <row r="24" spans="2:15" ht="16">
      <c r="B24" s="409"/>
      <c r="C24" s="403" t="s">
        <v>37</v>
      </c>
      <c r="D24" s="404"/>
      <c r="E24" s="405"/>
      <c r="F24" s="21">
        <v>1424.2</v>
      </c>
      <c r="G24" s="401"/>
      <c r="H24" s="21">
        <v>1275.1000000000001</v>
      </c>
      <c r="I24" s="401"/>
      <c r="J24" s="21">
        <v>1241.2</v>
      </c>
      <c r="K24" s="401"/>
      <c r="L24" s="21">
        <v>1513</v>
      </c>
      <c r="M24" s="401"/>
      <c r="N24" s="21">
        <v>1346.7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476.19999999999982</v>
      </c>
      <c r="G25" s="402"/>
      <c r="H25" s="67">
        <v>444.19999999999959</v>
      </c>
      <c r="I25" s="402"/>
      <c r="J25" s="67">
        <v>550.10000000000014</v>
      </c>
      <c r="K25" s="402"/>
      <c r="L25" s="67">
        <v>191.39999999999986</v>
      </c>
      <c r="M25" s="402"/>
      <c r="N25" s="67">
        <v>475.2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日別の需給状況・再エネ出力抑制の必要性（2024年3月）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F3E5-F040-476C-8616-8C0556C0C71E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190</v>
      </c>
      <c r="O2" s="366"/>
    </row>
    <row r="3" spans="2:15" ht="16.5" thickBot="1">
      <c r="B3" s="3"/>
      <c r="C3" s="372" t="s">
        <v>3</v>
      </c>
      <c r="D3" s="373"/>
      <c r="E3" s="374"/>
      <c r="F3" s="25">
        <v>45364</v>
      </c>
      <c r="G3" s="26" t="s">
        <v>48</v>
      </c>
      <c r="H3" s="25">
        <v>45365</v>
      </c>
      <c r="I3" s="26" t="s">
        <v>48</v>
      </c>
      <c r="J3" s="25">
        <v>45366</v>
      </c>
      <c r="K3" s="26" t="s">
        <v>48</v>
      </c>
      <c r="L3" s="25">
        <v>45367</v>
      </c>
      <c r="M3" s="26" t="s">
        <v>48</v>
      </c>
      <c r="N3" s="25">
        <v>45369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96.7</v>
      </c>
      <c r="G5" s="384" t="s">
        <v>45</v>
      </c>
      <c r="H5" s="9">
        <v>97.5</v>
      </c>
      <c r="I5" s="384" t="s">
        <v>45</v>
      </c>
      <c r="J5" s="9">
        <v>96.7</v>
      </c>
      <c r="K5" s="384" t="s">
        <v>45</v>
      </c>
      <c r="L5" s="9">
        <v>94.7</v>
      </c>
      <c r="M5" s="384" t="s">
        <v>45</v>
      </c>
      <c r="N5" s="9">
        <v>96.5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102.4</v>
      </c>
      <c r="G6" s="385"/>
      <c r="H6" s="10">
        <v>103.6</v>
      </c>
      <c r="I6" s="385"/>
      <c r="J6" s="10">
        <v>107.4</v>
      </c>
      <c r="K6" s="385"/>
      <c r="L6" s="10">
        <v>78.5</v>
      </c>
      <c r="M6" s="385"/>
      <c r="N6" s="10">
        <v>92.1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414.1</v>
      </c>
      <c r="G7" s="385"/>
      <c r="H7" s="28">
        <v>414.2</v>
      </c>
      <c r="I7" s="385"/>
      <c r="J7" s="28">
        <v>414.1</v>
      </c>
      <c r="K7" s="385"/>
      <c r="L7" s="28">
        <v>413.9</v>
      </c>
      <c r="M7" s="385"/>
      <c r="N7" s="28">
        <v>411.1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24.100000000000101</v>
      </c>
      <c r="G8" s="385"/>
      <c r="H8" s="29">
        <v>26.100000000000204</v>
      </c>
      <c r="I8" s="385"/>
      <c r="J8" s="29">
        <v>21.400000000000137</v>
      </c>
      <c r="K8" s="385"/>
      <c r="L8" s="29">
        <v>22.900000000000091</v>
      </c>
      <c r="M8" s="385"/>
      <c r="N8" s="29">
        <v>24.9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16.5</v>
      </c>
      <c r="G9" s="385"/>
      <c r="H9" s="30">
        <v>16.5</v>
      </c>
      <c r="I9" s="385"/>
      <c r="J9" s="30">
        <v>16.899999999999999</v>
      </c>
      <c r="K9" s="385"/>
      <c r="L9" s="30">
        <v>16.899999999999999</v>
      </c>
      <c r="M9" s="385"/>
      <c r="N9" s="30">
        <v>16.399999999999999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29</v>
      </c>
      <c r="G10" s="385"/>
      <c r="H10" s="11">
        <v>29</v>
      </c>
      <c r="I10" s="385"/>
      <c r="J10" s="11">
        <v>29</v>
      </c>
      <c r="K10" s="385"/>
      <c r="L10" s="11">
        <v>29</v>
      </c>
      <c r="M10" s="385"/>
      <c r="N10" s="11">
        <v>26.8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26.7</v>
      </c>
      <c r="G11" s="385"/>
      <c r="H11" s="12">
        <v>26.9</v>
      </c>
      <c r="I11" s="385"/>
      <c r="J11" s="12">
        <v>26.9</v>
      </c>
      <c r="K11" s="385"/>
      <c r="L11" s="12">
        <v>26.7</v>
      </c>
      <c r="M11" s="385"/>
      <c r="N11" s="12">
        <v>26.7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882.9</v>
      </c>
      <c r="G12" s="385"/>
      <c r="H12" s="13">
        <v>657.4</v>
      </c>
      <c r="I12" s="385"/>
      <c r="J12" s="13">
        <v>892.3</v>
      </c>
      <c r="K12" s="385"/>
      <c r="L12" s="13">
        <v>894.9</v>
      </c>
      <c r="M12" s="385"/>
      <c r="N12" s="13">
        <v>893.5</v>
      </c>
      <c r="O12" s="385"/>
    </row>
    <row r="13" spans="2:15" ht="16">
      <c r="B13" s="376"/>
      <c r="C13" s="379"/>
      <c r="D13" s="388"/>
      <c r="E13" s="45" t="s">
        <v>27</v>
      </c>
      <c r="F13" s="13">
        <v>5.3</v>
      </c>
      <c r="G13" s="385"/>
      <c r="H13" s="13">
        <v>3.8</v>
      </c>
      <c r="I13" s="385"/>
      <c r="J13" s="13">
        <v>4.4000000000000004</v>
      </c>
      <c r="K13" s="385"/>
      <c r="L13" s="13">
        <v>0.7</v>
      </c>
      <c r="M13" s="385"/>
      <c r="N13" s="13">
        <v>12.6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226</v>
      </c>
      <c r="G14" s="385"/>
      <c r="H14" s="14">
        <v>343</v>
      </c>
      <c r="I14" s="385"/>
      <c r="J14" s="14">
        <v>226</v>
      </c>
      <c r="K14" s="385"/>
      <c r="L14" s="14">
        <v>182.5</v>
      </c>
      <c r="M14" s="385"/>
      <c r="N14" s="14">
        <v>183.9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1823.7</v>
      </c>
      <c r="G15" s="385"/>
      <c r="H15" s="15">
        <v>1718.0000000000002</v>
      </c>
      <c r="I15" s="385"/>
      <c r="J15" s="15">
        <v>1835.1000000000001</v>
      </c>
      <c r="K15" s="385"/>
      <c r="L15" s="15">
        <v>1760.7</v>
      </c>
      <c r="M15" s="385"/>
      <c r="N15" s="15">
        <v>1784.5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905.6</v>
      </c>
      <c r="G16" s="385"/>
      <c r="H16" s="8">
        <v>945</v>
      </c>
      <c r="I16" s="385"/>
      <c r="J16" s="8">
        <v>905</v>
      </c>
      <c r="K16" s="385"/>
      <c r="L16" s="8">
        <v>805.5</v>
      </c>
      <c r="M16" s="385"/>
      <c r="N16" s="8">
        <v>895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-152.69999999999999</v>
      </c>
      <c r="G17" s="385"/>
      <c r="H17" s="16">
        <v>-152.69999999999999</v>
      </c>
      <c r="I17" s="385"/>
      <c r="J17" s="16">
        <v>-152.69999999999999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-242.4</v>
      </c>
      <c r="G19" s="385"/>
      <c r="H19" s="18">
        <v>-242.4</v>
      </c>
      <c r="I19" s="385"/>
      <c r="J19" s="18">
        <v>-242.4</v>
      </c>
      <c r="K19" s="385"/>
      <c r="L19" s="18">
        <v>-200</v>
      </c>
      <c r="M19" s="385"/>
      <c r="N19" s="18">
        <v>-234.5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1305.7</v>
      </c>
      <c r="G21" s="386"/>
      <c r="H21" s="27">
        <v>1345.1000000000001</v>
      </c>
      <c r="I21" s="386"/>
      <c r="J21" s="27">
        <v>1305.1000000000001</v>
      </c>
      <c r="K21" s="386"/>
      <c r="L21" s="27">
        <v>1195.7</v>
      </c>
      <c r="M21" s="386"/>
      <c r="N21" s="27">
        <v>1319.7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1823.7</v>
      </c>
      <c r="G23" s="400"/>
      <c r="H23" s="20">
        <v>1718.0000000000002</v>
      </c>
      <c r="I23" s="400"/>
      <c r="J23" s="20">
        <v>1835.1000000000001</v>
      </c>
      <c r="K23" s="400"/>
      <c r="L23" s="20">
        <v>1760.7</v>
      </c>
      <c r="M23" s="400"/>
      <c r="N23" s="20">
        <v>1784.5</v>
      </c>
      <c r="O23" s="400"/>
    </row>
    <row r="24" spans="2:15" ht="16">
      <c r="B24" s="409"/>
      <c r="C24" s="403" t="s">
        <v>37</v>
      </c>
      <c r="D24" s="404"/>
      <c r="E24" s="405"/>
      <c r="F24" s="21">
        <v>1305.7</v>
      </c>
      <c r="G24" s="401"/>
      <c r="H24" s="21">
        <v>1345.1000000000001</v>
      </c>
      <c r="I24" s="401"/>
      <c r="J24" s="21">
        <v>1305.1000000000001</v>
      </c>
      <c r="K24" s="401"/>
      <c r="L24" s="21">
        <v>1195.7</v>
      </c>
      <c r="M24" s="401"/>
      <c r="N24" s="21">
        <v>1319.7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518</v>
      </c>
      <c r="G25" s="402"/>
      <c r="H25" s="67">
        <v>372.90000000000009</v>
      </c>
      <c r="I25" s="402"/>
      <c r="J25" s="67">
        <v>530</v>
      </c>
      <c r="K25" s="402"/>
      <c r="L25" s="67">
        <v>565</v>
      </c>
      <c r="M25" s="402"/>
      <c r="N25" s="67">
        <v>464.79999999999995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日別の需給状況・再エネ出力抑制の必要性（2024年3月）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8F88-E121-40AC-A132-C67CE0F388B3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190</v>
      </c>
      <c r="G2" s="366"/>
      <c r="H2" s="365" t="s">
        <v>190</v>
      </c>
      <c r="I2" s="366"/>
      <c r="J2" s="365" t="s">
        <v>190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45371</v>
      </c>
      <c r="G3" s="26" t="s">
        <v>48</v>
      </c>
      <c r="H3" s="25">
        <v>45372</v>
      </c>
      <c r="I3" s="26" t="s">
        <v>48</v>
      </c>
      <c r="J3" s="25">
        <v>45373</v>
      </c>
      <c r="K3" s="26" t="s">
        <v>48</v>
      </c>
      <c r="L3" s="25">
        <v>45378</v>
      </c>
      <c r="M3" s="26" t="s">
        <v>48</v>
      </c>
      <c r="N3" s="25">
        <v>45380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96.5</v>
      </c>
      <c r="G5" s="384" t="s">
        <v>45</v>
      </c>
      <c r="H5" s="9">
        <v>97.7</v>
      </c>
      <c r="I5" s="384" t="s">
        <v>45</v>
      </c>
      <c r="J5" s="9">
        <v>96.5</v>
      </c>
      <c r="K5" s="384" t="s">
        <v>45</v>
      </c>
      <c r="L5" s="9">
        <v>109.8</v>
      </c>
      <c r="M5" s="384" t="s">
        <v>45</v>
      </c>
      <c r="N5" s="9">
        <v>95.9</v>
      </c>
      <c r="O5" s="384" t="s">
        <v>45</v>
      </c>
    </row>
    <row r="6" spans="2:15" ht="16">
      <c r="B6" s="376"/>
      <c r="C6" s="379"/>
      <c r="D6" s="34" t="s">
        <v>12</v>
      </c>
      <c r="E6" s="319" t="s">
        <v>196</v>
      </c>
      <c r="F6" s="10">
        <v>85.5</v>
      </c>
      <c r="G6" s="385"/>
      <c r="H6" s="10">
        <v>87.1</v>
      </c>
      <c r="I6" s="385"/>
      <c r="J6" s="10">
        <v>95.2</v>
      </c>
      <c r="K6" s="385"/>
      <c r="L6" s="10">
        <v>99.7</v>
      </c>
      <c r="M6" s="385"/>
      <c r="N6" s="10">
        <v>92.6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414</v>
      </c>
      <c r="G7" s="385"/>
      <c r="H7" s="28">
        <v>414.1</v>
      </c>
      <c r="I7" s="385"/>
      <c r="J7" s="28">
        <v>414.2</v>
      </c>
      <c r="K7" s="385"/>
      <c r="L7" s="28">
        <v>299.10000000000002</v>
      </c>
      <c r="M7" s="385"/>
      <c r="N7" s="28">
        <v>298.89999999999998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27.499999999999865</v>
      </c>
      <c r="G8" s="385"/>
      <c r="H8" s="29">
        <v>28.499999999999979</v>
      </c>
      <c r="I8" s="385"/>
      <c r="J8" s="29">
        <v>25.5</v>
      </c>
      <c r="K8" s="385"/>
      <c r="L8" s="29">
        <v>96.699999999999918</v>
      </c>
      <c r="M8" s="385"/>
      <c r="N8" s="29">
        <v>89.7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16.399999999999999</v>
      </c>
      <c r="G9" s="385"/>
      <c r="H9" s="30">
        <v>16.2</v>
      </c>
      <c r="I9" s="385"/>
      <c r="J9" s="30">
        <v>16.2</v>
      </c>
      <c r="K9" s="385"/>
      <c r="L9" s="30">
        <v>15.7</v>
      </c>
      <c r="M9" s="385"/>
      <c r="N9" s="30">
        <v>16.2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33.700000000000003</v>
      </c>
      <c r="G10" s="385"/>
      <c r="H10" s="11">
        <v>27.7</v>
      </c>
      <c r="I10" s="385"/>
      <c r="J10" s="11">
        <v>27.7</v>
      </c>
      <c r="K10" s="385"/>
      <c r="L10" s="11">
        <v>34.299999999999997</v>
      </c>
      <c r="M10" s="385"/>
      <c r="N10" s="11">
        <v>34.299999999999997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26.6</v>
      </c>
      <c r="G11" s="385"/>
      <c r="H11" s="12">
        <v>25.8</v>
      </c>
      <c r="I11" s="385"/>
      <c r="J11" s="12">
        <v>26.5</v>
      </c>
      <c r="K11" s="385"/>
      <c r="L11" s="12">
        <v>26.9</v>
      </c>
      <c r="M11" s="385"/>
      <c r="N11" s="12">
        <v>27.5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840.5</v>
      </c>
      <c r="G12" s="385"/>
      <c r="H12" s="13">
        <v>891.4</v>
      </c>
      <c r="I12" s="385"/>
      <c r="J12" s="13">
        <v>883.5</v>
      </c>
      <c r="K12" s="385"/>
      <c r="L12" s="13">
        <v>915.7</v>
      </c>
      <c r="M12" s="385"/>
      <c r="N12" s="13">
        <v>924.3</v>
      </c>
      <c r="O12" s="385"/>
    </row>
    <row r="13" spans="2:15" ht="16">
      <c r="B13" s="376"/>
      <c r="C13" s="379"/>
      <c r="D13" s="388"/>
      <c r="E13" s="45" t="s">
        <v>27</v>
      </c>
      <c r="F13" s="13">
        <v>37.6</v>
      </c>
      <c r="G13" s="385"/>
      <c r="H13" s="13">
        <v>14.3</v>
      </c>
      <c r="I13" s="385"/>
      <c r="J13" s="13">
        <v>14.5</v>
      </c>
      <c r="K13" s="385"/>
      <c r="L13" s="13">
        <v>5.4</v>
      </c>
      <c r="M13" s="385"/>
      <c r="N13" s="13">
        <v>12.7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236.9</v>
      </c>
      <c r="G14" s="385"/>
      <c r="H14" s="14">
        <v>186</v>
      </c>
      <c r="I14" s="385"/>
      <c r="J14" s="14">
        <v>193.9</v>
      </c>
      <c r="K14" s="385"/>
      <c r="L14" s="14">
        <v>161.69999999999999</v>
      </c>
      <c r="M14" s="385"/>
      <c r="N14" s="14">
        <v>153.1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1815.1999999999998</v>
      </c>
      <c r="G15" s="385"/>
      <c r="H15" s="15">
        <v>1788.8</v>
      </c>
      <c r="I15" s="385"/>
      <c r="J15" s="15">
        <v>1793.7000000000003</v>
      </c>
      <c r="K15" s="385"/>
      <c r="L15" s="15">
        <v>1765.0000000000002</v>
      </c>
      <c r="M15" s="385"/>
      <c r="N15" s="15">
        <v>1745.2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895</v>
      </c>
      <c r="G16" s="385"/>
      <c r="H16" s="8">
        <v>956</v>
      </c>
      <c r="I16" s="385"/>
      <c r="J16" s="8">
        <v>895</v>
      </c>
      <c r="K16" s="385"/>
      <c r="L16" s="8">
        <v>885</v>
      </c>
      <c r="M16" s="385"/>
      <c r="N16" s="8">
        <v>865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-185.2</v>
      </c>
      <c r="K17" s="385"/>
      <c r="L17" s="16">
        <v>-186.7</v>
      </c>
      <c r="M17" s="385"/>
      <c r="N17" s="16">
        <v>-186.7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-200</v>
      </c>
      <c r="G19" s="385"/>
      <c r="H19" s="18">
        <v>-238.5</v>
      </c>
      <c r="I19" s="385"/>
      <c r="J19" s="18">
        <v>-236.5</v>
      </c>
      <c r="K19" s="385"/>
      <c r="L19" s="18">
        <v>-236.5</v>
      </c>
      <c r="M19" s="385"/>
      <c r="N19" s="18">
        <v>-245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1285.2</v>
      </c>
      <c r="G21" s="386"/>
      <c r="H21" s="27">
        <v>1384.7</v>
      </c>
      <c r="I21" s="386"/>
      <c r="J21" s="27">
        <v>1321.7</v>
      </c>
      <c r="K21" s="386"/>
      <c r="L21" s="27">
        <v>1313.2</v>
      </c>
      <c r="M21" s="386"/>
      <c r="N21" s="27">
        <v>1301.7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1815.1999999999998</v>
      </c>
      <c r="G23" s="400"/>
      <c r="H23" s="20">
        <v>1788.8</v>
      </c>
      <c r="I23" s="400"/>
      <c r="J23" s="20">
        <v>1793.7000000000003</v>
      </c>
      <c r="K23" s="400"/>
      <c r="L23" s="20">
        <v>1765.0000000000002</v>
      </c>
      <c r="M23" s="400"/>
      <c r="N23" s="20">
        <v>1745.2</v>
      </c>
      <c r="O23" s="400"/>
    </row>
    <row r="24" spans="2:15" ht="16">
      <c r="B24" s="409"/>
      <c r="C24" s="403" t="s">
        <v>37</v>
      </c>
      <c r="D24" s="404"/>
      <c r="E24" s="405"/>
      <c r="F24" s="21">
        <v>1285.2</v>
      </c>
      <c r="G24" s="401"/>
      <c r="H24" s="21">
        <v>1384.7</v>
      </c>
      <c r="I24" s="401"/>
      <c r="J24" s="21">
        <v>1321.7</v>
      </c>
      <c r="K24" s="401"/>
      <c r="L24" s="21">
        <v>1313.2</v>
      </c>
      <c r="M24" s="401"/>
      <c r="N24" s="21">
        <v>1301.7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529.99999999999977</v>
      </c>
      <c r="G25" s="402"/>
      <c r="H25" s="67">
        <v>404.09999999999991</v>
      </c>
      <c r="I25" s="402"/>
      <c r="J25" s="67">
        <v>472.00000000000023</v>
      </c>
      <c r="K25" s="402"/>
      <c r="L25" s="67">
        <v>451.80000000000018</v>
      </c>
      <c r="M25" s="402"/>
      <c r="N25" s="67">
        <v>443.5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日別の需給状況・再エネ出力抑制の必要性（2024年3月）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868B-82ED-46F7-AD8D-231002998FB5}">
  <dimension ref="B1:O69"/>
  <sheetViews>
    <sheetView showGridLines="0" view="pageBreakPreview" zoomScale="70" zoomScaleNormal="70" zoomScaleSheetLayoutView="70" workbookViewId="0">
      <selection activeCell="C50" sqref="C5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 t="s">
        <v>57</v>
      </c>
      <c r="O1" s="32"/>
    </row>
    <row r="2" spans="2:15" ht="16">
      <c r="B2" s="2"/>
      <c r="C2" s="367" t="s">
        <v>0</v>
      </c>
      <c r="D2" s="368"/>
      <c r="E2" s="369"/>
      <c r="F2" s="550" t="s">
        <v>190</v>
      </c>
      <c r="G2" s="366"/>
      <c r="H2" s="550" t="s">
        <v>190</v>
      </c>
      <c r="I2" s="366"/>
      <c r="O2" s="32"/>
    </row>
    <row r="3" spans="2:15" ht="16.5" thickBot="1">
      <c r="B3" s="3"/>
      <c r="C3" s="372" t="s">
        <v>3</v>
      </c>
      <c r="D3" s="373"/>
      <c r="E3" s="374"/>
      <c r="F3" s="25">
        <v>45381</v>
      </c>
      <c r="G3" s="26" t="s">
        <v>48</v>
      </c>
      <c r="H3" s="25">
        <v>45382</v>
      </c>
      <c r="I3" s="26" t="s">
        <v>50</v>
      </c>
      <c r="O3" s="32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O4" s="32"/>
    </row>
    <row r="5" spans="2:15" ht="16.5" customHeight="1">
      <c r="B5" s="375" t="s">
        <v>25</v>
      </c>
      <c r="C5" s="378" t="s">
        <v>8</v>
      </c>
      <c r="D5" s="33" t="s">
        <v>11</v>
      </c>
      <c r="E5" s="318" t="s">
        <v>194</v>
      </c>
      <c r="F5" s="9">
        <v>94.5</v>
      </c>
      <c r="G5" s="384" t="s">
        <v>45</v>
      </c>
      <c r="H5" s="9">
        <v>93.1</v>
      </c>
      <c r="I5" s="384" t="s">
        <v>45</v>
      </c>
      <c r="O5" s="32"/>
    </row>
    <row r="6" spans="2:15" ht="16">
      <c r="B6" s="376"/>
      <c r="C6" s="379"/>
      <c r="D6" s="34" t="s">
        <v>12</v>
      </c>
      <c r="E6" s="319" t="s">
        <v>196</v>
      </c>
      <c r="F6" s="10">
        <v>82.9</v>
      </c>
      <c r="G6" s="385"/>
      <c r="H6" s="10">
        <v>49.6</v>
      </c>
      <c r="I6" s="385"/>
      <c r="O6" s="32"/>
    </row>
    <row r="7" spans="2:15" ht="16">
      <c r="B7" s="376"/>
      <c r="C7" s="379"/>
      <c r="D7" s="35" t="s">
        <v>13</v>
      </c>
      <c r="E7" s="36" t="s">
        <v>5</v>
      </c>
      <c r="F7" s="28">
        <v>298.89999999999998</v>
      </c>
      <c r="G7" s="385"/>
      <c r="H7" s="28">
        <v>299</v>
      </c>
      <c r="I7" s="385"/>
      <c r="O7" s="32"/>
    </row>
    <row r="8" spans="2:15" ht="16">
      <c r="B8" s="376"/>
      <c r="C8" s="379"/>
      <c r="D8" s="37" t="s">
        <v>14</v>
      </c>
      <c r="E8" s="38" t="s">
        <v>6</v>
      </c>
      <c r="F8" s="29">
        <v>85.199999999999903</v>
      </c>
      <c r="G8" s="385"/>
      <c r="H8" s="29">
        <v>88.6</v>
      </c>
      <c r="I8" s="385"/>
      <c r="O8" s="32"/>
    </row>
    <row r="9" spans="2:15" ht="16">
      <c r="B9" s="376"/>
      <c r="C9" s="379"/>
      <c r="D9" s="39" t="s">
        <v>15</v>
      </c>
      <c r="E9" s="40" t="s">
        <v>7</v>
      </c>
      <c r="F9" s="30">
        <v>16.2</v>
      </c>
      <c r="G9" s="385"/>
      <c r="H9" s="30">
        <v>16.2</v>
      </c>
      <c r="I9" s="385"/>
      <c r="O9" s="32"/>
    </row>
    <row r="10" spans="2:15" ht="16">
      <c r="B10" s="376"/>
      <c r="C10" s="379"/>
      <c r="D10" s="41" t="s">
        <v>17</v>
      </c>
      <c r="E10" s="42" t="s">
        <v>1</v>
      </c>
      <c r="F10" s="11">
        <v>34.299999999999997</v>
      </c>
      <c r="G10" s="385"/>
      <c r="H10" s="11">
        <v>34.299999999999997</v>
      </c>
      <c r="I10" s="385"/>
      <c r="O10" s="32"/>
    </row>
    <row r="11" spans="2:15" ht="16">
      <c r="B11" s="376"/>
      <c r="C11" s="379"/>
      <c r="D11" s="43" t="s">
        <v>16</v>
      </c>
      <c r="E11" s="44" t="s">
        <v>2</v>
      </c>
      <c r="F11" s="12">
        <v>27.6</v>
      </c>
      <c r="G11" s="385"/>
      <c r="H11" s="12">
        <v>27.8</v>
      </c>
      <c r="I11" s="385"/>
      <c r="O11" s="32"/>
    </row>
    <row r="12" spans="2:15" ht="16">
      <c r="B12" s="376"/>
      <c r="C12" s="379"/>
      <c r="D12" s="387" t="s">
        <v>18</v>
      </c>
      <c r="E12" s="45" t="s">
        <v>26</v>
      </c>
      <c r="F12" s="13">
        <v>792.9</v>
      </c>
      <c r="G12" s="385"/>
      <c r="H12" s="13">
        <v>555.9</v>
      </c>
      <c r="I12" s="385"/>
      <c r="O12" s="32"/>
    </row>
    <row r="13" spans="2:15" ht="16">
      <c r="B13" s="376"/>
      <c r="C13" s="379"/>
      <c r="D13" s="388"/>
      <c r="E13" s="45" t="s">
        <v>27</v>
      </c>
      <c r="F13" s="13">
        <v>7.7</v>
      </c>
      <c r="G13" s="385"/>
      <c r="H13" s="13">
        <v>2.7</v>
      </c>
      <c r="I13" s="385"/>
      <c r="O13" s="32"/>
    </row>
    <row r="14" spans="2:15" ht="16">
      <c r="B14" s="376"/>
      <c r="C14" s="379"/>
      <c r="D14" s="46" t="s">
        <v>19</v>
      </c>
      <c r="E14" s="47" t="s">
        <v>4</v>
      </c>
      <c r="F14" s="14">
        <v>276</v>
      </c>
      <c r="G14" s="385"/>
      <c r="H14" s="14">
        <v>286</v>
      </c>
      <c r="I14" s="385"/>
      <c r="O14" s="32"/>
    </row>
    <row r="15" spans="2:15" ht="16.5" thickBot="1">
      <c r="B15" s="376"/>
      <c r="C15" s="380"/>
      <c r="D15" s="389" t="s">
        <v>28</v>
      </c>
      <c r="E15" s="390"/>
      <c r="F15" s="15">
        <v>1716.2</v>
      </c>
      <c r="G15" s="385"/>
      <c r="H15" s="15">
        <v>1453.2</v>
      </c>
      <c r="I15" s="385"/>
      <c r="O15" s="32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795</v>
      </c>
      <c r="G16" s="385"/>
      <c r="H16" s="8">
        <v>725</v>
      </c>
      <c r="I16" s="385"/>
      <c r="O16" s="32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-186.7</v>
      </c>
      <c r="G17" s="385"/>
      <c r="H17" s="16">
        <v>-186.7</v>
      </c>
      <c r="I17" s="385"/>
      <c r="O17" s="32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O18" s="32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-169.7</v>
      </c>
      <c r="G19" s="385"/>
      <c r="H19" s="18">
        <v>-180.2</v>
      </c>
      <c r="I19" s="385"/>
      <c r="O19" s="32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O20" s="32"/>
    </row>
    <row r="21" spans="2:15" ht="16.5" thickBot="1">
      <c r="B21" s="377"/>
      <c r="C21" s="393"/>
      <c r="D21" s="398" t="s">
        <v>34</v>
      </c>
      <c r="E21" s="399"/>
      <c r="F21" s="27">
        <v>1156.4000000000001</v>
      </c>
      <c r="G21" s="386"/>
      <c r="H21" s="27">
        <v>1096.9000000000001</v>
      </c>
      <c r="I21" s="386"/>
      <c r="O21" s="32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O22" s="32"/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1716.2</v>
      </c>
      <c r="G23" s="400"/>
      <c r="H23" s="20">
        <v>1453.2</v>
      </c>
      <c r="I23" s="400"/>
      <c r="O23" s="32"/>
    </row>
    <row r="24" spans="2:15" ht="16">
      <c r="B24" s="409"/>
      <c r="C24" s="403" t="s">
        <v>37</v>
      </c>
      <c r="D24" s="404"/>
      <c r="E24" s="405"/>
      <c r="F24" s="21">
        <v>1156.4000000000001</v>
      </c>
      <c r="G24" s="401"/>
      <c r="H24" s="21">
        <v>1096.9000000000001</v>
      </c>
      <c r="I24" s="401"/>
      <c r="O24" s="32"/>
    </row>
    <row r="25" spans="2:15" ht="20.149999999999999" customHeight="1" thickBot="1">
      <c r="B25" s="410"/>
      <c r="C25" s="56" t="s">
        <v>38</v>
      </c>
      <c r="D25" s="586" t="s">
        <v>39</v>
      </c>
      <c r="E25" s="587"/>
      <c r="F25" s="67">
        <v>559.79999999999995</v>
      </c>
      <c r="G25" s="402"/>
      <c r="H25" s="67">
        <v>356.29999999999995</v>
      </c>
      <c r="I25" s="402"/>
      <c r="O25" s="3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322" t="s">
        <v>22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322" t="s">
        <v>23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322" t="s">
        <v>197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>
      <c r="B54" s="64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5.5" thickBot="1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0">
    <mergeCell ref="B23:B25"/>
    <mergeCell ref="C23:E23"/>
    <mergeCell ref="B5:B21"/>
    <mergeCell ref="C5:C15"/>
    <mergeCell ref="G5:G21"/>
    <mergeCell ref="I5:I21"/>
    <mergeCell ref="D12:D13"/>
    <mergeCell ref="D15:E15"/>
    <mergeCell ref="C16:C21"/>
    <mergeCell ref="D17:D18"/>
    <mergeCell ref="D19:D20"/>
    <mergeCell ref="D21:E21"/>
    <mergeCell ref="G23:G25"/>
    <mergeCell ref="I23:I25"/>
    <mergeCell ref="C24:E24"/>
    <mergeCell ref="D25:E25"/>
    <mergeCell ref="C2:E2"/>
    <mergeCell ref="F2:G2"/>
    <mergeCell ref="H2:I2"/>
    <mergeCell ref="C3:E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日別の需給状況・再エネ出力抑制の必要性（2024年3月）</oddHeader>
    <oddFooter>&amp;R&amp;"メイリオ,レギュラー"&amp;14九州電力送配電株式会社</oddFooter>
  </headerFooter>
  <colBreaks count="1" manualBreakCount="1">
    <brk id="15" max="53" man="1"/>
  </colBreaks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A1B3-D896-445B-AD28-482E2906DBFC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45352</v>
      </c>
      <c r="G3" s="418"/>
      <c r="H3" s="418"/>
      <c r="I3" s="419"/>
      <c r="J3" s="417">
        <v>45353</v>
      </c>
      <c r="K3" s="418"/>
      <c r="L3" s="418"/>
      <c r="M3" s="419"/>
      <c r="N3" s="417">
        <v>45354</v>
      </c>
      <c r="O3" s="418"/>
      <c r="P3" s="418"/>
      <c r="Q3" s="419"/>
      <c r="R3" s="417">
        <v>45355</v>
      </c>
      <c r="S3" s="418"/>
      <c r="T3" s="418"/>
      <c r="U3" s="419"/>
      <c r="V3" s="417">
        <v>45358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8.4</v>
      </c>
      <c r="G7" s="165">
        <v>9.4</v>
      </c>
      <c r="H7" s="164">
        <v>1</v>
      </c>
      <c r="I7" s="331" t="s">
        <v>148</v>
      </c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8.4</v>
      </c>
      <c r="W7" s="165">
        <v>8.4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57.7</v>
      </c>
      <c r="G8" s="216">
        <v>57.7</v>
      </c>
      <c r="H8" s="215">
        <v>0</v>
      </c>
      <c r="I8" s="214"/>
      <c r="J8" s="217">
        <v>57.900000000000006</v>
      </c>
      <c r="K8" s="216">
        <v>57.900000000000006</v>
      </c>
      <c r="L8" s="215">
        <v>0</v>
      </c>
      <c r="M8" s="214"/>
      <c r="N8" s="217">
        <v>54.300000000000004</v>
      </c>
      <c r="O8" s="216">
        <v>54.300000000000004</v>
      </c>
      <c r="P8" s="215">
        <v>0</v>
      </c>
      <c r="Q8" s="214"/>
      <c r="R8" s="217">
        <v>57.7</v>
      </c>
      <c r="S8" s="216">
        <v>57.7</v>
      </c>
      <c r="T8" s="215">
        <v>0</v>
      </c>
      <c r="U8" s="214"/>
      <c r="V8" s="217">
        <v>56.300000000000004</v>
      </c>
      <c r="W8" s="216">
        <v>56.300000000000004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v>108.5</v>
      </c>
      <c r="G9" s="187">
        <v>108.5</v>
      </c>
      <c r="H9" s="187">
        <v>0</v>
      </c>
      <c r="I9" s="213" t="s">
        <v>81</v>
      </c>
      <c r="J9" s="188">
        <v>99.3</v>
      </c>
      <c r="K9" s="187">
        <v>99.300000000000011</v>
      </c>
      <c r="L9" s="187">
        <v>0</v>
      </c>
      <c r="M9" s="213" t="s">
        <v>81</v>
      </c>
      <c r="N9" s="188">
        <v>95.7</v>
      </c>
      <c r="O9" s="187">
        <v>95.700000000000017</v>
      </c>
      <c r="P9" s="187">
        <v>0</v>
      </c>
      <c r="Q9" s="213" t="s">
        <v>81</v>
      </c>
      <c r="R9" s="188">
        <v>99.1</v>
      </c>
      <c r="S9" s="187">
        <v>99.100000000000009</v>
      </c>
      <c r="T9" s="187">
        <v>0</v>
      </c>
      <c r="U9" s="213" t="s">
        <v>81</v>
      </c>
      <c r="V9" s="188">
        <v>106.1</v>
      </c>
      <c r="W9" s="187">
        <v>106.10000000000001</v>
      </c>
      <c r="X9" s="187"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45352</v>
      </c>
      <c r="G11" s="433"/>
      <c r="H11" s="433"/>
      <c r="I11" s="434"/>
      <c r="J11" s="432">
        <v>45353</v>
      </c>
      <c r="K11" s="433"/>
      <c r="L11" s="433"/>
      <c r="M11" s="434"/>
      <c r="N11" s="432">
        <v>45354</v>
      </c>
      <c r="O11" s="433"/>
      <c r="P11" s="433"/>
      <c r="Q11" s="434"/>
      <c r="R11" s="432">
        <v>45355</v>
      </c>
      <c r="S11" s="433"/>
      <c r="T11" s="433"/>
      <c r="U11" s="434"/>
      <c r="V11" s="432">
        <v>45358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149</v>
      </c>
      <c r="R17" s="166">
        <v>-34</v>
      </c>
      <c r="S17" s="165">
        <v>0</v>
      </c>
      <c r="T17" s="164">
        <v>34</v>
      </c>
      <c r="U17" s="212" t="s">
        <v>149</v>
      </c>
      <c r="V17" s="166">
        <v>-34</v>
      </c>
      <c r="W17" s="165">
        <v>0</v>
      </c>
      <c r="X17" s="164">
        <v>34</v>
      </c>
      <c r="Y17" s="286" t="s">
        <v>149</v>
      </c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212" t="s">
        <v>149</v>
      </c>
      <c r="J18" s="166">
        <v>-34</v>
      </c>
      <c r="K18" s="165">
        <v>0</v>
      </c>
      <c r="L18" s="164">
        <v>34</v>
      </c>
      <c r="M18" s="212" t="s">
        <v>149</v>
      </c>
      <c r="N18" s="166">
        <v>-34</v>
      </c>
      <c r="O18" s="165">
        <v>0</v>
      </c>
      <c r="P18" s="164">
        <v>34</v>
      </c>
      <c r="Q18" s="212" t="s">
        <v>149</v>
      </c>
      <c r="R18" s="166">
        <v>-34</v>
      </c>
      <c r="S18" s="165">
        <v>0</v>
      </c>
      <c r="T18" s="164">
        <v>34</v>
      </c>
      <c r="U18" s="212" t="s">
        <v>149</v>
      </c>
      <c r="V18" s="166">
        <v>-34</v>
      </c>
      <c r="W18" s="165">
        <v>0</v>
      </c>
      <c r="X18" s="164">
        <v>34</v>
      </c>
      <c r="Y18" s="286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45352</v>
      </c>
      <c r="G23" s="433"/>
      <c r="H23" s="433"/>
      <c r="I23" s="434"/>
      <c r="J23" s="432">
        <v>45353</v>
      </c>
      <c r="K23" s="433"/>
      <c r="L23" s="433"/>
      <c r="M23" s="434"/>
      <c r="N23" s="432">
        <v>45354</v>
      </c>
      <c r="O23" s="433"/>
      <c r="P23" s="433"/>
      <c r="Q23" s="434"/>
      <c r="R23" s="432">
        <v>45355</v>
      </c>
      <c r="S23" s="433"/>
      <c r="T23" s="433"/>
      <c r="U23" s="434"/>
      <c r="V23" s="432">
        <v>45358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-4.7</v>
      </c>
      <c r="H25" s="207">
        <v>0.29999999999999982</v>
      </c>
      <c r="I25" s="206" t="s">
        <v>150</v>
      </c>
      <c r="J25" s="209">
        <v>-5</v>
      </c>
      <c r="K25" s="208">
        <v>-4.7</v>
      </c>
      <c r="L25" s="207">
        <v>0.29999999999999982</v>
      </c>
      <c r="M25" s="206" t="s">
        <v>150</v>
      </c>
      <c r="N25" s="209">
        <v>-5</v>
      </c>
      <c r="O25" s="208">
        <v>-4.7</v>
      </c>
      <c r="P25" s="207">
        <v>0.29999999999999982</v>
      </c>
      <c r="Q25" s="206" t="s">
        <v>150</v>
      </c>
      <c r="R25" s="209">
        <v>-5</v>
      </c>
      <c r="S25" s="208">
        <v>0</v>
      </c>
      <c r="T25" s="207">
        <v>5</v>
      </c>
      <c r="U25" s="206" t="s">
        <v>150</v>
      </c>
      <c r="V25" s="209">
        <v>-5</v>
      </c>
      <c r="W25" s="208">
        <v>0</v>
      </c>
      <c r="X25" s="207">
        <v>5</v>
      </c>
      <c r="Y25" s="269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45352</v>
      </c>
      <c r="G27" s="433"/>
      <c r="H27" s="433"/>
      <c r="I27" s="434"/>
      <c r="J27" s="432">
        <v>45353</v>
      </c>
      <c r="K27" s="433"/>
      <c r="L27" s="433"/>
      <c r="M27" s="434"/>
      <c r="N27" s="432">
        <v>45354</v>
      </c>
      <c r="O27" s="433"/>
      <c r="P27" s="433"/>
      <c r="Q27" s="434"/>
      <c r="R27" s="432">
        <v>45355</v>
      </c>
      <c r="S27" s="433"/>
      <c r="T27" s="433"/>
      <c r="U27" s="434"/>
      <c r="V27" s="432">
        <v>45358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J29" s="200">
        <v>43.8</v>
      </c>
      <c r="K29" s="455">
        <v>43.8</v>
      </c>
      <c r="L29" s="457">
        <v>0</v>
      </c>
      <c r="M29" s="459"/>
      <c r="N29" s="200">
        <v>43.8</v>
      </c>
      <c r="O29" s="455">
        <v>43.8</v>
      </c>
      <c r="P29" s="457">
        <v>0</v>
      </c>
      <c r="Q29" s="459"/>
      <c r="R29" s="200">
        <v>43.8</v>
      </c>
      <c r="S29" s="455">
        <v>43.8</v>
      </c>
      <c r="T29" s="457">
        <v>0</v>
      </c>
      <c r="U29" s="459"/>
      <c r="V29" s="200">
        <v>21.9</v>
      </c>
      <c r="W29" s="455">
        <v>21.2</v>
      </c>
      <c r="X29" s="457">
        <v>-0.69999999999999929</v>
      </c>
      <c r="Y29" s="588" t="s">
        <v>146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589"/>
    </row>
    <row r="31" spans="3:25" ht="16">
      <c r="C31" s="451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27.2</v>
      </c>
      <c r="P31" s="457">
        <v>0</v>
      </c>
      <c r="Q31" s="459"/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94.5</v>
      </c>
      <c r="X31" s="457">
        <v>67.3</v>
      </c>
      <c r="Y31" s="590" t="s">
        <v>149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589"/>
    </row>
    <row r="33" spans="3:25" ht="16">
      <c r="C33" s="451"/>
      <c r="D33" s="466" t="s">
        <v>107</v>
      </c>
      <c r="E33" s="201" t="s">
        <v>106</v>
      </c>
      <c r="F33" s="200">
        <v>39</v>
      </c>
      <c r="G33" s="199">
        <v>46.9</v>
      </c>
      <c r="H33" s="457">
        <v>7.8999999999999986</v>
      </c>
      <c r="I33" s="459" t="s">
        <v>148</v>
      </c>
      <c r="J33" s="200">
        <v>39</v>
      </c>
      <c r="K33" s="199">
        <v>39.799999999999997</v>
      </c>
      <c r="L33" s="457">
        <v>0.79999999999999716</v>
      </c>
      <c r="M33" s="459" t="s">
        <v>148</v>
      </c>
      <c r="N33" s="200">
        <v>49.2</v>
      </c>
      <c r="O33" s="199">
        <v>35.5</v>
      </c>
      <c r="P33" s="457">
        <v>-13.700000000000003</v>
      </c>
      <c r="Q33" s="459" t="s">
        <v>146</v>
      </c>
      <c r="R33" s="200">
        <v>49.2</v>
      </c>
      <c r="S33" s="199">
        <v>50.3</v>
      </c>
      <c r="T33" s="457">
        <v>1.0999999999999943</v>
      </c>
      <c r="U33" s="459" t="s">
        <v>148</v>
      </c>
      <c r="V33" s="200">
        <v>49.2</v>
      </c>
      <c r="W33" s="199">
        <v>46</v>
      </c>
      <c r="X33" s="457">
        <v>-3.2000000000000028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0.25</v>
      </c>
      <c r="G34" s="197">
        <v>0.3</v>
      </c>
      <c r="H34" s="458"/>
      <c r="I34" s="460"/>
      <c r="J34" s="198">
        <v>0.25</v>
      </c>
      <c r="K34" s="197">
        <v>0.26</v>
      </c>
      <c r="L34" s="458"/>
      <c r="M34" s="460"/>
      <c r="N34" s="198">
        <v>0.26</v>
      </c>
      <c r="O34" s="197">
        <v>0.19</v>
      </c>
      <c r="P34" s="458"/>
      <c r="Q34" s="460"/>
      <c r="R34" s="198">
        <v>0.26</v>
      </c>
      <c r="S34" s="197">
        <v>0.27</v>
      </c>
      <c r="T34" s="458"/>
      <c r="U34" s="460"/>
      <c r="V34" s="198">
        <v>0.26</v>
      </c>
      <c r="W34" s="197">
        <v>0.24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0.49999999999999856</v>
      </c>
      <c r="H37" s="164">
        <v>-12.500000000000002</v>
      </c>
      <c r="I37" s="189" t="s">
        <v>147</v>
      </c>
      <c r="J37" s="166">
        <v>13</v>
      </c>
      <c r="K37" s="165">
        <v>0.4</v>
      </c>
      <c r="L37" s="164">
        <v>-12.6</v>
      </c>
      <c r="M37" s="189" t="s">
        <v>147</v>
      </c>
      <c r="N37" s="166">
        <v>13</v>
      </c>
      <c r="O37" s="165">
        <v>0.4</v>
      </c>
      <c r="P37" s="164">
        <v>-12.6</v>
      </c>
      <c r="Q37" s="189" t="s">
        <v>147</v>
      </c>
      <c r="R37" s="166">
        <v>13</v>
      </c>
      <c r="S37" s="165">
        <v>0.7</v>
      </c>
      <c r="T37" s="164">
        <v>-12.3</v>
      </c>
      <c r="U37" s="189" t="s">
        <v>147</v>
      </c>
      <c r="V37" s="166">
        <v>13</v>
      </c>
      <c r="W37" s="165">
        <v>0.3</v>
      </c>
      <c r="X37" s="164">
        <v>-12.7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123</v>
      </c>
      <c r="G38" s="187">
        <v>118.4</v>
      </c>
      <c r="H38" s="187">
        <v>-4.6000000000000032</v>
      </c>
      <c r="I38" s="186"/>
      <c r="J38" s="188">
        <v>123</v>
      </c>
      <c r="K38" s="187">
        <v>111.2</v>
      </c>
      <c r="L38" s="187">
        <v>-11.800000000000002</v>
      </c>
      <c r="M38" s="186"/>
      <c r="N38" s="188">
        <v>133.19999999999999</v>
      </c>
      <c r="O38" s="187">
        <v>106.9</v>
      </c>
      <c r="P38" s="187">
        <v>-26.300000000000004</v>
      </c>
      <c r="Q38" s="186"/>
      <c r="R38" s="188">
        <v>133.19999999999999</v>
      </c>
      <c r="S38" s="187">
        <v>122</v>
      </c>
      <c r="T38" s="187">
        <v>-11.200000000000006</v>
      </c>
      <c r="U38" s="186"/>
      <c r="V38" s="188">
        <v>111.3</v>
      </c>
      <c r="W38" s="187">
        <v>162</v>
      </c>
      <c r="X38" s="187">
        <v>50.699999999999989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45352</v>
      </c>
      <c r="G40" s="470"/>
      <c r="H40" s="470"/>
      <c r="I40" s="471"/>
      <c r="J40" s="469">
        <v>45353</v>
      </c>
      <c r="K40" s="470"/>
      <c r="L40" s="470"/>
      <c r="M40" s="471"/>
      <c r="N40" s="469">
        <v>45354</v>
      </c>
      <c r="O40" s="470"/>
      <c r="P40" s="470"/>
      <c r="Q40" s="471"/>
      <c r="R40" s="469">
        <v>45355</v>
      </c>
      <c r="S40" s="470"/>
      <c r="T40" s="470"/>
      <c r="U40" s="471"/>
      <c r="V40" s="469">
        <v>45358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10</v>
      </c>
      <c r="G42" s="478">
        <v>10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254</v>
      </c>
      <c r="G43" s="479"/>
      <c r="H43" s="480"/>
      <c r="I43" s="481"/>
      <c r="J43" s="183">
        <v>206</v>
      </c>
      <c r="K43" s="479"/>
      <c r="L43" s="480"/>
      <c r="M43" s="481"/>
      <c r="N43" s="183">
        <v>206</v>
      </c>
      <c r="O43" s="479"/>
      <c r="P43" s="480"/>
      <c r="Q43" s="481"/>
      <c r="R43" s="183">
        <v>254</v>
      </c>
      <c r="S43" s="479"/>
      <c r="T43" s="480"/>
      <c r="U43" s="481"/>
      <c r="V43" s="183">
        <v>254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45352</v>
      </c>
      <c r="G45" s="470"/>
      <c r="H45" s="470"/>
      <c r="I45" s="471"/>
      <c r="J45" s="469">
        <v>45353</v>
      </c>
      <c r="K45" s="470"/>
      <c r="L45" s="470"/>
      <c r="M45" s="471"/>
      <c r="N45" s="469">
        <v>45354</v>
      </c>
      <c r="O45" s="470"/>
      <c r="P45" s="470"/>
      <c r="Q45" s="471"/>
      <c r="R45" s="469">
        <v>45355</v>
      </c>
      <c r="S45" s="470"/>
      <c r="T45" s="470"/>
      <c r="U45" s="471"/>
      <c r="V45" s="469">
        <v>45358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30.8</v>
      </c>
      <c r="G47" s="478">
        <v>35.5</v>
      </c>
      <c r="H47" s="457">
        <v>4.6999999999999993</v>
      </c>
      <c r="I47" s="459" t="s">
        <v>150</v>
      </c>
      <c r="J47" s="178">
        <v>30.8</v>
      </c>
      <c r="K47" s="478">
        <v>35.5</v>
      </c>
      <c r="L47" s="457">
        <v>4.6999999999999993</v>
      </c>
      <c r="M47" s="459" t="s">
        <v>150</v>
      </c>
      <c r="N47" s="178">
        <v>30.8</v>
      </c>
      <c r="O47" s="478">
        <v>35.5</v>
      </c>
      <c r="P47" s="457">
        <v>4.6999999999999993</v>
      </c>
      <c r="Q47" s="459" t="s">
        <v>150</v>
      </c>
      <c r="R47" s="178">
        <v>30.8</v>
      </c>
      <c r="S47" s="478">
        <v>35.5</v>
      </c>
      <c r="T47" s="457">
        <v>4.6999999999999993</v>
      </c>
      <c r="U47" s="459" t="s">
        <v>150</v>
      </c>
      <c r="V47" s="178">
        <v>30.8</v>
      </c>
      <c r="W47" s="478">
        <v>35.5</v>
      </c>
      <c r="X47" s="457">
        <v>4.6999999999999993</v>
      </c>
      <c r="Y47" s="461" t="s">
        <v>150</v>
      </c>
    </row>
    <row r="48" spans="3:25" ht="16.5" thickBot="1">
      <c r="C48" s="486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1"/>
      <c r="R48" s="177">
        <v>0.64</v>
      </c>
      <c r="S48" s="479"/>
      <c r="T48" s="480"/>
      <c r="U48" s="481"/>
      <c r="V48" s="177">
        <v>0.64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45352</v>
      </c>
      <c r="G50" s="470"/>
      <c r="H50" s="470"/>
      <c r="I50" s="471"/>
      <c r="J50" s="469">
        <v>45353</v>
      </c>
      <c r="K50" s="470"/>
      <c r="L50" s="470"/>
      <c r="M50" s="471"/>
      <c r="N50" s="469">
        <v>45354</v>
      </c>
      <c r="O50" s="470"/>
      <c r="P50" s="470"/>
      <c r="Q50" s="471"/>
      <c r="R50" s="469">
        <v>45355</v>
      </c>
      <c r="S50" s="470"/>
      <c r="T50" s="470"/>
      <c r="U50" s="471"/>
      <c r="V50" s="469">
        <v>45358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25</v>
      </c>
      <c r="H53" s="223" t="s">
        <v>81</v>
      </c>
      <c r="I53" s="222" t="s">
        <v>80</v>
      </c>
      <c r="J53" s="225">
        <v>0</v>
      </c>
      <c r="K53" s="224">
        <v>26.1</v>
      </c>
      <c r="L53" s="223" t="s">
        <v>81</v>
      </c>
      <c r="M53" s="222" t="s">
        <v>80</v>
      </c>
      <c r="N53" s="225">
        <v>0</v>
      </c>
      <c r="O53" s="224">
        <v>25.8</v>
      </c>
      <c r="P53" s="223" t="s">
        <v>81</v>
      </c>
      <c r="Q53" s="222" t="s">
        <v>80</v>
      </c>
      <c r="R53" s="225">
        <v>0</v>
      </c>
      <c r="S53" s="224">
        <v>25.8</v>
      </c>
      <c r="T53" s="223" t="s">
        <v>81</v>
      </c>
      <c r="U53" s="222" t="s">
        <v>80</v>
      </c>
      <c r="V53" s="225">
        <v>0</v>
      </c>
      <c r="W53" s="224">
        <v>24.6</v>
      </c>
      <c r="X53" s="223" t="s">
        <v>81</v>
      </c>
      <c r="Y53" s="274" t="s">
        <v>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2D3A-87E7-4EC0-A7EF-641108B494A8}">
  <dimension ref="A1:Y57"/>
  <sheetViews>
    <sheetView showGridLines="0" view="pageBreakPreview" zoomScale="70" zoomScaleNormal="55" zoomScaleSheetLayoutView="70" zoomScalePageLayoutView="8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45791</v>
      </c>
      <c r="G3" s="491"/>
      <c r="H3" s="491"/>
      <c r="I3" s="492"/>
      <c r="J3" s="490">
        <v>45792</v>
      </c>
      <c r="K3" s="491"/>
      <c r="L3" s="491"/>
      <c r="M3" s="492"/>
      <c r="N3" s="490">
        <v>45796</v>
      </c>
      <c r="O3" s="491"/>
      <c r="P3" s="491"/>
      <c r="Q3" s="492"/>
      <c r="R3" s="490">
        <v>45799</v>
      </c>
      <c r="S3" s="491"/>
      <c r="T3" s="491"/>
      <c r="U3" s="492"/>
      <c r="V3" s="490">
        <v>45800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f t="shared" ref="L5:L8" si="0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f t="shared" si="0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 t="shared" si="0"/>
        <v>0</v>
      </c>
      <c r="M7" s="219"/>
      <c r="N7" s="166">
        <v>0</v>
      </c>
      <c r="O7" s="165">
        <v>0</v>
      </c>
      <c r="P7" s="164">
        <f t="shared" ref="P7" si="1">SUM(O7,-N7)</f>
        <v>0</v>
      </c>
      <c r="Q7" s="219"/>
      <c r="R7" s="166">
        <v>0</v>
      </c>
      <c r="S7" s="165">
        <v>0</v>
      </c>
      <c r="T7" s="164">
        <f t="shared" ref="T7" si="2">SUM(S7,-R7)</f>
        <v>0</v>
      </c>
      <c r="U7" s="219"/>
      <c r="V7" s="166">
        <v>0</v>
      </c>
      <c r="W7" s="165">
        <v>0</v>
      </c>
      <c r="X7" s="164">
        <f t="shared" ref="X7" si="3">SUM(W7,-V7)</f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55.300000000000004</v>
      </c>
      <c r="G8" s="216">
        <v>55.300000000000004</v>
      </c>
      <c r="H8" s="215">
        <v>0</v>
      </c>
      <c r="I8" s="214"/>
      <c r="J8" s="217">
        <v>54.900000000000006</v>
      </c>
      <c r="K8" s="216">
        <v>54.900000000000006</v>
      </c>
      <c r="L8" s="215">
        <f t="shared" si="0"/>
        <v>0</v>
      </c>
      <c r="M8" s="214"/>
      <c r="N8" s="217">
        <v>54.900000000000006</v>
      </c>
      <c r="O8" s="216">
        <v>54.900000000000006</v>
      </c>
      <c r="P8" s="215">
        <f>SUM(O8,-N8)</f>
        <v>0</v>
      </c>
      <c r="Q8" s="232"/>
      <c r="R8" s="217">
        <v>56.300000000000004</v>
      </c>
      <c r="S8" s="216">
        <v>56.300000000000004</v>
      </c>
      <c r="T8" s="215">
        <f>SUM(S8,-R8)</f>
        <v>0</v>
      </c>
      <c r="U8" s="232"/>
      <c r="V8" s="217">
        <v>56.900000000000006</v>
      </c>
      <c r="W8" s="216">
        <v>56.900000000000006</v>
      </c>
      <c r="X8" s="215">
        <f>SUM(W8,-V8)</f>
        <v>0</v>
      </c>
      <c r="Y8" s="264"/>
    </row>
    <row r="9" spans="2:25" ht="16.5" thickBot="1">
      <c r="B9" s="281"/>
      <c r="C9" s="497"/>
      <c r="D9" s="427" t="s">
        <v>101</v>
      </c>
      <c r="E9" s="428"/>
      <c r="F9" s="188">
        <v>108.9</v>
      </c>
      <c r="G9" s="187">
        <v>108.9</v>
      </c>
      <c r="H9" s="187">
        <v>0</v>
      </c>
      <c r="I9" s="213" t="s">
        <v>81</v>
      </c>
      <c r="J9" s="188">
        <f t="shared" ref="J9:L9" si="4">SUM(J5:J8)</f>
        <v>76.100000000000009</v>
      </c>
      <c r="K9" s="187">
        <f t="shared" si="4"/>
        <v>76.100000000000009</v>
      </c>
      <c r="L9" s="187">
        <f t="shared" si="4"/>
        <v>0</v>
      </c>
      <c r="M9" s="213" t="s">
        <v>159</v>
      </c>
      <c r="N9" s="188">
        <f>SUM(N5:N8)</f>
        <v>76.100000000000009</v>
      </c>
      <c r="O9" s="187">
        <f>SUM(O5:O8)</f>
        <v>76.100000000000009</v>
      </c>
      <c r="P9" s="187">
        <f>SUM(P5:P8)</f>
        <v>0</v>
      </c>
      <c r="Q9" s="213" t="s">
        <v>159</v>
      </c>
      <c r="R9" s="188">
        <f>SUM(R5:R8)</f>
        <v>77.5</v>
      </c>
      <c r="S9" s="187">
        <f>SUM(S5:S8)</f>
        <v>77.5</v>
      </c>
      <c r="T9" s="187">
        <f>SUM(T5:T8)</f>
        <v>0</v>
      </c>
      <c r="U9" s="213" t="s">
        <v>159</v>
      </c>
      <c r="V9" s="188">
        <f>SUM(V5:V8)</f>
        <v>78.100000000000009</v>
      </c>
      <c r="W9" s="187">
        <f>SUM(W5:W8)</f>
        <v>78.100000000000009</v>
      </c>
      <c r="X9" s="187">
        <f>SUM(X5:X8)</f>
        <v>0</v>
      </c>
      <c r="Y9" s="265" t="s">
        <v>159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282"/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f>SUM(G13,-F13)</f>
        <v>26.1</v>
      </c>
      <c r="I13" s="232" t="s">
        <v>149</v>
      </c>
      <c r="J13" s="166">
        <v>-26.1</v>
      </c>
      <c r="K13" s="165">
        <v>0</v>
      </c>
      <c r="L13" s="164">
        <f>SUM(K13,-J13)</f>
        <v>26.1</v>
      </c>
      <c r="M13" s="232" t="s">
        <v>149</v>
      </c>
      <c r="N13" s="166">
        <v>-26.1</v>
      </c>
      <c r="O13" s="165">
        <v>0</v>
      </c>
      <c r="P13" s="164">
        <f>SUM(O13,-N13)</f>
        <v>26.1</v>
      </c>
      <c r="Q13" s="232" t="s">
        <v>149</v>
      </c>
      <c r="R13" s="166">
        <v>-26.1</v>
      </c>
      <c r="S13" s="165">
        <v>0</v>
      </c>
      <c r="T13" s="164">
        <f>SUM(S13,-R13)</f>
        <v>26.1</v>
      </c>
      <c r="U13" s="232" t="s">
        <v>149</v>
      </c>
      <c r="V13" s="166">
        <v>-26.1</v>
      </c>
      <c r="W13" s="165">
        <v>0</v>
      </c>
      <c r="X13" s="164">
        <f>SUM(W13,-V13)</f>
        <v>26.1</v>
      </c>
      <c r="Y13" s="285" t="s">
        <v>149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-26.1</v>
      </c>
      <c r="H14" s="164">
        <f t="shared" ref="H14:H20" si="5">SUM(G14,-F14)</f>
        <v>0</v>
      </c>
      <c r="I14" s="189"/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232"/>
      <c r="R14" s="166">
        <v>-26.1</v>
      </c>
      <c r="S14" s="165">
        <v>-26.1</v>
      </c>
      <c r="T14" s="164">
        <f t="shared" ref="T14:T20" si="8">SUM(S14,-R14)</f>
        <v>0</v>
      </c>
      <c r="U14" s="232"/>
      <c r="V14" s="166">
        <v>-26.1</v>
      </c>
      <c r="W14" s="165">
        <v>-26.1</v>
      </c>
      <c r="X14" s="164">
        <f t="shared" ref="X14:X20" si="9">SUM(W14,-V14)</f>
        <v>0</v>
      </c>
      <c r="Y14" s="285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232"/>
      <c r="J15" s="166">
        <v>-32.5</v>
      </c>
      <c r="K15" s="165">
        <v>-32.5</v>
      </c>
      <c r="L15" s="164">
        <f t="shared" si="6"/>
        <v>0</v>
      </c>
      <c r="M15" s="232"/>
      <c r="N15" s="166">
        <v>-32.5</v>
      </c>
      <c r="O15" s="165">
        <v>-32.5</v>
      </c>
      <c r="P15" s="164">
        <f t="shared" si="7"/>
        <v>0</v>
      </c>
      <c r="Q15" s="232"/>
      <c r="R15" s="166">
        <v>-32.5</v>
      </c>
      <c r="S15" s="165">
        <v>-32.5</v>
      </c>
      <c r="T15" s="164">
        <f t="shared" si="8"/>
        <v>0</v>
      </c>
      <c r="U15" s="232"/>
      <c r="V15" s="166">
        <v>-32.5</v>
      </c>
      <c r="W15" s="165">
        <v>-32.5</v>
      </c>
      <c r="X15" s="164">
        <f t="shared" si="9"/>
        <v>0</v>
      </c>
      <c r="Y15" s="285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232"/>
      <c r="J16" s="166">
        <v>-32.5</v>
      </c>
      <c r="K16" s="165">
        <v>-32.5</v>
      </c>
      <c r="L16" s="164">
        <f t="shared" si="6"/>
        <v>0</v>
      </c>
      <c r="M16" s="232"/>
      <c r="N16" s="166">
        <v>-32.5</v>
      </c>
      <c r="O16" s="165">
        <v>-32.5</v>
      </c>
      <c r="P16" s="164">
        <f t="shared" si="7"/>
        <v>0</v>
      </c>
      <c r="Q16" s="232"/>
      <c r="R16" s="166">
        <v>-32.5</v>
      </c>
      <c r="S16" s="165">
        <v>-32.5</v>
      </c>
      <c r="T16" s="164">
        <f t="shared" si="8"/>
        <v>0</v>
      </c>
      <c r="U16" s="232"/>
      <c r="V16" s="166">
        <v>-32.5</v>
      </c>
      <c r="W16" s="165">
        <v>-32.5</v>
      </c>
      <c r="X16" s="164">
        <f t="shared" si="9"/>
        <v>0</v>
      </c>
      <c r="Y16" s="285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12"/>
      <c r="J17" s="166">
        <v>-34</v>
      </c>
      <c r="K17" s="165">
        <v>-34</v>
      </c>
      <c r="L17" s="164">
        <f t="shared" si="6"/>
        <v>0</v>
      </c>
      <c r="M17" s="232"/>
      <c r="N17" s="166">
        <v>-34</v>
      </c>
      <c r="O17" s="165">
        <v>-34</v>
      </c>
      <c r="P17" s="164">
        <f t="shared" si="7"/>
        <v>0</v>
      </c>
      <c r="Q17" s="212"/>
      <c r="R17" s="166">
        <v>-34</v>
      </c>
      <c r="S17" s="165">
        <v>-34</v>
      </c>
      <c r="T17" s="164">
        <f t="shared" si="8"/>
        <v>0</v>
      </c>
      <c r="U17" s="212"/>
      <c r="V17" s="166">
        <v>-34</v>
      </c>
      <c r="W17" s="165">
        <v>-34</v>
      </c>
      <c r="X17" s="164">
        <f t="shared" si="9"/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232"/>
      <c r="N18" s="166">
        <v>-34</v>
      </c>
      <c r="O18" s="165">
        <v>-34</v>
      </c>
      <c r="P18" s="164">
        <f t="shared" si="7"/>
        <v>0</v>
      </c>
      <c r="Q18" s="189"/>
      <c r="R18" s="166">
        <v>-34</v>
      </c>
      <c r="S18" s="165">
        <v>-34</v>
      </c>
      <c r="T18" s="164">
        <f t="shared" si="8"/>
        <v>0</v>
      </c>
      <c r="U18" s="189"/>
      <c r="V18" s="166">
        <v>-34</v>
      </c>
      <c r="W18" s="165">
        <v>-34</v>
      </c>
      <c r="X18" s="164">
        <f t="shared" si="9"/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0</v>
      </c>
      <c r="H19" s="164">
        <f t="shared" si="5"/>
        <v>34</v>
      </c>
      <c r="I19" s="189" t="s">
        <v>145</v>
      </c>
      <c r="J19" s="166">
        <v>-34</v>
      </c>
      <c r="K19" s="165">
        <v>0</v>
      </c>
      <c r="L19" s="164">
        <f t="shared" si="6"/>
        <v>34</v>
      </c>
      <c r="M19" s="232" t="s">
        <v>149</v>
      </c>
      <c r="N19" s="166">
        <v>-34</v>
      </c>
      <c r="O19" s="165">
        <v>0</v>
      </c>
      <c r="P19" s="164">
        <f t="shared" si="7"/>
        <v>34</v>
      </c>
      <c r="Q19" s="189" t="s">
        <v>145</v>
      </c>
      <c r="R19" s="166">
        <v>-34</v>
      </c>
      <c r="S19" s="165">
        <v>0</v>
      </c>
      <c r="T19" s="164">
        <f t="shared" si="8"/>
        <v>34</v>
      </c>
      <c r="U19" s="189" t="s">
        <v>145</v>
      </c>
      <c r="V19" s="166">
        <v>-34</v>
      </c>
      <c r="W19" s="165">
        <v>0</v>
      </c>
      <c r="X19" s="164">
        <f t="shared" si="9"/>
        <v>34</v>
      </c>
      <c r="Y19" s="267" t="s">
        <v>145</v>
      </c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0</v>
      </c>
      <c r="H20" s="164">
        <f t="shared" si="5"/>
        <v>34</v>
      </c>
      <c r="I20" s="189" t="s">
        <v>145</v>
      </c>
      <c r="J20" s="166">
        <v>-34</v>
      </c>
      <c r="K20" s="165">
        <v>0</v>
      </c>
      <c r="L20" s="164">
        <f t="shared" si="6"/>
        <v>34</v>
      </c>
      <c r="M20" s="232" t="s">
        <v>149</v>
      </c>
      <c r="N20" s="166">
        <v>-34</v>
      </c>
      <c r="O20" s="165">
        <v>0</v>
      </c>
      <c r="P20" s="164">
        <f t="shared" si="7"/>
        <v>34</v>
      </c>
      <c r="Q20" s="189" t="s">
        <v>145</v>
      </c>
      <c r="R20" s="166">
        <v>-34</v>
      </c>
      <c r="S20" s="165">
        <v>0</v>
      </c>
      <c r="T20" s="164">
        <f t="shared" si="8"/>
        <v>34</v>
      </c>
      <c r="U20" s="189" t="s">
        <v>145</v>
      </c>
      <c r="V20" s="166">
        <v>-34</v>
      </c>
      <c r="W20" s="165">
        <v>0</v>
      </c>
      <c r="X20" s="164">
        <f t="shared" si="9"/>
        <v>34</v>
      </c>
      <c r="Y20" s="267" t="s">
        <v>145</v>
      </c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f t="shared" ref="J21:L21" si="10">SUM(J13:J20)</f>
        <v>-253.2</v>
      </c>
      <c r="K21" s="187">
        <f t="shared" si="10"/>
        <v>-159.1</v>
      </c>
      <c r="L21" s="187">
        <f t="shared" si="10"/>
        <v>94.1</v>
      </c>
      <c r="M21" s="186" t="s">
        <v>159</v>
      </c>
      <c r="N21" s="188">
        <f>SUM(N13:N20)</f>
        <v>-253.2</v>
      </c>
      <c r="O21" s="187">
        <f>SUM(O13:O20)</f>
        <v>-159.1</v>
      </c>
      <c r="P21" s="187">
        <f>SUM(P13:P20)</f>
        <v>94.1</v>
      </c>
      <c r="Q21" s="186" t="s">
        <v>159</v>
      </c>
      <c r="R21" s="188">
        <f>SUM(R13:R20)</f>
        <v>-253.2</v>
      </c>
      <c r="S21" s="187">
        <f>SUM(S13:S20)</f>
        <v>-159.1</v>
      </c>
      <c r="T21" s="187">
        <f>SUM(T13:T20)</f>
        <v>94.1</v>
      </c>
      <c r="U21" s="186" t="s">
        <v>159</v>
      </c>
      <c r="V21" s="188">
        <f>SUM(V13:V20)</f>
        <v>-253.2</v>
      </c>
      <c r="W21" s="187">
        <f>SUM(W13:W20)</f>
        <v>-159.1</v>
      </c>
      <c r="X21" s="187">
        <f>SUM(X13:X20)</f>
        <v>94.1</v>
      </c>
      <c r="Y21" s="268" t="s">
        <v>159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282"/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-4.4000000000000004</v>
      </c>
      <c r="H25" s="207">
        <f t="shared" ref="H25" si="11">SUM(G25,-F25)</f>
        <v>0.59999999999999964</v>
      </c>
      <c r="I25" s="206" t="s">
        <v>150</v>
      </c>
      <c r="J25" s="209">
        <v>-5</v>
      </c>
      <c r="K25" s="208">
        <v>-4.4000000000000004</v>
      </c>
      <c r="L25" s="207">
        <f t="shared" ref="L25" si="12">SUM(K25,-J25)</f>
        <v>0.59999999999999964</v>
      </c>
      <c r="M25" s="206" t="s">
        <v>150</v>
      </c>
      <c r="N25" s="209">
        <v>-5</v>
      </c>
      <c r="O25" s="208">
        <v>-4.4000000000000004</v>
      </c>
      <c r="P25" s="207">
        <f t="shared" ref="P25" si="13">SUM(O25,-N25)</f>
        <v>0.59999999999999964</v>
      </c>
      <c r="Q25" s="206" t="s">
        <v>150</v>
      </c>
      <c r="R25" s="209">
        <v>-5</v>
      </c>
      <c r="S25" s="208">
        <v>-4.4000000000000004</v>
      </c>
      <c r="T25" s="207">
        <f t="shared" ref="T25" si="14">SUM(S25,-R25)</f>
        <v>0.59999999999999964</v>
      </c>
      <c r="U25" s="206" t="s">
        <v>150</v>
      </c>
      <c r="V25" s="209">
        <v>-5</v>
      </c>
      <c r="W25" s="208">
        <v>-4.4000000000000004</v>
      </c>
      <c r="X25" s="207">
        <f t="shared" ref="X25" si="15">SUM(W25,-V25)</f>
        <v>0.59999999999999964</v>
      </c>
      <c r="Y25" s="269" t="s">
        <v>150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282"/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6">SUM(G29,-F29)</f>
        <v>0</v>
      </c>
      <c r="I29" s="459"/>
      <c r="J29" s="200">
        <v>0</v>
      </c>
      <c r="K29" s="455">
        <v>0</v>
      </c>
      <c r="L29" s="457">
        <f t="shared" ref="L29" si="17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27.2</v>
      </c>
      <c r="G31" s="455">
        <v>27.2</v>
      </c>
      <c r="H31" s="457">
        <f t="shared" ref="H31" si="18">SUM(G31,-F31)</f>
        <v>0</v>
      </c>
      <c r="I31" s="459"/>
      <c r="J31" s="200">
        <v>27.2</v>
      </c>
      <c r="K31" s="455">
        <v>27.2</v>
      </c>
      <c r="L31" s="457">
        <f t="shared" ref="L31" si="19">SUM(K31,-J31)</f>
        <v>0</v>
      </c>
      <c r="M31" s="459"/>
      <c r="N31" s="200">
        <v>27.2</v>
      </c>
      <c r="O31" s="455">
        <v>27.2</v>
      </c>
      <c r="P31" s="457">
        <f t="shared" ref="P31" si="20">SUM(O31,-N31)</f>
        <v>0</v>
      </c>
      <c r="Q31" s="459"/>
      <c r="R31" s="200">
        <v>27.2</v>
      </c>
      <c r="S31" s="455">
        <v>34.799999999999997</v>
      </c>
      <c r="T31" s="457">
        <f t="shared" ref="T31" si="21">SUM(S31,-R31)</f>
        <v>7.5999999999999979</v>
      </c>
      <c r="U31" s="459" t="s">
        <v>151</v>
      </c>
      <c r="V31" s="200">
        <v>27.2</v>
      </c>
      <c r="W31" s="455">
        <v>27.2</v>
      </c>
      <c r="X31" s="457">
        <f t="shared" ref="X31" si="22">SUM(W31,-V31)</f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200">
        <v>29.5</v>
      </c>
      <c r="G33" s="199">
        <v>38.5</v>
      </c>
      <c r="H33" s="457">
        <f t="shared" ref="H33" si="23">SUM(G33,-F33)</f>
        <v>9</v>
      </c>
      <c r="I33" s="459" t="s">
        <v>148</v>
      </c>
      <c r="J33" s="200">
        <v>29.5</v>
      </c>
      <c r="K33" s="199">
        <v>40.200000000000003</v>
      </c>
      <c r="L33" s="457">
        <f t="shared" ref="L33" si="24">SUM(K33,-J33)</f>
        <v>10.700000000000003</v>
      </c>
      <c r="M33" s="459" t="s">
        <v>148</v>
      </c>
      <c r="N33" s="200">
        <v>29.5</v>
      </c>
      <c r="O33" s="199">
        <v>40.799999999999997</v>
      </c>
      <c r="P33" s="457">
        <f t="shared" ref="P33" si="25">SUM(O33,-N33)</f>
        <v>11.299999999999997</v>
      </c>
      <c r="Q33" s="459" t="s">
        <v>148</v>
      </c>
      <c r="R33" s="200">
        <v>29.5</v>
      </c>
      <c r="S33" s="199">
        <v>41.2</v>
      </c>
      <c r="T33" s="457">
        <f t="shared" ref="T33" si="26">SUM(S33,-R33)</f>
        <v>11.700000000000003</v>
      </c>
      <c r="U33" s="459" t="s">
        <v>148</v>
      </c>
      <c r="V33" s="200">
        <v>29.5</v>
      </c>
      <c r="W33" s="199">
        <v>41</v>
      </c>
      <c r="X33" s="457">
        <f t="shared" ref="X33" si="27">SUM(W33,-V33)</f>
        <v>11.5</v>
      </c>
      <c r="Y33" s="461" t="s">
        <v>148</v>
      </c>
    </row>
    <row r="34" spans="2:25" ht="16">
      <c r="B34" s="281"/>
      <c r="C34" s="506"/>
      <c r="D34" s="467"/>
      <c r="E34" s="463" t="s">
        <v>104</v>
      </c>
      <c r="F34" s="198">
        <v>0.22</v>
      </c>
      <c r="G34" s="197">
        <v>0.28999999999999998</v>
      </c>
      <c r="H34" s="458"/>
      <c r="I34" s="460"/>
      <c r="J34" s="198">
        <v>0.22</v>
      </c>
      <c r="K34" s="230">
        <v>30</v>
      </c>
      <c r="L34" s="458"/>
      <c r="M34" s="460"/>
      <c r="N34" s="198">
        <v>0.22</v>
      </c>
      <c r="O34" s="230">
        <v>31</v>
      </c>
      <c r="P34" s="458"/>
      <c r="Q34" s="460"/>
      <c r="R34" s="198">
        <v>0.22</v>
      </c>
      <c r="S34" s="230">
        <v>31</v>
      </c>
      <c r="T34" s="458"/>
      <c r="U34" s="460"/>
      <c r="V34" s="198">
        <v>0.22</v>
      </c>
      <c r="W34" s="230">
        <v>31</v>
      </c>
      <c r="X34" s="458"/>
      <c r="Y34" s="462"/>
    </row>
    <row r="35" spans="2:25" ht="13.5" customHeight="1">
      <c r="B35" s="281"/>
      <c r="C35" s="506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2:25" ht="16">
      <c r="B36" s="281"/>
      <c r="C36" s="506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2:25" ht="16">
      <c r="B37" s="281"/>
      <c r="C37" s="506"/>
      <c r="D37" s="467"/>
      <c r="E37" s="190" t="s">
        <v>103</v>
      </c>
      <c r="F37" s="166">
        <v>10</v>
      </c>
      <c r="G37" s="165">
        <v>0.3</v>
      </c>
      <c r="H37" s="164">
        <f t="shared" ref="H37" si="28">SUM(G37,-F37)</f>
        <v>-9.6999999999999993</v>
      </c>
      <c r="I37" s="189" t="s">
        <v>147</v>
      </c>
      <c r="J37" s="166">
        <v>10</v>
      </c>
      <c r="K37" s="165">
        <v>0.3</v>
      </c>
      <c r="L37" s="164">
        <f t="shared" ref="L37" si="29">SUM(K37,-J37)</f>
        <v>-9.6999999999999993</v>
      </c>
      <c r="M37" s="189" t="s">
        <v>147</v>
      </c>
      <c r="N37" s="166">
        <v>10</v>
      </c>
      <c r="O37" s="165">
        <v>0.5</v>
      </c>
      <c r="P37" s="164">
        <f t="shared" ref="P37" si="30">SUM(O37,-N37)</f>
        <v>-9.5</v>
      </c>
      <c r="Q37" s="189" t="s">
        <v>147</v>
      </c>
      <c r="R37" s="166">
        <v>10</v>
      </c>
      <c r="S37" s="165">
        <v>0.4</v>
      </c>
      <c r="T37" s="164">
        <f t="shared" ref="T37" si="31">SUM(S37,-R37)</f>
        <v>-9.6</v>
      </c>
      <c r="U37" s="189" t="s">
        <v>147</v>
      </c>
      <c r="V37" s="166">
        <v>10</v>
      </c>
      <c r="W37" s="165">
        <v>0.2</v>
      </c>
      <c r="X37" s="164">
        <f t="shared" ref="X37" si="32">SUM(W37,-V37)</f>
        <v>-9.8000000000000007</v>
      </c>
      <c r="Y37" s="26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129.79999999999998</v>
      </c>
      <c r="G38" s="187">
        <v>136.99999999999997</v>
      </c>
      <c r="H38" s="187">
        <v>7.2</v>
      </c>
      <c r="I38" s="186"/>
      <c r="J38" s="188">
        <f t="shared" ref="J38" si="33">SUM(J29,J31,J33,J37)</f>
        <v>66.7</v>
      </c>
      <c r="K38" s="187">
        <f t="shared" ref="K38" si="34">SUM(K29:K33,K37)</f>
        <v>67.7</v>
      </c>
      <c r="L38" s="187">
        <f t="shared" ref="L38" si="35">SUM(L29:L34,L37)</f>
        <v>1.0000000000000036</v>
      </c>
      <c r="M38" s="186"/>
      <c r="N38" s="188">
        <f>SUM(N29,N31,N33,N37)</f>
        <v>66.7</v>
      </c>
      <c r="O38" s="187">
        <f>SUM(O29:O33,O37)</f>
        <v>68.5</v>
      </c>
      <c r="P38" s="187">
        <f>SUM(P29:P34,P37)</f>
        <v>1.7999999999999972</v>
      </c>
      <c r="Q38" s="186"/>
      <c r="R38" s="188">
        <f>SUM(R29,R31,R33,R37)</f>
        <v>66.7</v>
      </c>
      <c r="S38" s="187">
        <f>SUM(S29:S33,S37)</f>
        <v>76.400000000000006</v>
      </c>
      <c r="T38" s="187">
        <f>SUM(T29:T34,T37)</f>
        <v>9.7000000000000011</v>
      </c>
      <c r="U38" s="186"/>
      <c r="V38" s="188">
        <f>SUM(V29,V31,V33,V37)</f>
        <v>66.7</v>
      </c>
      <c r="W38" s="187">
        <f>SUM(W29:W33,W37)</f>
        <v>68.400000000000006</v>
      </c>
      <c r="X38" s="187">
        <f>SUM(X29:X34,X37)</f>
        <v>1.6999999999999993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292"/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2:25" ht="16.5" customHeight="1">
      <c r="B42" s="281"/>
      <c r="C42" s="500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 t="shared" ref="L42" si="36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2:25" ht="16.5" thickBot="1">
      <c r="B43" s="281"/>
      <c r="C43" s="475"/>
      <c r="D43" s="475"/>
      <c r="E43" s="477"/>
      <c r="F43" s="183">
        <v>145.6</v>
      </c>
      <c r="G43" s="479"/>
      <c r="H43" s="509"/>
      <c r="I43" s="481"/>
      <c r="J43" s="183">
        <v>143.6</v>
      </c>
      <c r="K43" s="479"/>
      <c r="L43" s="480"/>
      <c r="M43" s="481"/>
      <c r="N43" s="183">
        <v>143.6</v>
      </c>
      <c r="O43" s="479"/>
      <c r="P43" s="480"/>
      <c r="Q43" s="481"/>
      <c r="R43" s="183">
        <v>142.6</v>
      </c>
      <c r="S43" s="479"/>
      <c r="T43" s="480"/>
      <c r="U43" s="481"/>
      <c r="V43" s="183">
        <v>176.7</v>
      </c>
      <c r="W43" s="510"/>
      <c r="X43" s="511"/>
      <c r="Y43" s="512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292"/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2:25" ht="16">
      <c r="B47" s="281"/>
      <c r="C47" s="500"/>
      <c r="D47" s="483"/>
      <c r="E47" s="488" t="s">
        <v>91</v>
      </c>
      <c r="F47" s="178">
        <v>31.2</v>
      </c>
      <c r="G47" s="478">
        <v>36.700000000000003</v>
      </c>
      <c r="H47" s="457">
        <f t="shared" ref="H47" si="37">SUM(G47,-F47)</f>
        <v>5.5000000000000036</v>
      </c>
      <c r="I47" s="459" t="s">
        <v>149</v>
      </c>
      <c r="J47" s="178">
        <v>31.2</v>
      </c>
      <c r="K47" s="478">
        <v>36.700000000000003</v>
      </c>
      <c r="L47" s="457">
        <f t="shared" ref="L47" si="38">SUM(K47,-J47)</f>
        <v>5.5000000000000036</v>
      </c>
      <c r="M47" s="459" t="s">
        <v>149</v>
      </c>
      <c r="N47" s="178">
        <v>35.6</v>
      </c>
      <c r="O47" s="478">
        <v>43.4</v>
      </c>
      <c r="P47" s="457">
        <f>SUM(O47,-N47)</f>
        <v>7.7999999999999972</v>
      </c>
      <c r="Q47" s="459" t="s">
        <v>149</v>
      </c>
      <c r="R47" s="178">
        <v>31.2</v>
      </c>
      <c r="S47" s="478">
        <v>36.700000000000003</v>
      </c>
      <c r="T47" s="457">
        <f>SUM(S47,-R47)</f>
        <v>5.5000000000000036</v>
      </c>
      <c r="U47" s="459" t="s">
        <v>149</v>
      </c>
      <c r="V47" s="178">
        <v>31.2</v>
      </c>
      <c r="W47" s="478">
        <v>36.1</v>
      </c>
      <c r="X47" s="457">
        <f>SUM(W47,-V47)</f>
        <v>4.9000000000000021</v>
      </c>
      <c r="Y47" s="461" t="s">
        <v>149</v>
      </c>
    </row>
    <row r="48" spans="2:25" ht="16.5" thickBot="1">
      <c r="B48" s="281"/>
      <c r="C48" s="447"/>
      <c r="D48" s="487"/>
      <c r="E48" s="489"/>
      <c r="F48" s="177">
        <v>0.55000000000000004</v>
      </c>
      <c r="G48" s="479"/>
      <c r="H48" s="480"/>
      <c r="I48" s="481"/>
      <c r="J48" s="177">
        <v>0.55000000000000004</v>
      </c>
      <c r="K48" s="479"/>
      <c r="L48" s="480"/>
      <c r="M48" s="481"/>
      <c r="N48" s="177">
        <v>0.55000000000000004</v>
      </c>
      <c r="O48" s="479"/>
      <c r="P48" s="480"/>
      <c r="Q48" s="481"/>
      <c r="R48" s="177">
        <v>0.55000000000000004</v>
      </c>
      <c r="S48" s="479"/>
      <c r="T48" s="480"/>
      <c r="U48" s="481"/>
      <c r="V48" s="177">
        <v>0.55000000000000004</v>
      </c>
      <c r="W48" s="510"/>
      <c r="X48" s="511"/>
      <c r="Y48" s="512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292"/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 t="shared" ref="L52" si="39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25.4</v>
      </c>
      <c r="H53" s="223" t="s">
        <v>81</v>
      </c>
      <c r="I53" s="222" t="s">
        <v>213</v>
      </c>
      <c r="J53" s="225">
        <v>0</v>
      </c>
      <c r="K53" s="229">
        <v>24.1</v>
      </c>
      <c r="L53" s="223" t="s">
        <v>159</v>
      </c>
      <c r="M53" s="222" t="s">
        <v>213</v>
      </c>
      <c r="N53" s="225">
        <v>0</v>
      </c>
      <c r="O53" s="229">
        <v>25</v>
      </c>
      <c r="P53" s="223" t="s">
        <v>159</v>
      </c>
      <c r="Q53" s="222" t="s">
        <v>213</v>
      </c>
      <c r="R53" s="225">
        <v>0</v>
      </c>
      <c r="S53" s="229">
        <v>25.2</v>
      </c>
      <c r="T53" s="223" t="s">
        <v>159</v>
      </c>
      <c r="U53" s="222" t="s">
        <v>213</v>
      </c>
      <c r="V53" s="225">
        <v>0</v>
      </c>
      <c r="W53" s="229">
        <v>25.8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7">
    <mergeCell ref="C50:E50"/>
    <mergeCell ref="F50:I50"/>
    <mergeCell ref="J50:M50"/>
    <mergeCell ref="N50:Q50"/>
    <mergeCell ref="R50:U50"/>
    <mergeCell ref="C51:D53"/>
    <mergeCell ref="S47:S48"/>
    <mergeCell ref="T47:T48"/>
    <mergeCell ref="U47:U48"/>
    <mergeCell ref="W47:W48"/>
    <mergeCell ref="X47:X48"/>
    <mergeCell ref="Y47:Y48"/>
    <mergeCell ref="K47:K48"/>
    <mergeCell ref="L47:L48"/>
    <mergeCell ref="M47:M48"/>
    <mergeCell ref="O47:O48"/>
    <mergeCell ref="P47:P48"/>
    <mergeCell ref="Q47:Q48"/>
    <mergeCell ref="C45:E45"/>
    <mergeCell ref="F45:I45"/>
    <mergeCell ref="J45:M45"/>
    <mergeCell ref="N45:Q45"/>
    <mergeCell ref="R45:U45"/>
    <mergeCell ref="C46:D48"/>
    <mergeCell ref="E47:E48"/>
    <mergeCell ref="G47:G48"/>
    <mergeCell ref="H47:H48"/>
    <mergeCell ref="I47:I48"/>
    <mergeCell ref="W42:W43"/>
    <mergeCell ref="X42:X43"/>
    <mergeCell ref="Y42:Y43"/>
    <mergeCell ref="K42:K43"/>
    <mergeCell ref="L42:L43"/>
    <mergeCell ref="M42:M43"/>
    <mergeCell ref="O42:O43"/>
    <mergeCell ref="P42:P43"/>
    <mergeCell ref="Q42:Q43"/>
    <mergeCell ref="E31:E32"/>
    <mergeCell ref="G31:G32"/>
    <mergeCell ref="C40:E40"/>
    <mergeCell ref="F40:I40"/>
    <mergeCell ref="J40:M40"/>
    <mergeCell ref="N40:Q40"/>
    <mergeCell ref="R40:U40"/>
    <mergeCell ref="C41:D43"/>
    <mergeCell ref="E42:E43"/>
    <mergeCell ref="G42:G43"/>
    <mergeCell ref="H42:H43"/>
    <mergeCell ref="I42:I43"/>
    <mergeCell ref="S42:S43"/>
    <mergeCell ref="T42:T43"/>
    <mergeCell ref="U42:U43"/>
    <mergeCell ref="U29:U30"/>
    <mergeCell ref="W29:W30"/>
    <mergeCell ref="T33:T34"/>
    <mergeCell ref="U33:U34"/>
    <mergeCell ref="X33:X34"/>
    <mergeCell ref="Y33:Y34"/>
    <mergeCell ref="E34:E36"/>
    <mergeCell ref="D38:E38"/>
    <mergeCell ref="U31:U32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M31:M32"/>
    <mergeCell ref="O31:O32"/>
    <mergeCell ref="P31:P32"/>
    <mergeCell ref="Q31:Q32"/>
    <mergeCell ref="S31:S32"/>
    <mergeCell ref="T31:T32"/>
    <mergeCell ref="X29:X30"/>
    <mergeCell ref="I29:I30"/>
    <mergeCell ref="K29:K30"/>
    <mergeCell ref="L29:L30"/>
    <mergeCell ref="M29:M30"/>
    <mergeCell ref="O29:O30"/>
    <mergeCell ref="P29:P30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H31:H32"/>
    <mergeCell ref="I31:I32"/>
    <mergeCell ref="K31:K32"/>
    <mergeCell ref="L31:L32"/>
    <mergeCell ref="Q29:Q30"/>
    <mergeCell ref="S29:S30"/>
    <mergeCell ref="T29:T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028E-7006-4E59-9AA3-39889EE65411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45359</v>
      </c>
      <c r="G3" s="418"/>
      <c r="H3" s="418"/>
      <c r="I3" s="419"/>
      <c r="J3" s="417">
        <v>45360</v>
      </c>
      <c r="K3" s="418"/>
      <c r="L3" s="418"/>
      <c r="M3" s="419"/>
      <c r="N3" s="417">
        <v>45361</v>
      </c>
      <c r="O3" s="418"/>
      <c r="P3" s="418"/>
      <c r="Q3" s="419"/>
      <c r="R3" s="417">
        <v>45362</v>
      </c>
      <c r="S3" s="418"/>
      <c r="T3" s="418"/>
      <c r="U3" s="419"/>
      <c r="V3" s="417">
        <v>45363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8.4</v>
      </c>
      <c r="G7" s="165">
        <v>8.4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11</v>
      </c>
      <c r="S7" s="165">
        <v>11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56.900000000000006</v>
      </c>
      <c r="G8" s="216">
        <v>56.900000000000006</v>
      </c>
      <c r="H8" s="215">
        <v>0</v>
      </c>
      <c r="I8" s="214"/>
      <c r="J8" s="217">
        <v>54.800000000000004</v>
      </c>
      <c r="K8" s="216">
        <v>54.800000000000004</v>
      </c>
      <c r="L8" s="215">
        <v>0</v>
      </c>
      <c r="M8" s="214"/>
      <c r="N8" s="217">
        <v>54.1</v>
      </c>
      <c r="O8" s="216">
        <v>54.1</v>
      </c>
      <c r="P8" s="215">
        <v>0</v>
      </c>
      <c r="Q8" s="214"/>
      <c r="R8" s="217">
        <v>58.400000000000006</v>
      </c>
      <c r="S8" s="216">
        <v>58.400000000000006</v>
      </c>
      <c r="T8" s="215">
        <v>0</v>
      </c>
      <c r="U8" s="214"/>
      <c r="V8" s="217">
        <v>55.900000000000006</v>
      </c>
      <c r="W8" s="216">
        <v>55.900000000000006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v>106.7</v>
      </c>
      <c r="G9" s="187">
        <v>106.70000000000002</v>
      </c>
      <c r="H9" s="187">
        <v>0</v>
      </c>
      <c r="I9" s="213" t="s">
        <v>81</v>
      </c>
      <c r="J9" s="188">
        <v>96.2</v>
      </c>
      <c r="K9" s="187">
        <v>96.200000000000017</v>
      </c>
      <c r="L9" s="187">
        <v>0</v>
      </c>
      <c r="M9" s="213" t="s">
        <v>81</v>
      </c>
      <c r="N9" s="188">
        <v>95.5</v>
      </c>
      <c r="O9" s="187">
        <v>95.5</v>
      </c>
      <c r="P9" s="187">
        <v>0</v>
      </c>
      <c r="Q9" s="213" t="s">
        <v>81</v>
      </c>
      <c r="R9" s="188">
        <v>110.8</v>
      </c>
      <c r="S9" s="187">
        <v>110.80000000000001</v>
      </c>
      <c r="T9" s="187">
        <v>0</v>
      </c>
      <c r="U9" s="213" t="s">
        <v>81</v>
      </c>
      <c r="V9" s="188">
        <v>97.3</v>
      </c>
      <c r="W9" s="187">
        <v>97.300000000000011</v>
      </c>
      <c r="X9" s="187"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45359</v>
      </c>
      <c r="G11" s="433"/>
      <c r="H11" s="433"/>
      <c r="I11" s="434"/>
      <c r="J11" s="432">
        <v>45360</v>
      </c>
      <c r="K11" s="433"/>
      <c r="L11" s="433"/>
      <c r="M11" s="434"/>
      <c r="N11" s="432">
        <v>45361</v>
      </c>
      <c r="O11" s="433"/>
      <c r="P11" s="433"/>
      <c r="Q11" s="434"/>
      <c r="R11" s="432">
        <v>45362</v>
      </c>
      <c r="S11" s="433"/>
      <c r="T11" s="433"/>
      <c r="U11" s="434"/>
      <c r="V11" s="432">
        <v>45363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0</v>
      </c>
      <c r="X15" s="164">
        <v>32.5</v>
      </c>
      <c r="Y15" s="286" t="s">
        <v>149</v>
      </c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149</v>
      </c>
      <c r="R17" s="166">
        <v>-34</v>
      </c>
      <c r="S17" s="165">
        <v>0</v>
      </c>
      <c r="T17" s="164">
        <v>34</v>
      </c>
      <c r="U17" s="212" t="s">
        <v>149</v>
      </c>
      <c r="V17" s="166">
        <v>-34</v>
      </c>
      <c r="W17" s="165">
        <v>0</v>
      </c>
      <c r="X17" s="164">
        <v>34</v>
      </c>
      <c r="Y17" s="286" t="s">
        <v>149</v>
      </c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212" t="s">
        <v>149</v>
      </c>
      <c r="J18" s="166">
        <v>-34</v>
      </c>
      <c r="K18" s="165">
        <v>0</v>
      </c>
      <c r="L18" s="164">
        <v>34</v>
      </c>
      <c r="M18" s="212" t="s">
        <v>149</v>
      </c>
      <c r="N18" s="166">
        <v>-34</v>
      </c>
      <c r="O18" s="165">
        <v>0</v>
      </c>
      <c r="P18" s="164">
        <v>34</v>
      </c>
      <c r="Q18" s="212" t="s">
        <v>149</v>
      </c>
      <c r="R18" s="166">
        <v>-34</v>
      </c>
      <c r="S18" s="165">
        <v>0</v>
      </c>
      <c r="T18" s="164">
        <v>34</v>
      </c>
      <c r="U18" s="212" t="s">
        <v>149</v>
      </c>
      <c r="V18" s="166">
        <v>-34</v>
      </c>
      <c r="W18" s="165">
        <v>0</v>
      </c>
      <c r="X18" s="164">
        <v>34</v>
      </c>
      <c r="Y18" s="286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-152.69999999999999</v>
      </c>
      <c r="X21" s="187">
        <v>100.5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45359</v>
      </c>
      <c r="G23" s="433"/>
      <c r="H23" s="433"/>
      <c r="I23" s="434"/>
      <c r="J23" s="432">
        <v>45360</v>
      </c>
      <c r="K23" s="433"/>
      <c r="L23" s="433"/>
      <c r="M23" s="434"/>
      <c r="N23" s="432">
        <v>45361</v>
      </c>
      <c r="O23" s="433"/>
      <c r="P23" s="433"/>
      <c r="Q23" s="434"/>
      <c r="R23" s="432">
        <v>45362</v>
      </c>
      <c r="S23" s="433"/>
      <c r="T23" s="433"/>
      <c r="U23" s="434"/>
      <c r="V23" s="432">
        <v>45363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0</v>
      </c>
      <c r="H25" s="207">
        <v>5</v>
      </c>
      <c r="I25" s="206" t="s">
        <v>150</v>
      </c>
      <c r="J25" s="209">
        <v>-5</v>
      </c>
      <c r="K25" s="208">
        <v>-4.7</v>
      </c>
      <c r="L25" s="207">
        <v>0.29999999999999982</v>
      </c>
      <c r="M25" s="206" t="s">
        <v>150</v>
      </c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69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45359</v>
      </c>
      <c r="G27" s="433"/>
      <c r="H27" s="433"/>
      <c r="I27" s="434"/>
      <c r="J27" s="432">
        <v>45360</v>
      </c>
      <c r="K27" s="433"/>
      <c r="L27" s="433"/>
      <c r="M27" s="434"/>
      <c r="N27" s="432">
        <v>45361</v>
      </c>
      <c r="O27" s="433"/>
      <c r="P27" s="433"/>
      <c r="Q27" s="434"/>
      <c r="R27" s="432">
        <v>45362</v>
      </c>
      <c r="S27" s="433"/>
      <c r="T27" s="433"/>
      <c r="U27" s="434"/>
      <c r="V27" s="432">
        <v>45363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21.2</v>
      </c>
      <c r="H29" s="457">
        <v>-0.69999999999999929</v>
      </c>
      <c r="I29" s="580" t="s">
        <v>149</v>
      </c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6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27.2</v>
      </c>
      <c r="G31" s="455">
        <v>94.5</v>
      </c>
      <c r="H31" s="457">
        <v>67.3</v>
      </c>
      <c r="I31" s="459" t="s">
        <v>145</v>
      </c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27.2</v>
      </c>
      <c r="P31" s="457">
        <v>0</v>
      </c>
      <c r="Q31" s="459"/>
      <c r="R31" s="200">
        <v>27.2</v>
      </c>
      <c r="S31" s="455">
        <v>59.4</v>
      </c>
      <c r="T31" s="457">
        <v>32.200000000000003</v>
      </c>
      <c r="U31" s="459" t="s">
        <v>151</v>
      </c>
      <c r="V31" s="200">
        <v>27.2</v>
      </c>
      <c r="W31" s="455">
        <v>48.6</v>
      </c>
      <c r="X31" s="457">
        <v>21.400000000000002</v>
      </c>
      <c r="Y31" s="461" t="s">
        <v>151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51.5</v>
      </c>
      <c r="H33" s="457">
        <v>2.2999999999999972</v>
      </c>
      <c r="I33" s="459" t="s">
        <v>148</v>
      </c>
      <c r="J33" s="200">
        <v>49.2</v>
      </c>
      <c r="K33" s="199">
        <v>43.1</v>
      </c>
      <c r="L33" s="457">
        <v>-6.1000000000000014</v>
      </c>
      <c r="M33" s="459" t="s">
        <v>146</v>
      </c>
      <c r="N33" s="200">
        <v>49.2</v>
      </c>
      <c r="O33" s="199">
        <v>37.1</v>
      </c>
      <c r="P33" s="457">
        <v>-12.100000000000001</v>
      </c>
      <c r="Q33" s="459" t="s">
        <v>146</v>
      </c>
      <c r="R33" s="200">
        <v>49.2</v>
      </c>
      <c r="S33" s="199">
        <v>47.9</v>
      </c>
      <c r="T33" s="457">
        <v>-1.3</v>
      </c>
      <c r="U33" s="459" t="s">
        <v>146</v>
      </c>
      <c r="V33" s="200">
        <v>49.2</v>
      </c>
      <c r="W33" s="199">
        <v>59</v>
      </c>
      <c r="X33" s="457">
        <v>9.7999999999999972</v>
      </c>
      <c r="Y33" s="461" t="s">
        <v>148</v>
      </c>
    </row>
    <row r="34" spans="3:25" ht="16">
      <c r="C34" s="451"/>
      <c r="D34" s="467"/>
      <c r="E34" s="463" t="s">
        <v>104</v>
      </c>
      <c r="F34" s="198">
        <v>0.26</v>
      </c>
      <c r="G34" s="197">
        <v>0.27</v>
      </c>
      <c r="H34" s="458"/>
      <c r="I34" s="460"/>
      <c r="J34" s="198">
        <v>0.26</v>
      </c>
      <c r="K34" s="197">
        <v>0.23</v>
      </c>
      <c r="L34" s="458"/>
      <c r="M34" s="460"/>
      <c r="N34" s="198">
        <v>0.26</v>
      </c>
      <c r="O34" s="197">
        <v>0.2</v>
      </c>
      <c r="P34" s="458"/>
      <c r="Q34" s="460"/>
      <c r="R34" s="198">
        <v>0.26</v>
      </c>
      <c r="S34" s="197">
        <v>0.25</v>
      </c>
      <c r="T34" s="458"/>
      <c r="U34" s="460"/>
      <c r="V34" s="198">
        <v>0.26</v>
      </c>
      <c r="W34" s="197">
        <v>0.31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0.3</v>
      </c>
      <c r="H37" s="164">
        <v>-12.7</v>
      </c>
      <c r="I37" s="189" t="s">
        <v>147</v>
      </c>
      <c r="J37" s="166">
        <v>13</v>
      </c>
      <c r="K37" s="165">
        <v>0.19999999999999857</v>
      </c>
      <c r="L37" s="164">
        <v>-12.8</v>
      </c>
      <c r="M37" s="189" t="s">
        <v>147</v>
      </c>
      <c r="N37" s="166">
        <v>13</v>
      </c>
      <c r="O37" s="165">
        <v>0.19999999999999857</v>
      </c>
      <c r="P37" s="164">
        <v>-12.8</v>
      </c>
      <c r="Q37" s="189" t="s">
        <v>147</v>
      </c>
      <c r="R37" s="166">
        <v>13</v>
      </c>
      <c r="S37" s="165">
        <v>0.3</v>
      </c>
      <c r="T37" s="164">
        <v>-12.7</v>
      </c>
      <c r="U37" s="189" t="s">
        <v>147</v>
      </c>
      <c r="V37" s="166">
        <v>13</v>
      </c>
      <c r="W37" s="165">
        <v>0.6</v>
      </c>
      <c r="X37" s="164">
        <v>-12.4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111.3</v>
      </c>
      <c r="G38" s="187">
        <v>167.5</v>
      </c>
      <c r="H38" s="187">
        <v>56.199999999999989</v>
      </c>
      <c r="I38" s="186"/>
      <c r="J38" s="188">
        <v>111.3</v>
      </c>
      <c r="K38" s="187">
        <v>92.399999999999991</v>
      </c>
      <c r="L38" s="187">
        <v>-18.900000000000002</v>
      </c>
      <c r="M38" s="186"/>
      <c r="N38" s="188">
        <v>111.3</v>
      </c>
      <c r="O38" s="187">
        <v>86.399999999999991</v>
      </c>
      <c r="P38" s="187">
        <v>-24.900000000000002</v>
      </c>
      <c r="Q38" s="186"/>
      <c r="R38" s="188">
        <v>111.3</v>
      </c>
      <c r="S38" s="187">
        <v>129.5</v>
      </c>
      <c r="T38" s="187">
        <v>18.2</v>
      </c>
      <c r="U38" s="186"/>
      <c r="V38" s="188">
        <v>111.3</v>
      </c>
      <c r="W38" s="187">
        <v>130.1</v>
      </c>
      <c r="X38" s="187">
        <v>18.799999999999997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45359</v>
      </c>
      <c r="G40" s="470"/>
      <c r="H40" s="470"/>
      <c r="I40" s="471"/>
      <c r="J40" s="469">
        <v>45360</v>
      </c>
      <c r="K40" s="470"/>
      <c r="L40" s="470"/>
      <c r="M40" s="471"/>
      <c r="N40" s="469">
        <v>45361</v>
      </c>
      <c r="O40" s="470"/>
      <c r="P40" s="470"/>
      <c r="Q40" s="471"/>
      <c r="R40" s="469">
        <v>45362</v>
      </c>
      <c r="S40" s="470"/>
      <c r="T40" s="470"/>
      <c r="U40" s="471"/>
      <c r="V40" s="469">
        <v>45363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14.1</v>
      </c>
      <c r="S42" s="478">
        <v>14.1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254</v>
      </c>
      <c r="G43" s="479"/>
      <c r="H43" s="480"/>
      <c r="I43" s="481"/>
      <c r="J43" s="183">
        <v>206</v>
      </c>
      <c r="K43" s="479"/>
      <c r="L43" s="480"/>
      <c r="M43" s="481"/>
      <c r="N43" s="183">
        <v>206</v>
      </c>
      <c r="O43" s="479"/>
      <c r="P43" s="480"/>
      <c r="Q43" s="481"/>
      <c r="R43" s="183">
        <v>262</v>
      </c>
      <c r="S43" s="479"/>
      <c r="T43" s="480"/>
      <c r="U43" s="481"/>
      <c r="V43" s="183">
        <v>254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45359</v>
      </c>
      <c r="G45" s="470"/>
      <c r="H45" s="470"/>
      <c r="I45" s="471"/>
      <c r="J45" s="469">
        <v>45360</v>
      </c>
      <c r="K45" s="470"/>
      <c r="L45" s="470"/>
      <c r="M45" s="471"/>
      <c r="N45" s="469">
        <v>45361</v>
      </c>
      <c r="O45" s="470"/>
      <c r="P45" s="470"/>
      <c r="Q45" s="471"/>
      <c r="R45" s="469">
        <v>45362</v>
      </c>
      <c r="S45" s="470"/>
      <c r="T45" s="470"/>
      <c r="U45" s="471"/>
      <c r="V45" s="469">
        <v>45363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30.8</v>
      </c>
      <c r="G47" s="478">
        <v>35.799999999999997</v>
      </c>
      <c r="H47" s="457">
        <v>4.9999999999999964</v>
      </c>
      <c r="I47" s="459" t="s">
        <v>150</v>
      </c>
      <c r="J47" s="178">
        <v>30.8</v>
      </c>
      <c r="K47" s="478">
        <v>35.799999999999997</v>
      </c>
      <c r="L47" s="457">
        <v>4.9999999999999964</v>
      </c>
      <c r="M47" s="459" t="s">
        <v>150</v>
      </c>
      <c r="N47" s="178">
        <v>30.8</v>
      </c>
      <c r="O47" s="478">
        <v>35.799999999999997</v>
      </c>
      <c r="P47" s="457">
        <v>4.9999999999999964</v>
      </c>
      <c r="Q47" s="459" t="s">
        <v>150</v>
      </c>
      <c r="R47" s="178">
        <v>30.8</v>
      </c>
      <c r="S47" s="478">
        <v>29</v>
      </c>
      <c r="T47" s="457">
        <v>-1.8000000000000007</v>
      </c>
      <c r="U47" s="459" t="s">
        <v>145</v>
      </c>
      <c r="V47" s="178">
        <v>27.4</v>
      </c>
      <c r="W47" s="478">
        <v>29</v>
      </c>
      <c r="X47" s="457">
        <v>1.6000000000000014</v>
      </c>
      <c r="Y47" s="461" t="s">
        <v>149</v>
      </c>
    </row>
    <row r="48" spans="3:25" ht="16.5" thickBot="1">
      <c r="C48" s="486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1"/>
      <c r="R48" s="177">
        <v>0.64</v>
      </c>
      <c r="S48" s="479"/>
      <c r="T48" s="480"/>
      <c r="U48" s="481"/>
      <c r="V48" s="177">
        <v>0.68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45359</v>
      </c>
      <c r="G50" s="470"/>
      <c r="H50" s="470"/>
      <c r="I50" s="471"/>
      <c r="J50" s="469">
        <v>45360</v>
      </c>
      <c r="K50" s="470"/>
      <c r="L50" s="470"/>
      <c r="M50" s="471"/>
      <c r="N50" s="469">
        <v>45361</v>
      </c>
      <c r="O50" s="470"/>
      <c r="P50" s="470"/>
      <c r="Q50" s="471"/>
      <c r="R50" s="469">
        <v>45362</v>
      </c>
      <c r="S50" s="470"/>
      <c r="T50" s="470"/>
      <c r="U50" s="471"/>
      <c r="V50" s="469">
        <v>45363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25.4</v>
      </c>
      <c r="H53" s="223" t="s">
        <v>81</v>
      </c>
      <c r="I53" s="222" t="s">
        <v>80</v>
      </c>
      <c r="J53" s="225">
        <v>0</v>
      </c>
      <c r="K53" s="224">
        <v>25.8</v>
      </c>
      <c r="L53" s="223" t="s">
        <v>81</v>
      </c>
      <c r="M53" s="222" t="s">
        <v>80</v>
      </c>
      <c r="N53" s="225">
        <v>0</v>
      </c>
      <c r="O53" s="224">
        <v>25.4</v>
      </c>
      <c r="P53" s="223" t="s">
        <v>81</v>
      </c>
      <c r="Q53" s="222" t="s">
        <v>80</v>
      </c>
      <c r="R53" s="225">
        <v>0</v>
      </c>
      <c r="S53" s="224">
        <v>25.8</v>
      </c>
      <c r="T53" s="223" t="s">
        <v>81</v>
      </c>
      <c r="U53" s="222" t="s">
        <v>80</v>
      </c>
      <c r="V53" s="225">
        <v>0</v>
      </c>
      <c r="W53" s="224">
        <v>25.2</v>
      </c>
      <c r="X53" s="223" t="s">
        <v>81</v>
      </c>
      <c r="Y53" s="274" t="s">
        <v>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5E7E-B866-4BF1-9EC8-3716FE273CA0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45364</v>
      </c>
      <c r="G3" s="418"/>
      <c r="H3" s="418"/>
      <c r="I3" s="419"/>
      <c r="J3" s="417">
        <v>45365</v>
      </c>
      <c r="K3" s="418"/>
      <c r="L3" s="418"/>
      <c r="M3" s="419"/>
      <c r="N3" s="417">
        <v>45366</v>
      </c>
      <c r="O3" s="418"/>
      <c r="P3" s="418"/>
      <c r="Q3" s="419"/>
      <c r="R3" s="417">
        <v>45367</v>
      </c>
      <c r="S3" s="418"/>
      <c r="T3" s="418"/>
      <c r="U3" s="419"/>
      <c r="V3" s="417">
        <v>45369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55.300000000000004</v>
      </c>
      <c r="G8" s="216">
        <v>55.300000000000004</v>
      </c>
      <c r="H8" s="215">
        <v>0</v>
      </c>
      <c r="I8" s="214"/>
      <c r="J8" s="217">
        <v>56.1</v>
      </c>
      <c r="K8" s="216">
        <v>56.1</v>
      </c>
      <c r="L8" s="215">
        <v>0</v>
      </c>
      <c r="M8" s="214"/>
      <c r="N8" s="217">
        <v>55.300000000000004</v>
      </c>
      <c r="O8" s="216">
        <v>55.300000000000004</v>
      </c>
      <c r="P8" s="215">
        <v>0</v>
      </c>
      <c r="Q8" s="214"/>
      <c r="R8" s="217">
        <v>53.300000000000004</v>
      </c>
      <c r="S8" s="216">
        <v>53.300000000000004</v>
      </c>
      <c r="T8" s="215">
        <v>0</v>
      </c>
      <c r="U8" s="214"/>
      <c r="V8" s="217">
        <v>55.1</v>
      </c>
      <c r="W8" s="216">
        <v>55.1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v>96.7</v>
      </c>
      <c r="G9" s="187">
        <v>96.700000000000017</v>
      </c>
      <c r="H9" s="187">
        <v>0</v>
      </c>
      <c r="I9" s="213" t="s">
        <v>81</v>
      </c>
      <c r="J9" s="188">
        <v>97.5</v>
      </c>
      <c r="K9" s="187">
        <v>97.5</v>
      </c>
      <c r="L9" s="187">
        <v>0</v>
      </c>
      <c r="M9" s="213" t="s">
        <v>81</v>
      </c>
      <c r="N9" s="188">
        <v>96.7</v>
      </c>
      <c r="O9" s="187">
        <v>96.700000000000017</v>
      </c>
      <c r="P9" s="187">
        <v>0</v>
      </c>
      <c r="Q9" s="213" t="s">
        <v>81</v>
      </c>
      <c r="R9" s="188">
        <v>97.7</v>
      </c>
      <c r="S9" s="187">
        <v>94.700000000000017</v>
      </c>
      <c r="T9" s="187">
        <v>0</v>
      </c>
      <c r="U9" s="213" t="s">
        <v>81</v>
      </c>
      <c r="V9" s="188">
        <v>96.5</v>
      </c>
      <c r="W9" s="187">
        <v>96.5</v>
      </c>
      <c r="X9" s="187"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45364</v>
      </c>
      <c r="G11" s="433"/>
      <c r="H11" s="433"/>
      <c r="I11" s="434"/>
      <c r="J11" s="432">
        <v>45365</v>
      </c>
      <c r="K11" s="433"/>
      <c r="L11" s="433"/>
      <c r="M11" s="434"/>
      <c r="N11" s="432">
        <v>45366</v>
      </c>
      <c r="O11" s="433"/>
      <c r="P11" s="433"/>
      <c r="Q11" s="434"/>
      <c r="R11" s="432">
        <v>45367</v>
      </c>
      <c r="S11" s="433"/>
      <c r="T11" s="433"/>
      <c r="U11" s="434"/>
      <c r="V11" s="432">
        <v>45369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0</v>
      </c>
      <c r="H15" s="164">
        <v>32.5</v>
      </c>
      <c r="I15" s="212" t="s">
        <v>149</v>
      </c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0</v>
      </c>
      <c r="L16" s="164">
        <v>32.5</v>
      </c>
      <c r="M16" s="212" t="s">
        <v>149</v>
      </c>
      <c r="N16" s="166">
        <v>-32.5</v>
      </c>
      <c r="O16" s="165">
        <v>0</v>
      </c>
      <c r="P16" s="164">
        <v>32.5</v>
      </c>
      <c r="Q16" s="212" t="s">
        <v>149</v>
      </c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149</v>
      </c>
      <c r="J17" s="166">
        <v>-34</v>
      </c>
      <c r="K17" s="165">
        <v>0</v>
      </c>
      <c r="L17" s="164">
        <v>34</v>
      </c>
      <c r="M17" s="212" t="s">
        <v>149</v>
      </c>
      <c r="N17" s="166">
        <v>-34</v>
      </c>
      <c r="O17" s="165">
        <v>0</v>
      </c>
      <c r="P17" s="164">
        <v>34</v>
      </c>
      <c r="Q17" s="212" t="s">
        <v>149</v>
      </c>
      <c r="R17" s="166">
        <v>-34</v>
      </c>
      <c r="S17" s="165">
        <v>0</v>
      </c>
      <c r="T17" s="164">
        <v>34</v>
      </c>
      <c r="U17" s="212" t="s">
        <v>149</v>
      </c>
      <c r="V17" s="166">
        <v>-34</v>
      </c>
      <c r="W17" s="165">
        <v>0</v>
      </c>
      <c r="X17" s="164">
        <v>34</v>
      </c>
      <c r="Y17" s="286" t="s">
        <v>149</v>
      </c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212" t="s">
        <v>149</v>
      </c>
      <c r="J18" s="166">
        <v>-34</v>
      </c>
      <c r="K18" s="165">
        <v>0</v>
      </c>
      <c r="L18" s="164">
        <v>34</v>
      </c>
      <c r="M18" s="212" t="s">
        <v>149</v>
      </c>
      <c r="N18" s="166">
        <v>-34</v>
      </c>
      <c r="O18" s="165">
        <v>0</v>
      </c>
      <c r="P18" s="164">
        <v>34</v>
      </c>
      <c r="Q18" s="212" t="s">
        <v>149</v>
      </c>
      <c r="R18" s="166">
        <v>-34</v>
      </c>
      <c r="S18" s="165">
        <v>0</v>
      </c>
      <c r="T18" s="164">
        <v>34</v>
      </c>
      <c r="U18" s="212" t="s">
        <v>149</v>
      </c>
      <c r="V18" s="166">
        <v>-34</v>
      </c>
      <c r="W18" s="165">
        <v>0</v>
      </c>
      <c r="X18" s="164">
        <v>34</v>
      </c>
      <c r="Y18" s="286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-152.69999999999999</v>
      </c>
      <c r="H21" s="187">
        <v>100.5</v>
      </c>
      <c r="I21" s="186" t="s">
        <v>81</v>
      </c>
      <c r="J21" s="188">
        <v>-253.2</v>
      </c>
      <c r="K21" s="187">
        <v>-152.69999999999999</v>
      </c>
      <c r="L21" s="187">
        <v>100.5</v>
      </c>
      <c r="M21" s="186" t="s">
        <v>81</v>
      </c>
      <c r="N21" s="188">
        <v>-253.2</v>
      </c>
      <c r="O21" s="187">
        <v>-152.69999999999999</v>
      </c>
      <c r="P21" s="187">
        <v>100.5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45364</v>
      </c>
      <c r="G23" s="433"/>
      <c r="H23" s="433"/>
      <c r="I23" s="434"/>
      <c r="J23" s="432">
        <v>45365</v>
      </c>
      <c r="K23" s="433"/>
      <c r="L23" s="433"/>
      <c r="M23" s="434"/>
      <c r="N23" s="432">
        <v>45366</v>
      </c>
      <c r="O23" s="433"/>
      <c r="P23" s="433"/>
      <c r="Q23" s="434"/>
      <c r="R23" s="432">
        <v>45367</v>
      </c>
      <c r="S23" s="433"/>
      <c r="T23" s="433"/>
      <c r="U23" s="434"/>
      <c r="V23" s="432">
        <v>45369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69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45364</v>
      </c>
      <c r="G27" s="433"/>
      <c r="H27" s="433"/>
      <c r="I27" s="434"/>
      <c r="J27" s="432">
        <v>45365</v>
      </c>
      <c r="K27" s="433"/>
      <c r="L27" s="433"/>
      <c r="M27" s="434"/>
      <c r="N27" s="432">
        <v>45366</v>
      </c>
      <c r="O27" s="433"/>
      <c r="P27" s="433"/>
      <c r="Q27" s="434"/>
      <c r="R27" s="432">
        <v>45367</v>
      </c>
      <c r="S27" s="433"/>
      <c r="T27" s="433"/>
      <c r="U27" s="434"/>
      <c r="V27" s="432">
        <v>45369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6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27.2</v>
      </c>
      <c r="G31" s="455">
        <v>36.9</v>
      </c>
      <c r="H31" s="457">
        <v>9.6999999999999993</v>
      </c>
      <c r="I31" s="459" t="s">
        <v>151</v>
      </c>
      <c r="J31" s="200">
        <v>27.2</v>
      </c>
      <c r="K31" s="455">
        <v>36.9</v>
      </c>
      <c r="L31" s="457">
        <v>9.6999999999999993</v>
      </c>
      <c r="M31" s="459" t="s">
        <v>151</v>
      </c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36.9</v>
      </c>
      <c r="X31" s="457">
        <v>9.6999999999999993</v>
      </c>
      <c r="Y31" s="461" t="s">
        <v>151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43.2</v>
      </c>
      <c r="H33" s="457">
        <v>-6</v>
      </c>
      <c r="I33" s="459" t="s">
        <v>146</v>
      </c>
      <c r="J33" s="200">
        <v>49.2</v>
      </c>
      <c r="K33" s="199">
        <v>44.4</v>
      </c>
      <c r="L33" s="457">
        <v>-4.8000000000000043</v>
      </c>
      <c r="M33" s="459" t="s">
        <v>146</v>
      </c>
      <c r="N33" s="200">
        <v>49.2</v>
      </c>
      <c r="O33" s="199">
        <v>48.3</v>
      </c>
      <c r="P33" s="457">
        <v>-0.90000000000000568</v>
      </c>
      <c r="Q33" s="459" t="s">
        <v>146</v>
      </c>
      <c r="R33" s="200">
        <v>49.2</v>
      </c>
      <c r="S33" s="199">
        <v>29.2</v>
      </c>
      <c r="T33" s="457">
        <v>-20.000000000000004</v>
      </c>
      <c r="U33" s="459" t="s">
        <v>146</v>
      </c>
      <c r="V33" s="200">
        <v>49.2</v>
      </c>
      <c r="W33" s="199">
        <v>33.200000000000003</v>
      </c>
      <c r="X33" s="457">
        <v>-16</v>
      </c>
      <c r="Y33" s="461" t="s">
        <v>146</v>
      </c>
    </row>
    <row r="34" spans="3:25" ht="16">
      <c r="C34" s="451"/>
      <c r="D34" s="467"/>
      <c r="E34" s="463" t="s">
        <v>104</v>
      </c>
      <c r="F34" s="198">
        <v>0.26</v>
      </c>
      <c r="G34" s="197">
        <v>0.23</v>
      </c>
      <c r="H34" s="458"/>
      <c r="I34" s="460"/>
      <c r="J34" s="198">
        <v>0.26</v>
      </c>
      <c r="K34" s="197">
        <v>0.23</v>
      </c>
      <c r="L34" s="458"/>
      <c r="M34" s="460"/>
      <c r="N34" s="198">
        <v>0.26</v>
      </c>
      <c r="O34" s="197">
        <v>0.26</v>
      </c>
      <c r="P34" s="458"/>
      <c r="Q34" s="460"/>
      <c r="R34" s="198">
        <v>0.26</v>
      </c>
      <c r="S34" s="197">
        <v>0.15</v>
      </c>
      <c r="T34" s="458"/>
      <c r="U34" s="460"/>
      <c r="V34" s="198">
        <v>0.26</v>
      </c>
      <c r="W34" s="197">
        <v>0.18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147</v>
      </c>
      <c r="J37" s="166">
        <v>13</v>
      </c>
      <c r="K37" s="165">
        <v>0.40000000000000141</v>
      </c>
      <c r="L37" s="164">
        <v>-12.599999999999998</v>
      </c>
      <c r="M37" s="189" t="s">
        <v>147</v>
      </c>
      <c r="N37" s="166">
        <v>13</v>
      </c>
      <c r="O37" s="165">
        <v>0.30000000000000571</v>
      </c>
      <c r="P37" s="164">
        <v>-12.699999999999994</v>
      </c>
      <c r="Q37" s="189" t="s">
        <v>147</v>
      </c>
      <c r="R37" s="166">
        <v>13</v>
      </c>
      <c r="S37" s="165">
        <v>0.2</v>
      </c>
      <c r="T37" s="164">
        <v>-12.8</v>
      </c>
      <c r="U37" s="189" t="s">
        <v>147</v>
      </c>
      <c r="V37" s="166">
        <v>13</v>
      </c>
      <c r="W37" s="165">
        <v>9.9999999999991485E-2</v>
      </c>
      <c r="X37" s="164">
        <v>-12.900000000000009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111.3</v>
      </c>
      <c r="G38" s="187">
        <v>102.4</v>
      </c>
      <c r="H38" s="187">
        <v>-8.9</v>
      </c>
      <c r="I38" s="186"/>
      <c r="J38" s="188">
        <v>111.3</v>
      </c>
      <c r="K38" s="187">
        <v>103.6</v>
      </c>
      <c r="L38" s="187">
        <v>-7.7000000000000028</v>
      </c>
      <c r="M38" s="186"/>
      <c r="N38" s="188">
        <v>111.3</v>
      </c>
      <c r="O38" s="187">
        <v>107.4</v>
      </c>
      <c r="P38" s="187">
        <v>-3.9000000000000004</v>
      </c>
      <c r="Q38" s="186"/>
      <c r="R38" s="188">
        <v>111.3</v>
      </c>
      <c r="S38" s="187">
        <v>78.5</v>
      </c>
      <c r="T38" s="187">
        <v>-32.800000000000004</v>
      </c>
      <c r="U38" s="186"/>
      <c r="V38" s="188">
        <v>111.3</v>
      </c>
      <c r="W38" s="187">
        <v>92.1</v>
      </c>
      <c r="X38" s="187">
        <v>-19.20000000000001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45364</v>
      </c>
      <c r="G40" s="470"/>
      <c r="H40" s="470"/>
      <c r="I40" s="471"/>
      <c r="J40" s="469">
        <v>45365</v>
      </c>
      <c r="K40" s="470"/>
      <c r="L40" s="470"/>
      <c r="M40" s="471"/>
      <c r="N40" s="469">
        <v>45366</v>
      </c>
      <c r="O40" s="470"/>
      <c r="P40" s="470"/>
      <c r="Q40" s="471"/>
      <c r="R40" s="469">
        <v>45367</v>
      </c>
      <c r="S40" s="470"/>
      <c r="T40" s="470"/>
      <c r="U40" s="471"/>
      <c r="V40" s="469">
        <v>45369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242.4</v>
      </c>
      <c r="G43" s="479"/>
      <c r="H43" s="480"/>
      <c r="I43" s="481"/>
      <c r="J43" s="183">
        <v>242.4</v>
      </c>
      <c r="K43" s="479"/>
      <c r="L43" s="480"/>
      <c r="M43" s="481"/>
      <c r="N43" s="183">
        <v>242.4</v>
      </c>
      <c r="O43" s="479"/>
      <c r="P43" s="480"/>
      <c r="Q43" s="481"/>
      <c r="R43" s="183">
        <v>200</v>
      </c>
      <c r="S43" s="479"/>
      <c r="T43" s="480"/>
      <c r="U43" s="481"/>
      <c r="V43" s="183">
        <v>234.5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45364</v>
      </c>
      <c r="G45" s="470"/>
      <c r="H45" s="470"/>
      <c r="I45" s="471"/>
      <c r="J45" s="469">
        <v>45365</v>
      </c>
      <c r="K45" s="470"/>
      <c r="L45" s="470"/>
      <c r="M45" s="471"/>
      <c r="N45" s="469">
        <v>45366</v>
      </c>
      <c r="O45" s="470"/>
      <c r="P45" s="470"/>
      <c r="Q45" s="471"/>
      <c r="R45" s="469">
        <v>45367</v>
      </c>
      <c r="S45" s="470"/>
      <c r="T45" s="470"/>
      <c r="U45" s="471"/>
      <c r="V45" s="469">
        <v>45369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27.4</v>
      </c>
      <c r="G47" s="478">
        <v>29</v>
      </c>
      <c r="H47" s="457">
        <v>1.6000000000000014</v>
      </c>
      <c r="I47" s="580" t="s">
        <v>149</v>
      </c>
      <c r="J47" s="178">
        <v>27.4</v>
      </c>
      <c r="K47" s="478">
        <v>29</v>
      </c>
      <c r="L47" s="457">
        <v>1.6000000000000014</v>
      </c>
      <c r="M47" s="580" t="s">
        <v>149</v>
      </c>
      <c r="N47" s="178">
        <v>27.4</v>
      </c>
      <c r="O47" s="478">
        <v>29</v>
      </c>
      <c r="P47" s="457">
        <v>1.6000000000000014</v>
      </c>
      <c r="Q47" s="580" t="s">
        <v>149</v>
      </c>
      <c r="R47" s="178">
        <v>27.4</v>
      </c>
      <c r="S47" s="478">
        <v>29</v>
      </c>
      <c r="T47" s="457">
        <v>1.6000000000000014</v>
      </c>
      <c r="U47" s="580" t="s">
        <v>149</v>
      </c>
      <c r="V47" s="178">
        <v>27.4</v>
      </c>
      <c r="W47" s="478">
        <v>26.8</v>
      </c>
      <c r="X47" s="457">
        <v>-0.59999999999999787</v>
      </c>
      <c r="Y47" s="461" t="s">
        <v>146</v>
      </c>
    </row>
    <row r="48" spans="3:25" ht="16.5" thickBot="1">
      <c r="C48" s="486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45364</v>
      </c>
      <c r="G50" s="470"/>
      <c r="H50" s="470"/>
      <c r="I50" s="471"/>
      <c r="J50" s="469">
        <v>45365</v>
      </c>
      <c r="K50" s="470"/>
      <c r="L50" s="470"/>
      <c r="M50" s="471"/>
      <c r="N50" s="469">
        <v>45366</v>
      </c>
      <c r="O50" s="470"/>
      <c r="P50" s="470"/>
      <c r="Q50" s="471"/>
      <c r="R50" s="469">
        <v>45367</v>
      </c>
      <c r="S50" s="470"/>
      <c r="T50" s="470"/>
      <c r="U50" s="471"/>
      <c r="V50" s="469">
        <v>45369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26.7</v>
      </c>
      <c r="H53" s="223" t="s">
        <v>81</v>
      </c>
      <c r="I53" s="222" t="s">
        <v>80</v>
      </c>
      <c r="J53" s="225">
        <v>0</v>
      </c>
      <c r="K53" s="224">
        <v>26.9</v>
      </c>
      <c r="L53" s="223" t="s">
        <v>81</v>
      </c>
      <c r="M53" s="222" t="s">
        <v>80</v>
      </c>
      <c r="N53" s="225">
        <v>0</v>
      </c>
      <c r="O53" s="224">
        <v>26.9</v>
      </c>
      <c r="P53" s="223" t="s">
        <v>81</v>
      </c>
      <c r="Q53" s="222" t="s">
        <v>80</v>
      </c>
      <c r="R53" s="225">
        <v>0</v>
      </c>
      <c r="S53" s="224">
        <v>26.7</v>
      </c>
      <c r="T53" s="223" t="s">
        <v>81</v>
      </c>
      <c r="U53" s="222" t="s">
        <v>80</v>
      </c>
      <c r="V53" s="225">
        <v>0</v>
      </c>
      <c r="W53" s="224">
        <v>26.7</v>
      </c>
      <c r="X53" s="223" t="s">
        <v>81</v>
      </c>
      <c r="Y53" s="274" t="s">
        <v>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1C2F-6FB2-41B7-A002-3DB97EE71135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45371</v>
      </c>
      <c r="G3" s="418"/>
      <c r="H3" s="418"/>
      <c r="I3" s="419"/>
      <c r="J3" s="417">
        <v>45372</v>
      </c>
      <c r="K3" s="418"/>
      <c r="L3" s="418"/>
      <c r="M3" s="419"/>
      <c r="N3" s="417">
        <v>45373</v>
      </c>
      <c r="O3" s="418"/>
      <c r="P3" s="418"/>
      <c r="Q3" s="419"/>
      <c r="R3" s="417">
        <v>45378</v>
      </c>
      <c r="S3" s="418"/>
      <c r="T3" s="418"/>
      <c r="U3" s="419"/>
      <c r="V3" s="417">
        <v>45380</v>
      </c>
      <c r="W3" s="418"/>
      <c r="X3" s="418"/>
      <c r="Y3" s="420"/>
    </row>
    <row r="4" spans="3:25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63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8.4</v>
      </c>
      <c r="S7" s="165">
        <v>13.5</v>
      </c>
      <c r="T7" s="164">
        <v>5.0999999999999996</v>
      </c>
      <c r="U7" s="331" t="s">
        <v>148</v>
      </c>
      <c r="V7" s="166">
        <v>0</v>
      </c>
      <c r="W7" s="165">
        <v>0</v>
      </c>
      <c r="X7" s="164">
        <v>0</v>
      </c>
      <c r="Y7" s="263"/>
    </row>
    <row r="8" spans="3:25" ht="16">
      <c r="C8" s="423"/>
      <c r="D8" s="426"/>
      <c r="E8" s="218" t="s">
        <v>133</v>
      </c>
      <c r="F8" s="217">
        <v>55.1</v>
      </c>
      <c r="G8" s="216">
        <v>55.1</v>
      </c>
      <c r="H8" s="215">
        <v>0</v>
      </c>
      <c r="I8" s="214"/>
      <c r="J8" s="217">
        <v>56.300000000000004</v>
      </c>
      <c r="K8" s="216">
        <v>56.300000000000004</v>
      </c>
      <c r="L8" s="215">
        <v>0</v>
      </c>
      <c r="M8" s="214"/>
      <c r="N8" s="217">
        <v>55.1</v>
      </c>
      <c r="O8" s="216">
        <v>55.1</v>
      </c>
      <c r="P8" s="215">
        <v>0</v>
      </c>
      <c r="Q8" s="214"/>
      <c r="R8" s="217">
        <v>54.900000000000006</v>
      </c>
      <c r="S8" s="216">
        <v>54.900000000000006</v>
      </c>
      <c r="T8" s="215">
        <v>0</v>
      </c>
      <c r="U8" s="214"/>
      <c r="V8" s="217">
        <v>54.5</v>
      </c>
      <c r="W8" s="216">
        <v>54.5</v>
      </c>
      <c r="X8" s="215">
        <v>0</v>
      </c>
      <c r="Y8" s="264"/>
    </row>
    <row r="9" spans="3:25" ht="16.5" thickBot="1">
      <c r="C9" s="424"/>
      <c r="D9" s="427" t="s">
        <v>101</v>
      </c>
      <c r="E9" s="428"/>
      <c r="F9" s="188">
        <v>96.5</v>
      </c>
      <c r="G9" s="187">
        <v>96.5</v>
      </c>
      <c r="H9" s="187">
        <v>0</v>
      </c>
      <c r="I9" s="213" t="s">
        <v>81</v>
      </c>
      <c r="J9" s="188">
        <v>97.7</v>
      </c>
      <c r="K9" s="187">
        <v>97.7</v>
      </c>
      <c r="L9" s="187">
        <v>0</v>
      </c>
      <c r="M9" s="213" t="s">
        <v>81</v>
      </c>
      <c r="N9" s="188">
        <v>96.5</v>
      </c>
      <c r="O9" s="187">
        <v>96.5</v>
      </c>
      <c r="P9" s="187">
        <v>0</v>
      </c>
      <c r="Q9" s="213" t="s">
        <v>81</v>
      </c>
      <c r="R9" s="188">
        <v>104.70000000000002</v>
      </c>
      <c r="S9" s="187">
        <v>109.80000000000001</v>
      </c>
      <c r="T9" s="187">
        <v>5.0999999999999996</v>
      </c>
      <c r="U9" s="213" t="s">
        <v>81</v>
      </c>
      <c r="V9" s="188">
        <v>95.9</v>
      </c>
      <c r="W9" s="187">
        <v>95.9</v>
      </c>
      <c r="X9" s="187">
        <v>0</v>
      </c>
      <c r="Y9" s="265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>
        <v>45371</v>
      </c>
      <c r="G11" s="433"/>
      <c r="H11" s="433"/>
      <c r="I11" s="434"/>
      <c r="J11" s="432">
        <v>45372</v>
      </c>
      <c r="K11" s="433"/>
      <c r="L11" s="433"/>
      <c r="M11" s="434"/>
      <c r="N11" s="432">
        <v>45373</v>
      </c>
      <c r="O11" s="433"/>
      <c r="P11" s="433"/>
      <c r="Q11" s="434"/>
      <c r="R11" s="432">
        <v>45378</v>
      </c>
      <c r="S11" s="433"/>
      <c r="T11" s="433"/>
      <c r="U11" s="434"/>
      <c r="V11" s="432">
        <v>45380</v>
      </c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267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0</v>
      </c>
      <c r="T16" s="164">
        <v>32.5</v>
      </c>
      <c r="U16" s="189" t="s">
        <v>145</v>
      </c>
      <c r="V16" s="166">
        <v>-32.5</v>
      </c>
      <c r="W16" s="165">
        <v>0</v>
      </c>
      <c r="X16" s="164">
        <v>32.5</v>
      </c>
      <c r="Y16" s="267" t="s">
        <v>145</v>
      </c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145</v>
      </c>
      <c r="J17" s="166">
        <v>-34</v>
      </c>
      <c r="K17" s="165">
        <v>0</v>
      </c>
      <c r="L17" s="164">
        <v>34</v>
      </c>
      <c r="M17" s="212" t="s">
        <v>145</v>
      </c>
      <c r="N17" s="166">
        <v>-34</v>
      </c>
      <c r="O17" s="165">
        <v>0</v>
      </c>
      <c r="P17" s="164">
        <v>34</v>
      </c>
      <c r="Q17" s="212" t="s">
        <v>145</v>
      </c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145</v>
      </c>
      <c r="J18" s="166">
        <v>-34</v>
      </c>
      <c r="K18" s="165">
        <v>0</v>
      </c>
      <c r="L18" s="164">
        <v>34</v>
      </c>
      <c r="M18" s="189" t="s">
        <v>145</v>
      </c>
      <c r="N18" s="166">
        <v>-34</v>
      </c>
      <c r="O18" s="165">
        <v>0</v>
      </c>
      <c r="P18" s="164">
        <v>34</v>
      </c>
      <c r="Q18" s="189" t="s">
        <v>145</v>
      </c>
      <c r="R18" s="166">
        <v>-34</v>
      </c>
      <c r="S18" s="165">
        <v>0</v>
      </c>
      <c r="T18" s="164">
        <v>34</v>
      </c>
      <c r="U18" s="189" t="s">
        <v>145</v>
      </c>
      <c r="V18" s="166">
        <v>-34</v>
      </c>
      <c r="W18" s="165">
        <v>0</v>
      </c>
      <c r="X18" s="164">
        <v>34</v>
      </c>
      <c r="Y18" s="267" t="s">
        <v>145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v>-253.2</v>
      </c>
      <c r="W21" s="187">
        <v>-186.7</v>
      </c>
      <c r="X21" s="187">
        <v>66.5</v>
      </c>
      <c r="Y21" s="268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>
        <v>45371</v>
      </c>
      <c r="G23" s="433"/>
      <c r="H23" s="433"/>
      <c r="I23" s="434"/>
      <c r="J23" s="432">
        <v>45372</v>
      </c>
      <c r="K23" s="433"/>
      <c r="L23" s="433"/>
      <c r="M23" s="434"/>
      <c r="N23" s="432">
        <v>45373</v>
      </c>
      <c r="O23" s="433"/>
      <c r="P23" s="433"/>
      <c r="Q23" s="434"/>
      <c r="R23" s="432">
        <v>45378</v>
      </c>
      <c r="S23" s="433"/>
      <c r="T23" s="433"/>
      <c r="U23" s="434"/>
      <c r="V23" s="432">
        <v>45380</v>
      </c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69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>
        <v>45371</v>
      </c>
      <c r="G27" s="433"/>
      <c r="H27" s="433"/>
      <c r="I27" s="434"/>
      <c r="J27" s="432">
        <v>45372</v>
      </c>
      <c r="K27" s="433"/>
      <c r="L27" s="433"/>
      <c r="M27" s="434"/>
      <c r="N27" s="432">
        <v>45373</v>
      </c>
      <c r="O27" s="433"/>
      <c r="P27" s="433"/>
      <c r="Q27" s="434"/>
      <c r="R27" s="432">
        <v>45378</v>
      </c>
      <c r="S27" s="433"/>
      <c r="T27" s="433"/>
      <c r="U27" s="434"/>
      <c r="V27" s="432">
        <v>45380</v>
      </c>
      <c r="W27" s="433"/>
      <c r="X27" s="433"/>
      <c r="Y27" s="438"/>
    </row>
    <row r="28" spans="3:25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3:25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21.9</v>
      </c>
      <c r="K29" s="455">
        <v>22.5</v>
      </c>
      <c r="L29" s="457">
        <v>0.60000000000000142</v>
      </c>
      <c r="M29" s="459" t="s">
        <v>151</v>
      </c>
      <c r="N29" s="200">
        <v>21.9</v>
      </c>
      <c r="O29" s="455">
        <v>21.9</v>
      </c>
      <c r="P29" s="457">
        <v>0</v>
      </c>
      <c r="Q29" s="459"/>
      <c r="R29" s="200">
        <v>21.9</v>
      </c>
      <c r="S29" s="455">
        <v>21.9</v>
      </c>
      <c r="T29" s="457">
        <v>0</v>
      </c>
      <c r="U29" s="459"/>
      <c r="V29" s="200">
        <v>21.9</v>
      </c>
      <c r="W29" s="455">
        <v>21.9</v>
      </c>
      <c r="X29" s="457">
        <v>0</v>
      </c>
      <c r="Y29" s="46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38.299999999999997</v>
      </c>
      <c r="L31" s="457">
        <v>11.099999999999998</v>
      </c>
      <c r="M31" s="459" t="s">
        <v>151</v>
      </c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36.9</v>
      </c>
      <c r="T31" s="457">
        <v>9.6999999999999993</v>
      </c>
      <c r="U31" s="459" t="s">
        <v>183</v>
      </c>
      <c r="V31" s="200">
        <v>27.2</v>
      </c>
      <c r="W31" s="455">
        <v>35.5</v>
      </c>
      <c r="X31" s="457">
        <v>8.3000000000000007</v>
      </c>
      <c r="Y31" s="461" t="s">
        <v>183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49.2</v>
      </c>
      <c r="G33" s="199">
        <v>36.200000000000003</v>
      </c>
      <c r="H33" s="457">
        <v>-13</v>
      </c>
      <c r="I33" s="459" t="s">
        <v>146</v>
      </c>
      <c r="J33" s="200">
        <v>49.2</v>
      </c>
      <c r="K33" s="199">
        <v>26.3</v>
      </c>
      <c r="L33" s="457">
        <v>-22.900000000000002</v>
      </c>
      <c r="M33" s="459" t="s">
        <v>146</v>
      </c>
      <c r="N33" s="200">
        <v>43.6</v>
      </c>
      <c r="O33" s="199">
        <v>36.4</v>
      </c>
      <c r="P33" s="457">
        <v>-7.2000000000000028</v>
      </c>
      <c r="Q33" s="459" t="s">
        <v>146</v>
      </c>
      <c r="R33" s="200">
        <v>33.4</v>
      </c>
      <c r="S33" s="199">
        <v>40.299999999999997</v>
      </c>
      <c r="T33" s="457">
        <v>6.8999999999999986</v>
      </c>
      <c r="U33" s="459" t="s">
        <v>184</v>
      </c>
      <c r="V33" s="200">
        <v>33.4</v>
      </c>
      <c r="W33" s="199">
        <v>34.799999999999997</v>
      </c>
      <c r="X33" s="457">
        <v>1.3999999999999986</v>
      </c>
      <c r="Y33" s="461" t="s">
        <v>184</v>
      </c>
    </row>
    <row r="34" spans="3:25" ht="16">
      <c r="C34" s="451"/>
      <c r="D34" s="467"/>
      <c r="E34" s="463" t="s">
        <v>104</v>
      </c>
      <c r="F34" s="198">
        <v>0.26</v>
      </c>
      <c r="G34" s="197">
        <v>0.19</v>
      </c>
      <c r="H34" s="458"/>
      <c r="I34" s="460"/>
      <c r="J34" s="198">
        <v>0.26</v>
      </c>
      <c r="K34" s="197">
        <v>0.14000000000000001</v>
      </c>
      <c r="L34" s="458"/>
      <c r="M34" s="460"/>
      <c r="N34" s="198">
        <v>0.24</v>
      </c>
      <c r="O34" s="197">
        <v>0.2</v>
      </c>
      <c r="P34" s="458"/>
      <c r="Q34" s="460"/>
      <c r="R34" s="198">
        <v>0.23</v>
      </c>
      <c r="S34" s="197">
        <v>0.28000000000000003</v>
      </c>
      <c r="T34" s="458"/>
      <c r="U34" s="460"/>
      <c r="V34" s="198">
        <v>0.23</v>
      </c>
      <c r="W34" s="197">
        <v>0.24</v>
      </c>
      <c r="X34" s="458"/>
      <c r="Y34" s="462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270"/>
    </row>
    <row r="36" spans="3:25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191"/>
      <c r="N36" s="193">
        <v>0.26</v>
      </c>
      <c r="O36" s="192"/>
      <c r="P36" s="192"/>
      <c r="Q36" s="191"/>
      <c r="R36" s="193">
        <v>0.26</v>
      </c>
      <c r="S36" s="192"/>
      <c r="T36" s="192"/>
      <c r="U36" s="191"/>
      <c r="V36" s="193">
        <v>0.26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13</v>
      </c>
      <c r="G37" s="165">
        <v>0.2</v>
      </c>
      <c r="H37" s="164">
        <v>-12.8</v>
      </c>
      <c r="I37" s="189" t="s">
        <v>147</v>
      </c>
      <c r="J37" s="166">
        <v>13</v>
      </c>
      <c r="K37" s="165">
        <v>-1.4155343563970746E-15</v>
      </c>
      <c r="L37" s="164">
        <v>-13.000000000000002</v>
      </c>
      <c r="M37" s="189" t="s">
        <v>147</v>
      </c>
      <c r="N37" s="166">
        <v>13</v>
      </c>
      <c r="O37" s="165">
        <v>-1.4155343563970746E-15</v>
      </c>
      <c r="P37" s="164">
        <v>-13.000000000000002</v>
      </c>
      <c r="Q37" s="189" t="s">
        <v>147</v>
      </c>
      <c r="R37" s="166">
        <v>13</v>
      </c>
      <c r="S37" s="165">
        <v>0.6</v>
      </c>
      <c r="T37" s="164">
        <v>-12.4</v>
      </c>
      <c r="U37" s="189" t="s">
        <v>147</v>
      </c>
      <c r="V37" s="166">
        <v>13</v>
      </c>
      <c r="W37" s="165">
        <v>0.4</v>
      </c>
      <c r="X37" s="164">
        <v>-12.6</v>
      </c>
      <c r="Y37" s="267" t="s">
        <v>147</v>
      </c>
    </row>
    <row r="38" spans="3:25" ht="16.5" thickBot="1">
      <c r="C38" s="452"/>
      <c r="D38" s="427" t="s">
        <v>101</v>
      </c>
      <c r="E38" s="428"/>
      <c r="F38" s="188">
        <v>111.3</v>
      </c>
      <c r="G38" s="187">
        <v>85.5</v>
      </c>
      <c r="H38" s="187">
        <v>-25.8</v>
      </c>
      <c r="I38" s="186"/>
      <c r="J38" s="188">
        <v>111.3</v>
      </c>
      <c r="K38" s="187">
        <v>87.1</v>
      </c>
      <c r="L38" s="187">
        <v>-24.200000000000003</v>
      </c>
      <c r="M38" s="186"/>
      <c r="N38" s="188">
        <v>105.69999999999999</v>
      </c>
      <c r="O38" s="187">
        <v>95.199999999999989</v>
      </c>
      <c r="P38" s="187">
        <v>-10.500000000000005</v>
      </c>
      <c r="Q38" s="186"/>
      <c r="R38" s="188">
        <v>95.5</v>
      </c>
      <c r="S38" s="187">
        <v>99.699999999999989</v>
      </c>
      <c r="T38" s="187">
        <v>4.1999999999999975</v>
      </c>
      <c r="U38" s="186"/>
      <c r="V38" s="188">
        <v>95.5</v>
      </c>
      <c r="W38" s="187">
        <v>92.6</v>
      </c>
      <c r="X38" s="187">
        <v>-2.9000000000000004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>
        <v>45371</v>
      </c>
      <c r="G40" s="470"/>
      <c r="H40" s="470"/>
      <c r="I40" s="471"/>
      <c r="J40" s="469">
        <v>45372</v>
      </c>
      <c r="K40" s="470"/>
      <c r="L40" s="470"/>
      <c r="M40" s="471"/>
      <c r="N40" s="469">
        <v>45373</v>
      </c>
      <c r="O40" s="470"/>
      <c r="P40" s="470"/>
      <c r="Q40" s="471"/>
      <c r="R40" s="469">
        <v>45378</v>
      </c>
      <c r="S40" s="470"/>
      <c r="T40" s="470"/>
      <c r="U40" s="471"/>
      <c r="V40" s="469">
        <v>45380</v>
      </c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61"/>
    </row>
    <row r="43" spans="3:25" ht="16.5" thickBot="1">
      <c r="C43" s="474"/>
      <c r="D43" s="475"/>
      <c r="E43" s="477"/>
      <c r="F43" s="183">
        <v>200</v>
      </c>
      <c r="G43" s="479"/>
      <c r="H43" s="480"/>
      <c r="I43" s="481"/>
      <c r="J43" s="183">
        <v>238.5</v>
      </c>
      <c r="K43" s="479"/>
      <c r="L43" s="480"/>
      <c r="M43" s="481"/>
      <c r="N43" s="183">
        <v>236.5</v>
      </c>
      <c r="O43" s="479"/>
      <c r="P43" s="480"/>
      <c r="Q43" s="481"/>
      <c r="R43" s="183">
        <v>236.5</v>
      </c>
      <c r="S43" s="479"/>
      <c r="T43" s="480"/>
      <c r="U43" s="481"/>
      <c r="V43" s="183">
        <v>245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>
        <v>45371</v>
      </c>
      <c r="G45" s="470"/>
      <c r="H45" s="470"/>
      <c r="I45" s="471"/>
      <c r="J45" s="469">
        <v>45372</v>
      </c>
      <c r="K45" s="470"/>
      <c r="L45" s="470"/>
      <c r="M45" s="471"/>
      <c r="N45" s="469">
        <v>45373</v>
      </c>
      <c r="O45" s="470"/>
      <c r="P45" s="470"/>
      <c r="Q45" s="471"/>
      <c r="R45" s="469">
        <v>45378</v>
      </c>
      <c r="S45" s="470"/>
      <c r="T45" s="470"/>
      <c r="U45" s="471"/>
      <c r="V45" s="469">
        <v>45380</v>
      </c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3:25" ht="16">
      <c r="C47" s="444"/>
      <c r="D47" s="483"/>
      <c r="E47" s="488" t="s">
        <v>91</v>
      </c>
      <c r="F47" s="178">
        <v>30.8</v>
      </c>
      <c r="G47" s="478">
        <v>33.700000000000003</v>
      </c>
      <c r="H47" s="457">
        <v>2.9000000000000021</v>
      </c>
      <c r="I47" s="459" t="s">
        <v>150</v>
      </c>
      <c r="J47" s="178">
        <v>27.4</v>
      </c>
      <c r="K47" s="478">
        <v>27.7</v>
      </c>
      <c r="L47" s="457">
        <v>0.30000000000000071</v>
      </c>
      <c r="M47" s="459" t="s">
        <v>146</v>
      </c>
      <c r="N47" s="178">
        <v>27.4</v>
      </c>
      <c r="O47" s="478">
        <v>27.7</v>
      </c>
      <c r="P47" s="457">
        <v>0.30000000000000071</v>
      </c>
      <c r="Q47" s="459" t="s">
        <v>146</v>
      </c>
      <c r="R47" s="178">
        <v>30.8</v>
      </c>
      <c r="S47" s="478">
        <v>34.299999999999997</v>
      </c>
      <c r="T47" s="457">
        <v>3.4999999999999964</v>
      </c>
      <c r="U47" s="459" t="s">
        <v>173</v>
      </c>
      <c r="V47" s="178">
        <v>30.8</v>
      </c>
      <c r="W47" s="478">
        <v>34.299999999999997</v>
      </c>
      <c r="X47" s="457">
        <v>3.4999999999999964</v>
      </c>
      <c r="Y47" s="461" t="s">
        <v>173</v>
      </c>
    </row>
    <row r="48" spans="3:25" ht="16.5" thickBot="1">
      <c r="C48" s="486"/>
      <c r="D48" s="487"/>
      <c r="E48" s="489"/>
      <c r="F48" s="177">
        <v>0.64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0.64</v>
      </c>
      <c r="S48" s="479"/>
      <c r="T48" s="480"/>
      <c r="U48" s="481"/>
      <c r="V48" s="177">
        <v>0.64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>
        <v>45371</v>
      </c>
      <c r="G50" s="470"/>
      <c r="H50" s="470"/>
      <c r="I50" s="471"/>
      <c r="J50" s="469">
        <v>45372</v>
      </c>
      <c r="K50" s="470"/>
      <c r="L50" s="470"/>
      <c r="M50" s="471"/>
      <c r="N50" s="469">
        <v>45373</v>
      </c>
      <c r="O50" s="470"/>
      <c r="P50" s="470"/>
      <c r="Q50" s="471"/>
      <c r="R50" s="469">
        <v>45378</v>
      </c>
      <c r="S50" s="470"/>
      <c r="T50" s="470"/>
      <c r="U50" s="471"/>
      <c r="V50" s="469">
        <v>45380</v>
      </c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26.6</v>
      </c>
      <c r="H53" s="223" t="s">
        <v>81</v>
      </c>
      <c r="I53" s="222" t="s">
        <v>80</v>
      </c>
      <c r="J53" s="225">
        <v>0</v>
      </c>
      <c r="K53" s="224">
        <v>25.7</v>
      </c>
      <c r="L53" s="223" t="s">
        <v>81</v>
      </c>
      <c r="M53" s="222" t="s">
        <v>80</v>
      </c>
      <c r="N53" s="225">
        <v>0</v>
      </c>
      <c r="O53" s="224">
        <v>26.5</v>
      </c>
      <c r="P53" s="223" t="s">
        <v>81</v>
      </c>
      <c r="Q53" s="222" t="s">
        <v>80</v>
      </c>
      <c r="R53" s="225">
        <v>0</v>
      </c>
      <c r="S53" s="224">
        <v>26.9</v>
      </c>
      <c r="T53" s="223" t="s">
        <v>81</v>
      </c>
      <c r="U53" s="222" t="s">
        <v>80</v>
      </c>
      <c r="V53" s="225">
        <v>0</v>
      </c>
      <c r="W53" s="224">
        <v>27.5</v>
      </c>
      <c r="X53" s="223" t="s">
        <v>81</v>
      </c>
      <c r="Y53" s="274" t="s">
        <v>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7F40-A6CC-46D2-B4CF-F86E6531B417}">
  <sheetPr>
    <pageSetUpPr fitToPage="1"/>
  </sheetPr>
  <dimension ref="A1:Y57"/>
  <sheetViews>
    <sheetView showGridLines="0" view="pageBreakPreview" zoomScale="55" zoomScaleNormal="55" zoomScaleSheetLayoutView="55" workbookViewId="0">
      <selection activeCell="C50" sqref="C50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17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17" ht="19.5" customHeight="1" thickBot="1">
      <c r="E2" s="23"/>
      <c r="F2" s="23"/>
      <c r="G2" s="23"/>
      <c r="H2" s="23"/>
      <c r="I2" s="22"/>
      <c r="J2" s="23"/>
      <c r="K2" s="23"/>
      <c r="L2" s="23"/>
      <c r="M2" s="220" t="s">
        <v>143</v>
      </c>
      <c r="N2" s="23"/>
      <c r="O2" s="23"/>
      <c r="P2" s="23"/>
      <c r="Q2" s="22"/>
    </row>
    <row r="3" spans="3:17" ht="17" thickTop="1" thickBot="1">
      <c r="C3" s="435" t="s">
        <v>142</v>
      </c>
      <c r="D3" s="436"/>
      <c r="E3" s="437"/>
      <c r="F3" s="417">
        <v>45381</v>
      </c>
      <c r="G3" s="418"/>
      <c r="H3" s="418"/>
      <c r="I3" s="419"/>
      <c r="J3" s="417">
        <v>45382</v>
      </c>
      <c r="K3" s="418"/>
      <c r="L3" s="418"/>
      <c r="M3" s="420"/>
      <c r="N3" s="23"/>
      <c r="O3" s="23"/>
      <c r="P3" s="23"/>
      <c r="Q3" s="22"/>
    </row>
    <row r="4" spans="3:17" ht="16">
      <c r="C4" s="421" t="s">
        <v>198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262" t="s">
        <v>92</v>
      </c>
      <c r="N4" s="23"/>
      <c r="O4" s="23"/>
      <c r="P4" s="23"/>
      <c r="Q4" s="22"/>
    </row>
    <row r="5" spans="3:17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63"/>
      <c r="N5" s="23"/>
      <c r="O5" s="23"/>
      <c r="P5" s="23"/>
      <c r="Q5" s="22"/>
    </row>
    <row r="6" spans="3:17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63"/>
      <c r="N6" s="23"/>
      <c r="O6" s="23"/>
      <c r="P6" s="23"/>
      <c r="Q6" s="22"/>
    </row>
    <row r="7" spans="3:17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63"/>
      <c r="N7" s="23"/>
      <c r="O7" s="23"/>
      <c r="P7" s="23"/>
      <c r="Q7" s="22"/>
    </row>
    <row r="8" spans="3:17" ht="16">
      <c r="C8" s="423"/>
      <c r="D8" s="426"/>
      <c r="E8" s="218" t="s">
        <v>133</v>
      </c>
      <c r="F8" s="217">
        <v>53.1</v>
      </c>
      <c r="G8" s="216">
        <v>53.1</v>
      </c>
      <c r="H8" s="215">
        <v>0</v>
      </c>
      <c r="I8" s="214"/>
      <c r="J8" s="217">
        <v>51.7</v>
      </c>
      <c r="K8" s="216">
        <v>51.7</v>
      </c>
      <c r="L8" s="215">
        <v>0</v>
      </c>
      <c r="M8" s="264"/>
      <c r="N8" s="23"/>
      <c r="O8" s="23"/>
      <c r="P8" s="23"/>
      <c r="Q8" s="22"/>
    </row>
    <row r="9" spans="3:17" ht="16.5" thickBot="1">
      <c r="C9" s="424"/>
      <c r="D9" s="427" t="s">
        <v>101</v>
      </c>
      <c r="E9" s="428"/>
      <c r="F9" s="188">
        <v>94.5</v>
      </c>
      <c r="G9" s="187">
        <v>94.5</v>
      </c>
      <c r="H9" s="187">
        <v>0</v>
      </c>
      <c r="I9" s="213" t="s">
        <v>81</v>
      </c>
      <c r="J9" s="188">
        <v>93.100000000000009</v>
      </c>
      <c r="K9" s="187">
        <v>93.100000000000009</v>
      </c>
      <c r="L9" s="187">
        <v>0</v>
      </c>
      <c r="M9" s="265" t="s">
        <v>81</v>
      </c>
      <c r="N9" s="23"/>
      <c r="O9" s="23"/>
      <c r="P9" s="23"/>
      <c r="Q9" s="22"/>
    </row>
    <row r="10" spans="3:17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266"/>
      <c r="N10" s="23"/>
      <c r="O10" s="23"/>
      <c r="P10" s="23"/>
      <c r="Q10" s="22"/>
    </row>
    <row r="11" spans="3:17" ht="16.5" thickBot="1">
      <c r="C11" s="429" t="s">
        <v>132</v>
      </c>
      <c r="D11" s="430"/>
      <c r="E11" s="431"/>
      <c r="F11" s="432">
        <v>45381</v>
      </c>
      <c r="G11" s="433"/>
      <c r="H11" s="433"/>
      <c r="I11" s="434"/>
      <c r="J11" s="432">
        <v>45382</v>
      </c>
      <c r="K11" s="433"/>
      <c r="L11" s="433"/>
      <c r="M11" s="438"/>
      <c r="N11" s="23"/>
      <c r="O11" s="23"/>
      <c r="P11" s="23"/>
      <c r="Q11" s="22"/>
    </row>
    <row r="12" spans="3:17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262" t="s">
        <v>92</v>
      </c>
      <c r="N12" s="23"/>
      <c r="O12" s="23"/>
      <c r="P12" s="23"/>
      <c r="Q12" s="22"/>
    </row>
    <row r="13" spans="3:17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267"/>
      <c r="N13" s="23"/>
      <c r="O13" s="23"/>
      <c r="P13" s="23"/>
      <c r="Q13" s="22"/>
    </row>
    <row r="14" spans="3:17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267"/>
      <c r="N14" s="23"/>
      <c r="O14" s="23"/>
      <c r="P14" s="23"/>
      <c r="Q14" s="22"/>
    </row>
    <row r="15" spans="3:17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267"/>
      <c r="N15" s="23"/>
      <c r="O15" s="23"/>
      <c r="P15" s="23"/>
      <c r="Q15" s="22"/>
    </row>
    <row r="16" spans="3:17" ht="16">
      <c r="C16" s="440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145</v>
      </c>
      <c r="J16" s="166">
        <v>-32.5</v>
      </c>
      <c r="K16" s="165">
        <v>0</v>
      </c>
      <c r="L16" s="164">
        <v>32.5</v>
      </c>
      <c r="M16" s="267" t="s">
        <v>145</v>
      </c>
      <c r="N16" s="23"/>
      <c r="O16" s="23"/>
      <c r="P16" s="23"/>
      <c r="Q16" s="22"/>
    </row>
    <row r="17" spans="3:17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86"/>
      <c r="N17" s="23"/>
      <c r="O17" s="23"/>
      <c r="P17" s="23"/>
      <c r="Q17" s="22"/>
    </row>
    <row r="18" spans="3:17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145</v>
      </c>
      <c r="J18" s="166">
        <v>-34</v>
      </c>
      <c r="K18" s="165">
        <v>0</v>
      </c>
      <c r="L18" s="164">
        <v>34</v>
      </c>
      <c r="M18" s="267" t="s">
        <v>145</v>
      </c>
      <c r="N18" s="23"/>
      <c r="O18" s="23"/>
      <c r="P18" s="23"/>
      <c r="Q18" s="22"/>
    </row>
    <row r="19" spans="3:17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267"/>
      <c r="N19" s="23"/>
      <c r="O19" s="23"/>
      <c r="P19" s="23"/>
      <c r="Q19" s="22"/>
    </row>
    <row r="20" spans="3:17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267"/>
      <c r="N20" s="23"/>
      <c r="O20" s="23"/>
      <c r="P20" s="23"/>
      <c r="Q20" s="22"/>
    </row>
    <row r="21" spans="3:17" ht="16.5" thickBot="1">
      <c r="C21" s="441"/>
      <c r="D21" s="427" t="s">
        <v>101</v>
      </c>
      <c r="E21" s="428"/>
      <c r="F21" s="188">
        <v>-253.2</v>
      </c>
      <c r="G21" s="187">
        <v>-186.7</v>
      </c>
      <c r="H21" s="187">
        <v>66.5</v>
      </c>
      <c r="I21" s="186" t="s">
        <v>81</v>
      </c>
      <c r="J21" s="188">
        <v>-253.2</v>
      </c>
      <c r="K21" s="187">
        <v>-186.7</v>
      </c>
      <c r="L21" s="187">
        <v>66.5</v>
      </c>
      <c r="M21" s="268" t="s">
        <v>81</v>
      </c>
      <c r="N21" s="23"/>
      <c r="O21" s="23"/>
      <c r="P21" s="23"/>
      <c r="Q21" s="22"/>
    </row>
    <row r="22" spans="3:17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266"/>
      <c r="N22" s="23"/>
      <c r="O22" s="23"/>
      <c r="P22" s="23"/>
      <c r="Q22" s="22"/>
    </row>
    <row r="23" spans="3:17" ht="16.5" thickBot="1">
      <c r="C23" s="429" t="s">
        <v>120</v>
      </c>
      <c r="D23" s="430"/>
      <c r="E23" s="431"/>
      <c r="F23" s="432">
        <v>45381</v>
      </c>
      <c r="G23" s="433"/>
      <c r="H23" s="433"/>
      <c r="I23" s="434"/>
      <c r="J23" s="432">
        <v>45382</v>
      </c>
      <c r="K23" s="433"/>
      <c r="L23" s="433"/>
      <c r="M23" s="438"/>
      <c r="N23" s="23"/>
      <c r="O23" s="23"/>
      <c r="P23" s="23"/>
      <c r="Q23" s="22"/>
    </row>
    <row r="24" spans="3:17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262" t="s">
        <v>92</v>
      </c>
      <c r="N24" s="23"/>
      <c r="O24" s="23"/>
      <c r="P24" s="23"/>
      <c r="Q24" s="22"/>
    </row>
    <row r="25" spans="3:17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69"/>
      <c r="N25" s="23"/>
      <c r="O25" s="23"/>
      <c r="P25" s="23"/>
      <c r="Q25" s="22"/>
    </row>
    <row r="26" spans="3:17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266"/>
      <c r="N26" s="23"/>
      <c r="O26" s="23"/>
      <c r="P26" s="23"/>
      <c r="Q26" s="22"/>
    </row>
    <row r="27" spans="3:17" ht="16.5" thickBot="1">
      <c r="C27" s="429" t="s">
        <v>116</v>
      </c>
      <c r="D27" s="430"/>
      <c r="E27" s="431"/>
      <c r="F27" s="432">
        <v>45381</v>
      </c>
      <c r="G27" s="433"/>
      <c r="H27" s="433"/>
      <c r="I27" s="434"/>
      <c r="J27" s="432">
        <v>45382</v>
      </c>
      <c r="K27" s="433"/>
      <c r="L27" s="433"/>
      <c r="M27" s="438"/>
      <c r="N27" s="23"/>
      <c r="O27" s="23"/>
      <c r="P27" s="23"/>
      <c r="Q27" s="22"/>
    </row>
    <row r="28" spans="3:17" ht="27" customHeight="1">
      <c r="C28" s="451" t="s">
        <v>199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262" t="s">
        <v>92</v>
      </c>
      <c r="N28" s="23"/>
      <c r="O28" s="23"/>
      <c r="P28" s="23"/>
      <c r="Q28" s="22"/>
    </row>
    <row r="29" spans="3:17" ht="16">
      <c r="C29" s="451"/>
      <c r="D29" s="425" t="s">
        <v>111</v>
      </c>
      <c r="E29" s="453" t="s">
        <v>110</v>
      </c>
      <c r="F29" s="200">
        <v>21.9</v>
      </c>
      <c r="G29" s="455">
        <v>21.9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61"/>
      <c r="N29" s="23"/>
      <c r="O29" s="23"/>
      <c r="P29" s="23"/>
      <c r="Q29" s="22"/>
    </row>
    <row r="30" spans="3:17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2"/>
      <c r="N30" s="23"/>
      <c r="O30" s="23"/>
      <c r="P30" s="23"/>
      <c r="Q30" s="22"/>
    </row>
    <row r="31" spans="3:17" ht="16">
      <c r="C31" s="451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61"/>
      <c r="N31" s="23"/>
      <c r="O31" s="23"/>
      <c r="P31" s="23"/>
      <c r="Q31" s="22"/>
    </row>
    <row r="32" spans="3:17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2"/>
      <c r="N32" s="23"/>
      <c r="O32" s="23"/>
      <c r="P32" s="23"/>
      <c r="Q32" s="22"/>
    </row>
    <row r="33" spans="3:17" ht="16">
      <c r="C33" s="451"/>
      <c r="D33" s="466" t="s">
        <v>107</v>
      </c>
      <c r="E33" s="201" t="s">
        <v>106</v>
      </c>
      <c r="F33" s="200">
        <v>29.5</v>
      </c>
      <c r="G33" s="199">
        <v>33.4</v>
      </c>
      <c r="H33" s="457">
        <v>3.8999999999999986</v>
      </c>
      <c r="I33" s="459" t="s">
        <v>184</v>
      </c>
      <c r="J33" s="200">
        <v>29.5</v>
      </c>
      <c r="K33" s="199">
        <v>22.1</v>
      </c>
      <c r="L33" s="457">
        <v>-7.3999999999999986</v>
      </c>
      <c r="M33" s="461" t="s">
        <v>154</v>
      </c>
      <c r="N33" s="23"/>
      <c r="O33" s="23"/>
      <c r="P33" s="23"/>
      <c r="Q33" s="22"/>
    </row>
    <row r="34" spans="3:17" ht="16">
      <c r="C34" s="451"/>
      <c r="D34" s="467"/>
      <c r="E34" s="463" t="s">
        <v>104</v>
      </c>
      <c r="F34" s="198">
        <v>0.23</v>
      </c>
      <c r="G34" s="197">
        <v>0.26</v>
      </c>
      <c r="H34" s="458"/>
      <c r="I34" s="460"/>
      <c r="J34" s="198">
        <v>0.23</v>
      </c>
      <c r="K34" s="197">
        <v>0.17</v>
      </c>
      <c r="L34" s="458"/>
      <c r="M34" s="462"/>
      <c r="N34" s="23"/>
      <c r="O34" s="23"/>
      <c r="P34" s="23"/>
      <c r="Q34" s="22"/>
    </row>
    <row r="35" spans="3:17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270"/>
      <c r="N35" s="23"/>
      <c r="O35" s="23"/>
      <c r="P35" s="23"/>
      <c r="Q35" s="22"/>
    </row>
    <row r="36" spans="3:17" ht="16">
      <c r="C36" s="451"/>
      <c r="D36" s="468"/>
      <c r="E36" s="465"/>
      <c r="F36" s="193">
        <v>0.26</v>
      </c>
      <c r="G36" s="192"/>
      <c r="H36" s="192"/>
      <c r="I36" s="191"/>
      <c r="J36" s="193">
        <v>0.26</v>
      </c>
      <c r="K36" s="192"/>
      <c r="L36" s="192"/>
      <c r="M36" s="271"/>
      <c r="N36" s="23"/>
      <c r="O36" s="23"/>
      <c r="P36" s="23"/>
      <c r="Q36" s="22"/>
    </row>
    <row r="37" spans="3:17" ht="16">
      <c r="C37" s="451"/>
      <c r="D37" s="467"/>
      <c r="E37" s="190" t="s">
        <v>103</v>
      </c>
      <c r="F37" s="166">
        <v>13</v>
      </c>
      <c r="G37" s="165">
        <v>0.4</v>
      </c>
      <c r="H37" s="164">
        <v>-12.6</v>
      </c>
      <c r="I37" s="189" t="s">
        <v>170</v>
      </c>
      <c r="J37" s="166">
        <v>13</v>
      </c>
      <c r="K37" s="165">
        <v>0.3</v>
      </c>
      <c r="L37" s="164">
        <v>-12.7</v>
      </c>
      <c r="M37" s="267" t="s">
        <v>170</v>
      </c>
      <c r="N37" s="23"/>
      <c r="O37" s="23"/>
      <c r="P37" s="23"/>
      <c r="Q37" s="22"/>
    </row>
    <row r="38" spans="3:17" ht="16.5" thickBot="1">
      <c r="C38" s="452"/>
      <c r="D38" s="427" t="s">
        <v>101</v>
      </c>
      <c r="E38" s="428"/>
      <c r="F38" s="188">
        <v>91.6</v>
      </c>
      <c r="G38" s="187">
        <v>82.9</v>
      </c>
      <c r="H38" s="187">
        <v>-8.7000000000000011</v>
      </c>
      <c r="I38" s="186"/>
      <c r="J38" s="188">
        <v>69.7</v>
      </c>
      <c r="K38" s="187">
        <v>49.599999999999994</v>
      </c>
      <c r="L38" s="187">
        <v>-20.099999999999998</v>
      </c>
      <c r="M38" s="268"/>
      <c r="N38" s="23"/>
      <c r="O38" s="23"/>
      <c r="P38" s="23"/>
      <c r="Q38" s="22"/>
    </row>
    <row r="39" spans="3:17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266"/>
      <c r="N39" s="23"/>
      <c r="O39" s="23"/>
      <c r="P39" s="23"/>
      <c r="Q39" s="22"/>
    </row>
    <row r="40" spans="3:17" ht="16.5" thickBot="1">
      <c r="C40" s="429" t="s">
        <v>100</v>
      </c>
      <c r="D40" s="430"/>
      <c r="E40" s="431"/>
      <c r="F40" s="469">
        <v>45381</v>
      </c>
      <c r="G40" s="470"/>
      <c r="H40" s="470"/>
      <c r="I40" s="471"/>
      <c r="J40" s="469">
        <v>45382</v>
      </c>
      <c r="K40" s="470"/>
      <c r="L40" s="470"/>
      <c r="M40" s="472"/>
      <c r="N40" s="23"/>
      <c r="O40" s="23"/>
      <c r="P40" s="23"/>
      <c r="Q40" s="22"/>
    </row>
    <row r="41" spans="3:17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262" t="s">
        <v>92</v>
      </c>
      <c r="N41" s="23"/>
      <c r="O41" s="23"/>
      <c r="P41" s="23"/>
      <c r="Q41" s="22"/>
    </row>
    <row r="42" spans="3:17" ht="16.5" customHeight="1">
      <c r="C42" s="444"/>
      <c r="D42" s="445"/>
      <c r="E42" s="476" t="s">
        <v>96</v>
      </c>
      <c r="F42" s="178">
        <v>30.3</v>
      </c>
      <c r="G42" s="478">
        <v>0</v>
      </c>
      <c r="H42" s="457">
        <v>-30.3</v>
      </c>
      <c r="I42" s="459" t="s">
        <v>183</v>
      </c>
      <c r="J42" s="178">
        <v>21.8</v>
      </c>
      <c r="K42" s="478">
        <v>0</v>
      </c>
      <c r="L42" s="457">
        <v>-21.8</v>
      </c>
      <c r="M42" s="461" t="s">
        <v>183</v>
      </c>
      <c r="N42" s="23"/>
      <c r="O42" s="23"/>
      <c r="P42" s="23"/>
      <c r="Q42" s="22"/>
    </row>
    <row r="43" spans="3:17" ht="16.5" thickBot="1">
      <c r="C43" s="474"/>
      <c r="D43" s="475"/>
      <c r="E43" s="477"/>
      <c r="F43" s="183">
        <v>200</v>
      </c>
      <c r="G43" s="479"/>
      <c r="H43" s="480"/>
      <c r="I43" s="481"/>
      <c r="J43" s="183">
        <v>202</v>
      </c>
      <c r="K43" s="479"/>
      <c r="L43" s="480"/>
      <c r="M43" s="482"/>
      <c r="N43" s="23"/>
      <c r="O43" s="23"/>
      <c r="P43" s="23"/>
      <c r="Q43" s="22"/>
    </row>
    <row r="44" spans="3:17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266"/>
      <c r="N44" s="23"/>
      <c r="O44" s="23"/>
      <c r="P44" s="23"/>
      <c r="Q44" s="22"/>
    </row>
    <row r="45" spans="3:17" ht="16.5" thickBot="1">
      <c r="C45" s="429" t="s">
        <v>94</v>
      </c>
      <c r="D45" s="430"/>
      <c r="E45" s="431"/>
      <c r="F45" s="469">
        <v>45381</v>
      </c>
      <c r="G45" s="470"/>
      <c r="H45" s="470"/>
      <c r="I45" s="471"/>
      <c r="J45" s="469">
        <v>45382</v>
      </c>
      <c r="K45" s="470"/>
      <c r="L45" s="470"/>
      <c r="M45" s="472"/>
      <c r="N45" s="23"/>
      <c r="O45" s="23"/>
      <c r="P45" s="23"/>
      <c r="Q45" s="22"/>
    </row>
    <row r="46" spans="3:17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262" t="s">
        <v>92</v>
      </c>
      <c r="N46" s="23"/>
      <c r="O46" s="23"/>
      <c r="P46" s="23"/>
      <c r="Q46" s="22"/>
    </row>
    <row r="47" spans="3:17" ht="16">
      <c r="C47" s="444"/>
      <c r="D47" s="483"/>
      <c r="E47" s="488" t="s">
        <v>91</v>
      </c>
      <c r="F47" s="178">
        <v>30.8</v>
      </c>
      <c r="G47" s="478">
        <v>34.299999999999997</v>
      </c>
      <c r="H47" s="457">
        <v>3.4999999999999964</v>
      </c>
      <c r="I47" s="459" t="s">
        <v>173</v>
      </c>
      <c r="J47" s="178">
        <v>30.8</v>
      </c>
      <c r="K47" s="478">
        <v>34.299999999999997</v>
      </c>
      <c r="L47" s="457">
        <v>3.4999999999999964</v>
      </c>
      <c r="M47" s="461" t="s">
        <v>173</v>
      </c>
      <c r="N47" s="23"/>
      <c r="O47" s="23"/>
      <c r="P47" s="23"/>
      <c r="Q47" s="22"/>
    </row>
    <row r="48" spans="3:17" ht="16.5" thickBot="1">
      <c r="C48" s="486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2"/>
      <c r="N48" s="23"/>
      <c r="O48" s="23"/>
      <c r="P48" s="23"/>
      <c r="Q48" s="22"/>
    </row>
    <row r="49" spans="1:17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266"/>
      <c r="N49" s="23"/>
      <c r="O49" s="23"/>
      <c r="P49" s="23"/>
      <c r="Q49" s="22"/>
    </row>
    <row r="50" spans="1:17" ht="16.5" thickBot="1">
      <c r="C50" s="429" t="s">
        <v>89</v>
      </c>
      <c r="D50" s="430"/>
      <c r="E50" s="431"/>
      <c r="F50" s="469">
        <v>45381</v>
      </c>
      <c r="G50" s="470"/>
      <c r="H50" s="470"/>
      <c r="I50" s="471"/>
      <c r="J50" s="469">
        <v>45382</v>
      </c>
      <c r="K50" s="470"/>
      <c r="L50" s="470"/>
      <c r="M50" s="472"/>
      <c r="N50" s="23"/>
      <c r="O50" s="23"/>
      <c r="P50" s="23"/>
      <c r="Q50" s="22"/>
    </row>
    <row r="51" spans="1:17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272" t="s">
        <v>84</v>
      </c>
      <c r="N51" s="23"/>
      <c r="O51" s="23"/>
      <c r="P51" s="23"/>
      <c r="Q51" s="22"/>
    </row>
    <row r="52" spans="1:17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273" t="s">
        <v>81</v>
      </c>
      <c r="N52" s="23"/>
      <c r="O52" s="23"/>
      <c r="P52" s="23"/>
      <c r="Q52" s="22"/>
    </row>
    <row r="53" spans="1:17" ht="16.5" thickBot="1">
      <c r="C53" s="484"/>
      <c r="D53" s="485"/>
      <c r="E53" s="226" t="s">
        <v>82</v>
      </c>
      <c r="F53" s="225">
        <v>0</v>
      </c>
      <c r="G53" s="224">
        <v>27.6</v>
      </c>
      <c r="H53" s="223" t="s">
        <v>81</v>
      </c>
      <c r="I53" s="222" t="s">
        <v>80</v>
      </c>
      <c r="J53" s="225">
        <v>0</v>
      </c>
      <c r="K53" s="224">
        <v>27.8</v>
      </c>
      <c r="L53" s="223" t="s">
        <v>81</v>
      </c>
      <c r="M53" s="274" t="s">
        <v>80</v>
      </c>
      <c r="N53" s="23"/>
      <c r="O53" s="23"/>
      <c r="P53" s="23"/>
      <c r="Q53" s="22"/>
    </row>
    <row r="54" spans="1:17" ht="15.5" thickTop="1">
      <c r="C54" s="1" t="s">
        <v>79</v>
      </c>
    </row>
    <row r="56" spans="1:17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17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72">
    <mergeCell ref="C51:D53"/>
    <mergeCell ref="K47:K48"/>
    <mergeCell ref="L47:L48"/>
    <mergeCell ref="M47:M48"/>
    <mergeCell ref="C50:E50"/>
    <mergeCell ref="F50:I50"/>
    <mergeCell ref="J50:M50"/>
    <mergeCell ref="C46:D48"/>
    <mergeCell ref="E47:E48"/>
    <mergeCell ref="G47:G48"/>
    <mergeCell ref="H47:H48"/>
    <mergeCell ref="I47:I48"/>
    <mergeCell ref="L42:L43"/>
    <mergeCell ref="M42:M43"/>
    <mergeCell ref="C45:E45"/>
    <mergeCell ref="F45:I45"/>
    <mergeCell ref="J45:M45"/>
    <mergeCell ref="C41:D43"/>
    <mergeCell ref="E42:E43"/>
    <mergeCell ref="G42:G43"/>
    <mergeCell ref="H42:H43"/>
    <mergeCell ref="I42:I43"/>
    <mergeCell ref="K42:K43"/>
    <mergeCell ref="L33:L34"/>
    <mergeCell ref="M33:M34"/>
    <mergeCell ref="E34:E36"/>
    <mergeCell ref="D38:E38"/>
    <mergeCell ref="C40:E40"/>
    <mergeCell ref="F40:I40"/>
    <mergeCell ref="J40:M40"/>
    <mergeCell ref="C28:C38"/>
    <mergeCell ref="D29:D32"/>
    <mergeCell ref="D33:D37"/>
    <mergeCell ref="H33:H34"/>
    <mergeCell ref="I33:I34"/>
    <mergeCell ref="K29:K30"/>
    <mergeCell ref="L29:L30"/>
    <mergeCell ref="M29:M30"/>
    <mergeCell ref="E31:E32"/>
    <mergeCell ref="M31:M32"/>
    <mergeCell ref="E29:E30"/>
    <mergeCell ref="G29:G30"/>
    <mergeCell ref="H29:H30"/>
    <mergeCell ref="I29:I30"/>
    <mergeCell ref="G31:G32"/>
    <mergeCell ref="H31:H32"/>
    <mergeCell ref="I31:I32"/>
    <mergeCell ref="K31:K32"/>
    <mergeCell ref="L31:L32"/>
    <mergeCell ref="C27:E27"/>
    <mergeCell ref="F27:I27"/>
    <mergeCell ref="J27:M27"/>
    <mergeCell ref="C11:E11"/>
    <mergeCell ref="F11:I11"/>
    <mergeCell ref="J11:M11"/>
    <mergeCell ref="C12:C21"/>
    <mergeCell ref="D13:D14"/>
    <mergeCell ref="D15:D16"/>
    <mergeCell ref="D17:D20"/>
    <mergeCell ref="D21:E21"/>
    <mergeCell ref="C23:E23"/>
    <mergeCell ref="F23:I23"/>
    <mergeCell ref="J23:M23"/>
    <mergeCell ref="C24:D25"/>
    <mergeCell ref="E24:E25"/>
    <mergeCell ref="C3:E3"/>
    <mergeCell ref="F3:I3"/>
    <mergeCell ref="J3:M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0D99-E1E5-48B2-B516-98FF5B5F820C}">
  <dimension ref="A1:Y57"/>
  <sheetViews>
    <sheetView showGridLines="0" view="pageBreakPreview" zoomScale="70" zoomScaleNormal="55" zoomScaleSheetLayoutView="7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45802</v>
      </c>
      <c r="G3" s="491"/>
      <c r="H3" s="491"/>
      <c r="I3" s="492"/>
      <c r="J3" s="490">
        <v>45803</v>
      </c>
      <c r="K3" s="491"/>
      <c r="L3" s="491"/>
      <c r="M3" s="492"/>
      <c r="N3" s="490">
        <v>45804</v>
      </c>
      <c r="O3" s="491"/>
      <c r="P3" s="491"/>
      <c r="Q3" s="492"/>
      <c r="R3" s="490">
        <v>45805</v>
      </c>
      <c r="S3" s="491"/>
      <c r="T3" s="491"/>
      <c r="U3" s="492"/>
      <c r="V3" s="490">
        <v>45808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f t="shared" ref="L5:L8" si="0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f t="shared" si="0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 t="shared" si="0"/>
        <v>0</v>
      </c>
      <c r="M7" s="219"/>
      <c r="N7" s="166">
        <v>0</v>
      </c>
      <c r="O7" s="165">
        <v>0</v>
      </c>
      <c r="P7" s="164">
        <f t="shared" ref="P7" si="1">SUM(O7,-N7)</f>
        <v>0</v>
      </c>
      <c r="Q7" s="219"/>
      <c r="R7" s="166">
        <v>0</v>
      </c>
      <c r="S7" s="165">
        <v>0</v>
      </c>
      <c r="T7" s="164">
        <f t="shared" ref="T7" si="2">SUM(S7,-R7)</f>
        <v>0</v>
      </c>
      <c r="U7" s="219"/>
      <c r="V7" s="166">
        <v>0</v>
      </c>
      <c r="W7" s="165">
        <v>0</v>
      </c>
      <c r="X7" s="164">
        <f t="shared" ref="X7" si="3">SUM(W7,-V7)</f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52.1</v>
      </c>
      <c r="G8" s="216">
        <v>52.1</v>
      </c>
      <c r="H8" s="215">
        <v>0</v>
      </c>
      <c r="I8" s="214"/>
      <c r="J8" s="217">
        <v>55.5</v>
      </c>
      <c r="K8" s="216">
        <v>55.5</v>
      </c>
      <c r="L8" s="215">
        <f t="shared" si="0"/>
        <v>0</v>
      </c>
      <c r="M8" s="214"/>
      <c r="N8" s="217">
        <v>54.900000000000006</v>
      </c>
      <c r="O8" s="216">
        <v>54.900000000000006</v>
      </c>
      <c r="P8" s="215">
        <f>SUM(O8,-N8)</f>
        <v>0</v>
      </c>
      <c r="Q8" s="232"/>
      <c r="R8" s="217">
        <v>61.8</v>
      </c>
      <c r="S8" s="216">
        <v>61.8</v>
      </c>
      <c r="T8" s="215">
        <f>SUM(S8,-R8)</f>
        <v>0</v>
      </c>
      <c r="U8" s="232"/>
      <c r="V8" s="217">
        <v>53.300000000000004</v>
      </c>
      <c r="W8" s="216">
        <v>53.300000000000004</v>
      </c>
      <c r="X8" s="215">
        <f>SUM(W8,-V8)</f>
        <v>0</v>
      </c>
      <c r="Y8" s="264"/>
    </row>
    <row r="9" spans="2:25" ht="16.5" thickBot="1">
      <c r="B9" s="281"/>
      <c r="C9" s="497"/>
      <c r="D9" s="427" t="s">
        <v>101</v>
      </c>
      <c r="E9" s="428"/>
      <c r="F9" s="188">
        <v>73.300000000000011</v>
      </c>
      <c r="G9" s="187">
        <v>73.300000000000011</v>
      </c>
      <c r="H9" s="187">
        <v>0</v>
      </c>
      <c r="I9" s="213" t="s">
        <v>81</v>
      </c>
      <c r="J9" s="188">
        <f t="shared" ref="J9:L9" si="4">SUM(J5:J8)</f>
        <v>76.7</v>
      </c>
      <c r="K9" s="187">
        <f t="shared" si="4"/>
        <v>76.7</v>
      </c>
      <c r="L9" s="187">
        <f t="shared" si="4"/>
        <v>0</v>
      </c>
      <c r="M9" s="213" t="s">
        <v>159</v>
      </c>
      <c r="N9" s="188">
        <f>SUM(N5:N8)</f>
        <v>76.100000000000009</v>
      </c>
      <c r="O9" s="187">
        <f>SUM(O5:O8)</f>
        <v>76.100000000000009</v>
      </c>
      <c r="P9" s="187">
        <f>SUM(P5:P8)</f>
        <v>0</v>
      </c>
      <c r="Q9" s="213" t="s">
        <v>159</v>
      </c>
      <c r="R9" s="188">
        <f>SUM(R5:R8)</f>
        <v>83</v>
      </c>
      <c r="S9" s="187">
        <f>SUM(S5:S8)</f>
        <v>83</v>
      </c>
      <c r="T9" s="187">
        <f>SUM(T5:T8)</f>
        <v>0</v>
      </c>
      <c r="U9" s="213" t="s">
        <v>159</v>
      </c>
      <c r="V9" s="188">
        <f>SUM(V5:V8)</f>
        <v>74.5</v>
      </c>
      <c r="W9" s="187">
        <f>SUM(W5:W8)</f>
        <v>74.5</v>
      </c>
      <c r="X9" s="187">
        <f>SUM(X5:X8)</f>
        <v>0</v>
      </c>
      <c r="Y9" s="265" t="s">
        <v>159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282"/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f>SUM(G13,-F13)</f>
        <v>26.1</v>
      </c>
      <c r="I13" s="232" t="s">
        <v>149</v>
      </c>
      <c r="J13" s="166">
        <v>-26.1</v>
      </c>
      <c r="K13" s="165">
        <v>0</v>
      </c>
      <c r="L13" s="164">
        <f>SUM(K13,-J13)</f>
        <v>26.1</v>
      </c>
      <c r="M13" s="232" t="s">
        <v>149</v>
      </c>
      <c r="N13" s="166">
        <v>-26.1</v>
      </c>
      <c r="O13" s="165">
        <v>0</v>
      </c>
      <c r="P13" s="164">
        <f>SUM(O13,-N13)</f>
        <v>26.1</v>
      </c>
      <c r="Q13" s="232" t="s">
        <v>149</v>
      </c>
      <c r="R13" s="166">
        <v>-26.1</v>
      </c>
      <c r="S13" s="165">
        <v>0</v>
      </c>
      <c r="T13" s="164">
        <f>SUM(S13,-R13)</f>
        <v>26.1</v>
      </c>
      <c r="U13" s="232" t="s">
        <v>149</v>
      </c>
      <c r="V13" s="166">
        <v>-26.1</v>
      </c>
      <c r="W13" s="165">
        <v>0</v>
      </c>
      <c r="X13" s="164">
        <f>SUM(W13,-V13)</f>
        <v>26.1</v>
      </c>
      <c r="Y13" s="285" t="s">
        <v>149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-26.1</v>
      </c>
      <c r="H14" s="164">
        <f t="shared" ref="H14:H20" si="5">SUM(G14,-F14)</f>
        <v>0</v>
      </c>
      <c r="I14" s="189"/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232"/>
      <c r="R14" s="166">
        <v>-26.1</v>
      </c>
      <c r="S14" s="165">
        <v>-26.1</v>
      </c>
      <c r="T14" s="164">
        <f t="shared" ref="T14:T20" si="8">SUM(S14,-R14)</f>
        <v>0</v>
      </c>
      <c r="U14" s="232"/>
      <c r="V14" s="166">
        <v>-26.1</v>
      </c>
      <c r="W14" s="165">
        <v>-26.1</v>
      </c>
      <c r="X14" s="164">
        <f t="shared" ref="X14:X20" si="9">SUM(W14,-V14)</f>
        <v>0</v>
      </c>
      <c r="Y14" s="285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189"/>
      <c r="J15" s="166">
        <v>-32.5</v>
      </c>
      <c r="K15" s="165">
        <v>-32.5</v>
      </c>
      <c r="L15" s="164">
        <f t="shared" si="6"/>
        <v>0</v>
      </c>
      <c r="M15" s="232" t="s">
        <v>202</v>
      </c>
      <c r="N15" s="166">
        <v>-32.5</v>
      </c>
      <c r="O15" s="165">
        <v>-32.5</v>
      </c>
      <c r="P15" s="164">
        <f t="shared" si="7"/>
        <v>0</v>
      </c>
      <c r="Q15" s="232"/>
      <c r="R15" s="166">
        <v>-32.5</v>
      </c>
      <c r="S15" s="165">
        <v>-32.5</v>
      </c>
      <c r="T15" s="164">
        <f t="shared" si="8"/>
        <v>0</v>
      </c>
      <c r="U15" s="232"/>
      <c r="V15" s="166">
        <v>-32.5</v>
      </c>
      <c r="W15" s="165">
        <v>-32.5</v>
      </c>
      <c r="X15" s="164">
        <f t="shared" si="9"/>
        <v>0</v>
      </c>
      <c r="Y15" s="285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189"/>
      <c r="J16" s="166">
        <v>-32.5</v>
      </c>
      <c r="K16" s="165">
        <v>-32.5</v>
      </c>
      <c r="L16" s="164">
        <f t="shared" si="6"/>
        <v>0</v>
      </c>
      <c r="M16" s="232"/>
      <c r="N16" s="166">
        <v>-32.5</v>
      </c>
      <c r="O16" s="165">
        <v>-32.5</v>
      </c>
      <c r="P16" s="164">
        <f t="shared" si="7"/>
        <v>0</v>
      </c>
      <c r="Q16" s="232"/>
      <c r="R16" s="166">
        <v>-32.5</v>
      </c>
      <c r="S16" s="165">
        <v>-32.5</v>
      </c>
      <c r="T16" s="164">
        <f t="shared" si="8"/>
        <v>0</v>
      </c>
      <c r="U16" s="232"/>
      <c r="V16" s="166">
        <v>-32.5</v>
      </c>
      <c r="W16" s="165">
        <v>-32.5</v>
      </c>
      <c r="X16" s="164">
        <f t="shared" si="9"/>
        <v>0</v>
      </c>
      <c r="Y16" s="285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189"/>
      <c r="J17" s="166">
        <v>-34</v>
      </c>
      <c r="K17" s="165">
        <v>-34</v>
      </c>
      <c r="L17" s="164">
        <f t="shared" si="6"/>
        <v>0</v>
      </c>
      <c r="M17" s="212"/>
      <c r="N17" s="166">
        <v>-34</v>
      </c>
      <c r="O17" s="165">
        <v>-34</v>
      </c>
      <c r="P17" s="164">
        <f t="shared" si="7"/>
        <v>0</v>
      </c>
      <c r="Q17" s="232"/>
      <c r="R17" s="166">
        <v>-34</v>
      </c>
      <c r="S17" s="165">
        <v>-34</v>
      </c>
      <c r="T17" s="164">
        <f t="shared" si="8"/>
        <v>0</v>
      </c>
      <c r="U17" s="212"/>
      <c r="V17" s="166">
        <v>-34</v>
      </c>
      <c r="W17" s="165">
        <v>-34</v>
      </c>
      <c r="X17" s="164">
        <f t="shared" si="9"/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189"/>
      <c r="N18" s="166">
        <v>-34</v>
      </c>
      <c r="O18" s="165">
        <v>-34</v>
      </c>
      <c r="P18" s="164">
        <f t="shared" si="7"/>
        <v>0</v>
      </c>
      <c r="Q18" s="232"/>
      <c r="R18" s="166">
        <v>-34</v>
      </c>
      <c r="S18" s="165">
        <v>-34</v>
      </c>
      <c r="T18" s="164">
        <f t="shared" si="8"/>
        <v>0</v>
      </c>
      <c r="U18" s="189"/>
      <c r="V18" s="166">
        <v>-34</v>
      </c>
      <c r="W18" s="165">
        <v>-34</v>
      </c>
      <c r="X18" s="164">
        <f t="shared" si="9"/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0</v>
      </c>
      <c r="H19" s="164">
        <f t="shared" si="5"/>
        <v>34</v>
      </c>
      <c r="I19" s="189" t="s">
        <v>149</v>
      </c>
      <c r="J19" s="166">
        <v>-34</v>
      </c>
      <c r="K19" s="165">
        <v>0</v>
      </c>
      <c r="L19" s="164">
        <f t="shared" si="6"/>
        <v>34</v>
      </c>
      <c r="M19" s="189" t="s">
        <v>145</v>
      </c>
      <c r="N19" s="166">
        <v>-34</v>
      </c>
      <c r="O19" s="165">
        <v>0</v>
      </c>
      <c r="P19" s="164">
        <f t="shared" si="7"/>
        <v>34</v>
      </c>
      <c r="Q19" s="232" t="s">
        <v>149</v>
      </c>
      <c r="R19" s="166">
        <v>-34</v>
      </c>
      <c r="S19" s="165">
        <v>0</v>
      </c>
      <c r="T19" s="164">
        <f t="shared" si="8"/>
        <v>34</v>
      </c>
      <c r="U19" s="189" t="s">
        <v>145</v>
      </c>
      <c r="V19" s="166">
        <v>-34</v>
      </c>
      <c r="W19" s="165">
        <v>0</v>
      </c>
      <c r="X19" s="164">
        <f t="shared" si="9"/>
        <v>34</v>
      </c>
      <c r="Y19" s="267" t="s">
        <v>145</v>
      </c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0</v>
      </c>
      <c r="H20" s="164">
        <f t="shared" si="5"/>
        <v>34</v>
      </c>
      <c r="I20" s="189" t="s">
        <v>149</v>
      </c>
      <c r="J20" s="166">
        <v>-34</v>
      </c>
      <c r="K20" s="165">
        <v>0</v>
      </c>
      <c r="L20" s="164">
        <f t="shared" si="6"/>
        <v>34</v>
      </c>
      <c r="M20" s="189" t="s">
        <v>145</v>
      </c>
      <c r="N20" s="166">
        <v>-34</v>
      </c>
      <c r="O20" s="165">
        <v>0</v>
      </c>
      <c r="P20" s="164">
        <f t="shared" si="7"/>
        <v>34</v>
      </c>
      <c r="Q20" s="232" t="s">
        <v>149</v>
      </c>
      <c r="R20" s="166">
        <v>-34</v>
      </c>
      <c r="S20" s="165">
        <v>0</v>
      </c>
      <c r="T20" s="164">
        <f t="shared" si="8"/>
        <v>34</v>
      </c>
      <c r="U20" s="189" t="s">
        <v>145</v>
      </c>
      <c r="V20" s="166">
        <v>-34</v>
      </c>
      <c r="W20" s="165">
        <v>0</v>
      </c>
      <c r="X20" s="164">
        <f t="shared" si="9"/>
        <v>34</v>
      </c>
      <c r="Y20" s="267" t="s">
        <v>145</v>
      </c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-159.1</v>
      </c>
      <c r="H21" s="187">
        <v>94.1</v>
      </c>
      <c r="I21" s="186" t="s">
        <v>81</v>
      </c>
      <c r="J21" s="188">
        <f t="shared" ref="J21:L21" si="10">SUM(J13:J20)</f>
        <v>-253.2</v>
      </c>
      <c r="K21" s="187">
        <f t="shared" si="10"/>
        <v>-159.1</v>
      </c>
      <c r="L21" s="187">
        <f t="shared" si="10"/>
        <v>94.1</v>
      </c>
      <c r="M21" s="186" t="s">
        <v>159</v>
      </c>
      <c r="N21" s="188">
        <f>SUM(N13:N20)</f>
        <v>-253.2</v>
      </c>
      <c r="O21" s="187">
        <f>SUM(O13:O20)</f>
        <v>-159.1</v>
      </c>
      <c r="P21" s="187">
        <f>SUM(P13:P20)</f>
        <v>94.1</v>
      </c>
      <c r="Q21" s="186" t="s">
        <v>159</v>
      </c>
      <c r="R21" s="188">
        <f>SUM(R13:R20)</f>
        <v>-253.2</v>
      </c>
      <c r="S21" s="187">
        <f>SUM(S13:S20)</f>
        <v>-159.1</v>
      </c>
      <c r="T21" s="187">
        <f>SUM(T13:T20)</f>
        <v>94.1</v>
      </c>
      <c r="U21" s="186" t="s">
        <v>159</v>
      </c>
      <c r="V21" s="188">
        <f>SUM(V13:V20)</f>
        <v>-253.2</v>
      </c>
      <c r="W21" s="187">
        <f>SUM(W13:W20)</f>
        <v>-159.1</v>
      </c>
      <c r="X21" s="187">
        <f>SUM(X13:X20)</f>
        <v>94.1</v>
      </c>
      <c r="Y21" s="268" t="s">
        <v>159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282"/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-4.4000000000000004</v>
      </c>
      <c r="H25" s="207">
        <f t="shared" ref="H25" si="11">SUM(G25,-F25)</f>
        <v>0.59999999999999964</v>
      </c>
      <c r="I25" s="206" t="s">
        <v>150</v>
      </c>
      <c r="J25" s="209">
        <v>-5</v>
      </c>
      <c r="K25" s="208">
        <v>-4.4000000000000004</v>
      </c>
      <c r="L25" s="207">
        <f t="shared" ref="L25" si="12">SUM(K25,-J25)</f>
        <v>0.59999999999999964</v>
      </c>
      <c r="M25" s="206" t="s">
        <v>150</v>
      </c>
      <c r="N25" s="209">
        <v>-5</v>
      </c>
      <c r="O25" s="208">
        <v>-4.4000000000000004</v>
      </c>
      <c r="P25" s="207">
        <f t="shared" ref="P25" si="13">SUM(O25,-N25)</f>
        <v>0.59999999999999964</v>
      </c>
      <c r="Q25" s="206" t="s">
        <v>150</v>
      </c>
      <c r="R25" s="209">
        <v>-5</v>
      </c>
      <c r="S25" s="208">
        <v>-4.4000000000000004</v>
      </c>
      <c r="T25" s="207">
        <f t="shared" ref="T25" si="14">SUM(S25,-R25)</f>
        <v>0.59999999999999964</v>
      </c>
      <c r="U25" s="206" t="s">
        <v>150</v>
      </c>
      <c r="V25" s="209">
        <v>-5</v>
      </c>
      <c r="W25" s="208">
        <v>-4.4000000000000004</v>
      </c>
      <c r="X25" s="207">
        <f t="shared" ref="X25" si="15">SUM(W25,-V25)</f>
        <v>0.59999999999999964</v>
      </c>
      <c r="Y25" s="269" t="s">
        <v>150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282"/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6">SUM(G29,-F29)</f>
        <v>0</v>
      </c>
      <c r="I29" s="459"/>
      <c r="J29" s="200">
        <v>0</v>
      </c>
      <c r="K29" s="455">
        <v>0</v>
      </c>
      <c r="L29" s="457">
        <f t="shared" ref="L29" si="17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27.2</v>
      </c>
      <c r="G31" s="455">
        <v>27.2</v>
      </c>
      <c r="H31" s="457">
        <f t="shared" ref="H31" si="18">SUM(G31,-F31)</f>
        <v>0</v>
      </c>
      <c r="I31" s="459"/>
      <c r="J31" s="200">
        <v>27.2</v>
      </c>
      <c r="K31" s="455">
        <v>27.2</v>
      </c>
      <c r="L31" s="457">
        <f t="shared" ref="L31" si="19">SUM(K31,-J31)</f>
        <v>0</v>
      </c>
      <c r="M31" s="459"/>
      <c r="N31" s="200">
        <v>27.2</v>
      </c>
      <c r="O31" s="455">
        <v>27.2</v>
      </c>
      <c r="P31" s="457">
        <f t="shared" ref="P31" si="20">SUM(O31,-N31)</f>
        <v>0</v>
      </c>
      <c r="Q31" s="459"/>
      <c r="R31" s="200">
        <v>27.2</v>
      </c>
      <c r="S31" s="455">
        <v>27.2</v>
      </c>
      <c r="T31" s="457">
        <f t="shared" ref="T31" si="21">SUM(S31,-R31)</f>
        <v>0</v>
      </c>
      <c r="U31" s="459"/>
      <c r="V31" s="200">
        <v>27.2</v>
      </c>
      <c r="W31" s="455">
        <v>27.2</v>
      </c>
      <c r="X31" s="457">
        <f t="shared" ref="X31" si="22">SUM(W31,-V31)</f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200">
        <v>29.5</v>
      </c>
      <c r="G33" s="199">
        <v>26.6</v>
      </c>
      <c r="H33" s="457">
        <f t="shared" ref="H33" si="23">SUM(G33,-F33)</f>
        <v>-2.8999999999999986</v>
      </c>
      <c r="I33" s="459" t="s">
        <v>146</v>
      </c>
      <c r="J33" s="200">
        <v>29.5</v>
      </c>
      <c r="K33" s="199">
        <v>40.4</v>
      </c>
      <c r="L33" s="457">
        <f t="shared" ref="L33" si="24">SUM(K33,-J33)</f>
        <v>10.899999999999999</v>
      </c>
      <c r="M33" s="459" t="s">
        <v>148</v>
      </c>
      <c r="N33" s="200">
        <v>29.5</v>
      </c>
      <c r="O33" s="199">
        <v>40.799999999999997</v>
      </c>
      <c r="P33" s="457">
        <f t="shared" ref="P33" si="25">SUM(O33,-N33)</f>
        <v>11.299999999999997</v>
      </c>
      <c r="Q33" s="459" t="s">
        <v>184</v>
      </c>
      <c r="R33" s="200">
        <v>29.5</v>
      </c>
      <c r="S33" s="199">
        <v>51.4</v>
      </c>
      <c r="T33" s="457">
        <f t="shared" ref="T33" si="26">SUM(S33,-R33)</f>
        <v>21.9</v>
      </c>
      <c r="U33" s="459" t="s">
        <v>184</v>
      </c>
      <c r="V33" s="200">
        <v>29.5</v>
      </c>
      <c r="W33" s="199">
        <v>22</v>
      </c>
      <c r="X33" s="457">
        <f t="shared" ref="X33" si="27">SUM(W33,-V33)</f>
        <v>-7.5</v>
      </c>
      <c r="Y33" s="461" t="s">
        <v>146</v>
      </c>
    </row>
    <row r="34" spans="2:25" ht="16">
      <c r="B34" s="281"/>
      <c r="C34" s="506"/>
      <c r="D34" s="467"/>
      <c r="E34" s="463" t="s">
        <v>104</v>
      </c>
      <c r="F34" s="198">
        <v>0.22</v>
      </c>
      <c r="G34" s="197">
        <v>0.2</v>
      </c>
      <c r="H34" s="458"/>
      <c r="I34" s="460"/>
      <c r="J34" s="198">
        <v>0.22</v>
      </c>
      <c r="K34" s="230">
        <v>30</v>
      </c>
      <c r="L34" s="458"/>
      <c r="M34" s="460"/>
      <c r="N34" s="198">
        <v>0.22</v>
      </c>
      <c r="O34" s="230">
        <v>31</v>
      </c>
      <c r="P34" s="458"/>
      <c r="Q34" s="460"/>
      <c r="R34" s="198">
        <v>0.22</v>
      </c>
      <c r="S34" s="230">
        <v>38</v>
      </c>
      <c r="T34" s="458"/>
      <c r="U34" s="460"/>
      <c r="V34" s="198">
        <v>0.22</v>
      </c>
      <c r="W34" s="230">
        <v>16</v>
      </c>
      <c r="X34" s="458"/>
      <c r="Y34" s="462"/>
    </row>
    <row r="35" spans="2:25" ht="13.5" customHeight="1">
      <c r="B35" s="281"/>
      <c r="C35" s="506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2:25" ht="16">
      <c r="B36" s="281"/>
      <c r="C36" s="506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2:25" ht="16">
      <c r="B37" s="281"/>
      <c r="C37" s="506"/>
      <c r="D37" s="467"/>
      <c r="E37" s="190" t="s">
        <v>103</v>
      </c>
      <c r="F37" s="166">
        <v>10</v>
      </c>
      <c r="G37" s="165">
        <v>0.9</v>
      </c>
      <c r="H37" s="164">
        <v>-9.1</v>
      </c>
      <c r="I37" s="189" t="s">
        <v>147</v>
      </c>
      <c r="J37" s="166">
        <v>10</v>
      </c>
      <c r="K37" s="165">
        <v>0.7</v>
      </c>
      <c r="L37" s="164">
        <f t="shared" ref="L37" si="28">SUM(K37,-J37)</f>
        <v>-9.3000000000000007</v>
      </c>
      <c r="M37" s="189" t="s">
        <v>147</v>
      </c>
      <c r="N37" s="166">
        <v>10</v>
      </c>
      <c r="O37" s="165">
        <v>0.4</v>
      </c>
      <c r="P37" s="164">
        <f t="shared" ref="P37" si="29">SUM(O37,-N37)</f>
        <v>-9.6</v>
      </c>
      <c r="Q37" s="189" t="s">
        <v>147</v>
      </c>
      <c r="R37" s="166">
        <v>10</v>
      </c>
      <c r="S37" s="165">
        <v>0.3</v>
      </c>
      <c r="T37" s="164">
        <f t="shared" ref="T37" si="30">SUM(S37,-R37)</f>
        <v>-9.6999999999999993</v>
      </c>
      <c r="U37" s="189" t="s">
        <v>147</v>
      </c>
      <c r="V37" s="166">
        <v>10</v>
      </c>
      <c r="W37" s="165">
        <v>0.3</v>
      </c>
      <c r="X37" s="164">
        <f t="shared" ref="X37" si="31">SUM(W37,-V37)</f>
        <v>-9.6999999999999993</v>
      </c>
      <c r="Y37" s="26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66.7</v>
      </c>
      <c r="G38" s="187">
        <v>54.699999999999996</v>
      </c>
      <c r="H38" s="187">
        <v>-11.999999999999998</v>
      </c>
      <c r="I38" s="186"/>
      <c r="J38" s="188">
        <f t="shared" ref="J38" si="32">SUM(J29,J31,J33,J37)</f>
        <v>66.7</v>
      </c>
      <c r="K38" s="187">
        <f t="shared" ref="K38" si="33">SUM(K29:K33,K37)</f>
        <v>68.3</v>
      </c>
      <c r="L38" s="187">
        <f t="shared" ref="L38" si="34">SUM(L29:L34,L37)</f>
        <v>1.5999999999999979</v>
      </c>
      <c r="M38" s="186"/>
      <c r="N38" s="188">
        <f>SUM(N29,N31,N33,N37)</f>
        <v>66.7</v>
      </c>
      <c r="O38" s="187">
        <f>SUM(O29:O33,O37)</f>
        <v>68.400000000000006</v>
      </c>
      <c r="P38" s="187">
        <f>SUM(P29:P34,P37)</f>
        <v>1.6999999999999975</v>
      </c>
      <c r="Q38" s="186"/>
      <c r="R38" s="188">
        <f>SUM(R29,R31,R33,R37)</f>
        <v>66.7</v>
      </c>
      <c r="S38" s="187">
        <f>SUM(S29:S33,S37)</f>
        <v>78.899999999999991</v>
      </c>
      <c r="T38" s="187">
        <f>SUM(T29:T34,T37)</f>
        <v>12.2</v>
      </c>
      <c r="U38" s="186"/>
      <c r="V38" s="188">
        <f>SUM(V29,V31,V33,V37)</f>
        <v>66.7</v>
      </c>
      <c r="W38" s="187">
        <f>SUM(W29:W33,W37)</f>
        <v>49.5</v>
      </c>
      <c r="X38" s="187">
        <f>SUM(X29:X34,X37)</f>
        <v>-17.2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292"/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2:25" ht="16.5" customHeight="1">
      <c r="B42" s="281"/>
      <c r="C42" s="500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 t="shared" ref="L42" si="35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 t="s">
        <v>151</v>
      </c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2:25" ht="16.5" thickBot="1">
      <c r="B43" s="281"/>
      <c r="C43" s="475"/>
      <c r="D43" s="475"/>
      <c r="E43" s="477"/>
      <c r="F43" s="183">
        <v>174.1</v>
      </c>
      <c r="G43" s="479"/>
      <c r="H43" s="509"/>
      <c r="I43" s="481"/>
      <c r="J43" s="183">
        <v>184.7</v>
      </c>
      <c r="K43" s="479"/>
      <c r="L43" s="480"/>
      <c r="M43" s="481"/>
      <c r="N43" s="183">
        <v>187.7</v>
      </c>
      <c r="O43" s="479"/>
      <c r="P43" s="480"/>
      <c r="Q43" s="481"/>
      <c r="R43" s="183">
        <v>186.7</v>
      </c>
      <c r="S43" s="479"/>
      <c r="T43" s="480"/>
      <c r="U43" s="481"/>
      <c r="V43" s="183">
        <v>166.7</v>
      </c>
      <c r="W43" s="510"/>
      <c r="X43" s="511"/>
      <c r="Y43" s="512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292"/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2:25" ht="16">
      <c r="B47" s="281"/>
      <c r="C47" s="500"/>
      <c r="D47" s="483"/>
      <c r="E47" s="488" t="s">
        <v>91</v>
      </c>
      <c r="F47" s="178">
        <v>28.5</v>
      </c>
      <c r="G47" s="478">
        <v>36</v>
      </c>
      <c r="H47" s="457">
        <f t="shared" ref="H47" si="36">SUM(G47,-F47)</f>
        <v>7.5</v>
      </c>
      <c r="I47" s="459" t="s">
        <v>149</v>
      </c>
      <c r="J47" s="178">
        <v>28.2</v>
      </c>
      <c r="K47" s="478">
        <v>34.5</v>
      </c>
      <c r="L47" s="457">
        <f t="shared" ref="L47" si="37">SUM(K47,-J47)</f>
        <v>6.3000000000000007</v>
      </c>
      <c r="M47" s="459" t="s">
        <v>149</v>
      </c>
      <c r="N47" s="178">
        <v>28.2</v>
      </c>
      <c r="O47" s="478">
        <v>32.6</v>
      </c>
      <c r="P47" s="457">
        <f>SUM(O47,-N47)</f>
        <v>4.4000000000000021</v>
      </c>
      <c r="Q47" s="459" t="s">
        <v>149</v>
      </c>
      <c r="R47" s="178">
        <v>28.2</v>
      </c>
      <c r="S47" s="478">
        <v>36.6</v>
      </c>
      <c r="T47" s="457">
        <f>SUM(S47,-R47)</f>
        <v>8.4000000000000021</v>
      </c>
      <c r="U47" s="459" t="s">
        <v>149</v>
      </c>
      <c r="V47" s="178">
        <v>34.6</v>
      </c>
      <c r="W47" s="478">
        <v>43.1</v>
      </c>
      <c r="X47" s="457">
        <f>SUM(W47,-V47)</f>
        <v>8.5</v>
      </c>
      <c r="Y47" s="461" t="s">
        <v>149</v>
      </c>
    </row>
    <row r="48" spans="2:25" ht="16.5" thickBot="1">
      <c r="B48" s="281"/>
      <c r="C48" s="447"/>
      <c r="D48" s="487"/>
      <c r="E48" s="489"/>
      <c r="F48" s="177">
        <v>0.52</v>
      </c>
      <c r="G48" s="510"/>
      <c r="H48" s="511"/>
      <c r="I48" s="481"/>
      <c r="J48" s="177">
        <v>0.52</v>
      </c>
      <c r="K48" s="479"/>
      <c r="L48" s="480"/>
      <c r="M48" s="481"/>
      <c r="N48" s="177">
        <v>0.52</v>
      </c>
      <c r="O48" s="479"/>
      <c r="P48" s="480"/>
      <c r="Q48" s="481"/>
      <c r="R48" s="177">
        <v>0.52</v>
      </c>
      <c r="S48" s="479"/>
      <c r="T48" s="480"/>
      <c r="U48" s="481"/>
      <c r="V48" s="177">
        <v>0.54</v>
      </c>
      <c r="W48" s="510"/>
      <c r="X48" s="511"/>
      <c r="Y48" s="512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292"/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 t="shared" ref="L52" si="38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25.9</v>
      </c>
      <c r="H53" s="223" t="s">
        <v>81</v>
      </c>
      <c r="I53" s="222" t="s">
        <v>213</v>
      </c>
      <c r="J53" s="225">
        <v>0</v>
      </c>
      <c r="K53" s="229">
        <v>23.6</v>
      </c>
      <c r="L53" s="223" t="s">
        <v>159</v>
      </c>
      <c r="M53" s="222" t="s">
        <v>213</v>
      </c>
      <c r="N53" s="225">
        <v>0</v>
      </c>
      <c r="O53" s="229">
        <v>23.3</v>
      </c>
      <c r="P53" s="223" t="s">
        <v>159</v>
      </c>
      <c r="Q53" s="222" t="s">
        <v>213</v>
      </c>
      <c r="R53" s="225">
        <v>0</v>
      </c>
      <c r="S53" s="229">
        <v>24.7</v>
      </c>
      <c r="T53" s="223" t="s">
        <v>159</v>
      </c>
      <c r="U53" s="222" t="s">
        <v>213</v>
      </c>
      <c r="V53" s="225">
        <v>0</v>
      </c>
      <c r="W53" s="229">
        <v>25.5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7">
    <mergeCell ref="C50:E50"/>
    <mergeCell ref="F50:I50"/>
    <mergeCell ref="J50:M50"/>
    <mergeCell ref="N50:Q50"/>
    <mergeCell ref="R50:U50"/>
    <mergeCell ref="C51:D53"/>
    <mergeCell ref="S47:S48"/>
    <mergeCell ref="T47:T48"/>
    <mergeCell ref="U47:U48"/>
    <mergeCell ref="W47:W48"/>
    <mergeCell ref="X47:X48"/>
    <mergeCell ref="Y47:Y48"/>
    <mergeCell ref="K47:K48"/>
    <mergeCell ref="L47:L48"/>
    <mergeCell ref="M47:M48"/>
    <mergeCell ref="O47:O48"/>
    <mergeCell ref="P47:P48"/>
    <mergeCell ref="Q47:Q48"/>
    <mergeCell ref="C45:E45"/>
    <mergeCell ref="F45:I45"/>
    <mergeCell ref="J45:M45"/>
    <mergeCell ref="N45:Q45"/>
    <mergeCell ref="R45:U45"/>
    <mergeCell ref="C46:D48"/>
    <mergeCell ref="E47:E48"/>
    <mergeCell ref="G47:G48"/>
    <mergeCell ref="H47:H48"/>
    <mergeCell ref="I47:I48"/>
    <mergeCell ref="W42:W43"/>
    <mergeCell ref="X42:X43"/>
    <mergeCell ref="Y42:Y43"/>
    <mergeCell ref="K42:K43"/>
    <mergeCell ref="L42:L43"/>
    <mergeCell ref="M42:M43"/>
    <mergeCell ref="O42:O43"/>
    <mergeCell ref="P42:P43"/>
    <mergeCell ref="Q42:Q43"/>
    <mergeCell ref="E31:E32"/>
    <mergeCell ref="G31:G32"/>
    <mergeCell ref="C40:E40"/>
    <mergeCell ref="F40:I40"/>
    <mergeCell ref="J40:M40"/>
    <mergeCell ref="N40:Q40"/>
    <mergeCell ref="R40:U40"/>
    <mergeCell ref="C41:D43"/>
    <mergeCell ref="E42:E43"/>
    <mergeCell ref="G42:G43"/>
    <mergeCell ref="H42:H43"/>
    <mergeCell ref="I42:I43"/>
    <mergeCell ref="S42:S43"/>
    <mergeCell ref="T42:T43"/>
    <mergeCell ref="U42:U43"/>
    <mergeCell ref="U29:U30"/>
    <mergeCell ref="W29:W30"/>
    <mergeCell ref="T33:T34"/>
    <mergeCell ref="U33:U34"/>
    <mergeCell ref="X33:X34"/>
    <mergeCell ref="Y33:Y34"/>
    <mergeCell ref="E34:E36"/>
    <mergeCell ref="D38:E38"/>
    <mergeCell ref="U31:U32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M31:M32"/>
    <mergeCell ref="O31:O32"/>
    <mergeCell ref="P31:P32"/>
    <mergeCell ref="Q31:Q32"/>
    <mergeCell ref="S31:S32"/>
    <mergeCell ref="T31:T32"/>
    <mergeCell ref="X29:X30"/>
    <mergeCell ref="I29:I30"/>
    <mergeCell ref="K29:K30"/>
    <mergeCell ref="L29:L30"/>
    <mergeCell ref="M29:M30"/>
    <mergeCell ref="O29:O30"/>
    <mergeCell ref="P29:P30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H31:H32"/>
    <mergeCell ref="I31:I32"/>
    <mergeCell ref="K31:K32"/>
    <mergeCell ref="L31:L32"/>
    <mergeCell ref="Q29:Q30"/>
    <mergeCell ref="S29:S30"/>
    <mergeCell ref="T29:T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5B22-61E1-4E6E-A314-E39314299CF7}">
  <dimension ref="B1:O64"/>
  <sheetViews>
    <sheetView showGridLines="0" view="pageBreakPreview" zoomScale="55" zoomScaleNormal="70" zoomScaleSheetLayoutView="55" zoomScalePageLayoutView="40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45749</v>
      </c>
      <c r="G3" s="96" t="s">
        <v>67</v>
      </c>
      <c r="H3" s="95">
        <v>45750</v>
      </c>
      <c r="I3" s="96" t="s">
        <v>67</v>
      </c>
      <c r="J3" s="25">
        <v>45751</v>
      </c>
      <c r="K3" s="96" t="s">
        <v>67</v>
      </c>
      <c r="L3" s="25">
        <v>45752</v>
      </c>
      <c r="M3" s="96" t="s">
        <v>67</v>
      </c>
      <c r="N3" s="25">
        <v>45753</v>
      </c>
      <c r="O3" s="96" t="s">
        <v>191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92.4</v>
      </c>
      <c r="G5" s="381" t="s">
        <v>45</v>
      </c>
      <c r="H5" s="9">
        <v>92.2</v>
      </c>
      <c r="I5" s="384" t="s">
        <v>65</v>
      </c>
      <c r="J5" s="9">
        <v>92</v>
      </c>
      <c r="K5" s="384" t="s">
        <v>45</v>
      </c>
      <c r="L5" s="9">
        <v>74.7</v>
      </c>
      <c r="M5" s="384" t="s">
        <v>65</v>
      </c>
      <c r="N5" s="9">
        <v>73.3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96</v>
      </c>
      <c r="G6" s="382"/>
      <c r="H6" s="10">
        <v>157.19999999999999</v>
      </c>
      <c r="I6" s="385"/>
      <c r="J6" s="10">
        <v>171.2</v>
      </c>
      <c r="K6" s="385"/>
      <c r="L6" s="10">
        <v>49.5</v>
      </c>
      <c r="M6" s="385"/>
      <c r="N6" s="10">
        <v>41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295.3</v>
      </c>
      <c r="G7" s="382"/>
      <c r="H7" s="28">
        <v>298.5</v>
      </c>
      <c r="I7" s="385"/>
      <c r="J7" s="28">
        <v>298.60000000000002</v>
      </c>
      <c r="K7" s="385"/>
      <c r="L7" s="28">
        <v>298.60000000000002</v>
      </c>
      <c r="M7" s="385"/>
      <c r="N7" s="28">
        <v>298.7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32.199999999999626</v>
      </c>
      <c r="G8" s="382"/>
      <c r="H8" s="29">
        <v>30.2</v>
      </c>
      <c r="I8" s="385"/>
      <c r="J8" s="29">
        <v>30.999999999999908</v>
      </c>
      <c r="K8" s="385"/>
      <c r="L8" s="29">
        <v>29.199999999999978</v>
      </c>
      <c r="M8" s="385"/>
      <c r="N8" s="29">
        <v>27.900000000000205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16.7</v>
      </c>
      <c r="G9" s="382"/>
      <c r="H9" s="30">
        <v>16.7</v>
      </c>
      <c r="I9" s="385"/>
      <c r="J9" s="30">
        <v>16.7</v>
      </c>
      <c r="K9" s="385"/>
      <c r="L9" s="30">
        <v>16.7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36.6</v>
      </c>
      <c r="G10" s="382"/>
      <c r="H10" s="11">
        <v>37.700000000000003</v>
      </c>
      <c r="I10" s="385"/>
      <c r="J10" s="11">
        <v>40.6</v>
      </c>
      <c r="K10" s="385"/>
      <c r="L10" s="11">
        <v>40.6</v>
      </c>
      <c r="M10" s="385"/>
      <c r="N10" s="11">
        <v>41.7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29.1</v>
      </c>
      <c r="G11" s="382"/>
      <c r="H11" s="12">
        <v>29.2</v>
      </c>
      <c r="I11" s="385"/>
      <c r="J11" s="12">
        <v>28.9</v>
      </c>
      <c r="K11" s="385"/>
      <c r="L11" s="12">
        <v>30</v>
      </c>
      <c r="M11" s="385"/>
      <c r="N11" s="12">
        <v>29.1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837.9</v>
      </c>
      <c r="G12" s="382"/>
      <c r="H12" s="13">
        <v>912.1</v>
      </c>
      <c r="I12" s="385"/>
      <c r="J12" s="13">
        <v>1003.5</v>
      </c>
      <c r="K12" s="385"/>
      <c r="L12" s="13">
        <v>530.29999999999995</v>
      </c>
      <c r="M12" s="385"/>
      <c r="N12" s="13">
        <v>997.1</v>
      </c>
      <c r="O12" s="385"/>
    </row>
    <row r="13" spans="2:15" ht="16">
      <c r="B13" s="376"/>
      <c r="C13" s="379"/>
      <c r="D13" s="388"/>
      <c r="E13" s="45" t="s">
        <v>27</v>
      </c>
      <c r="F13" s="106">
        <v>10.9</v>
      </c>
      <c r="G13" s="382"/>
      <c r="H13" s="13">
        <v>14.2</v>
      </c>
      <c r="I13" s="385"/>
      <c r="J13" s="13">
        <v>6.6</v>
      </c>
      <c r="K13" s="385"/>
      <c r="L13" s="13">
        <v>20.9</v>
      </c>
      <c r="M13" s="385"/>
      <c r="N13" s="13">
        <v>15.3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180.8</v>
      </c>
      <c r="G14" s="382"/>
      <c r="H14" s="14">
        <v>32</v>
      </c>
      <c r="I14" s="385"/>
      <c r="J14" s="14">
        <v>19</v>
      </c>
      <c r="K14" s="385"/>
      <c r="L14" s="14">
        <v>401</v>
      </c>
      <c r="M14" s="385"/>
      <c r="N14" s="14">
        <v>19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1627.8999999999999</v>
      </c>
      <c r="G15" s="382"/>
      <c r="H15" s="15">
        <v>1620.0000000000002</v>
      </c>
      <c r="I15" s="385"/>
      <c r="J15" s="15">
        <v>1708.1</v>
      </c>
      <c r="K15" s="385"/>
      <c r="L15" s="15">
        <v>1491.5</v>
      </c>
      <c r="M15" s="385"/>
      <c r="N15" s="15">
        <v>1559.8000000000002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915</v>
      </c>
      <c r="G16" s="382"/>
      <c r="H16" s="8">
        <v>905</v>
      </c>
      <c r="I16" s="385"/>
      <c r="J16" s="8">
        <v>895</v>
      </c>
      <c r="K16" s="385"/>
      <c r="L16" s="8">
        <v>815</v>
      </c>
      <c r="M16" s="385"/>
      <c r="N16" s="8">
        <v>744.8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-194.6</v>
      </c>
      <c r="G17" s="382"/>
      <c r="H17" s="16">
        <v>-194.6</v>
      </c>
      <c r="I17" s="385"/>
      <c r="J17" s="16">
        <v>-162.1</v>
      </c>
      <c r="K17" s="385"/>
      <c r="L17" s="16">
        <v>-194.6</v>
      </c>
      <c r="M17" s="385"/>
      <c r="N17" s="16">
        <v>-194.6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-4.5</v>
      </c>
      <c r="G18" s="382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-220.6</v>
      </c>
      <c r="G19" s="382"/>
      <c r="H19" s="18">
        <v>-226</v>
      </c>
      <c r="I19" s="385"/>
      <c r="J19" s="18">
        <v>-226</v>
      </c>
      <c r="K19" s="385"/>
      <c r="L19" s="18">
        <v>-182.4</v>
      </c>
      <c r="M19" s="385"/>
      <c r="N19" s="18">
        <v>-153.30000000000001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29.1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1334.6999999999998</v>
      </c>
      <c r="G21" s="383"/>
      <c r="H21" s="27">
        <v>1330.1</v>
      </c>
      <c r="I21" s="386"/>
      <c r="J21" s="27">
        <v>1287.5999999999999</v>
      </c>
      <c r="K21" s="386"/>
      <c r="L21" s="27">
        <v>1167.4000000000001</v>
      </c>
      <c r="M21" s="386"/>
      <c r="N21" s="27">
        <v>1097.2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1627.8999999999999</v>
      </c>
      <c r="G23" s="414"/>
      <c r="H23" s="20">
        <v>1620.0000000000002</v>
      </c>
      <c r="I23" s="400"/>
      <c r="J23" s="20">
        <v>1708.1</v>
      </c>
      <c r="K23" s="400"/>
      <c r="L23" s="20">
        <v>1491.5</v>
      </c>
      <c r="M23" s="400"/>
      <c r="N23" s="20">
        <v>1559.8000000000002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1334.6999999999998</v>
      </c>
      <c r="G24" s="415"/>
      <c r="H24" s="21">
        <v>1330.1</v>
      </c>
      <c r="I24" s="401"/>
      <c r="J24" s="21">
        <v>1287.5999999999999</v>
      </c>
      <c r="K24" s="401"/>
      <c r="L24" s="21">
        <v>1167.4000000000001</v>
      </c>
      <c r="M24" s="401"/>
      <c r="N24" s="21">
        <v>1097.2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293.20000000000005</v>
      </c>
      <c r="G25" s="416"/>
      <c r="H25" s="67">
        <v>289.90000000000032</v>
      </c>
      <c r="I25" s="402"/>
      <c r="J25" s="67">
        <v>420.5</v>
      </c>
      <c r="K25" s="402"/>
      <c r="L25" s="67">
        <v>324.09999999999991</v>
      </c>
      <c r="M25" s="402"/>
      <c r="N25" s="67">
        <v>462.60000000000014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2F23-93DE-44D8-9A28-B316E93B2DD9}">
  <dimension ref="B1:O69"/>
  <sheetViews>
    <sheetView showGridLines="0" view="pageBreakPreview" zoomScale="70" zoomScaleNormal="70" zoomScaleSheetLayoutView="70" zoomScalePageLayoutView="70" workbookViewId="0">
      <selection activeCell="C41" sqref="C41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45809</v>
      </c>
      <c r="G3" s="96" t="s">
        <v>49</v>
      </c>
      <c r="H3" s="95">
        <v>45812</v>
      </c>
      <c r="I3" s="96" t="s">
        <v>49</v>
      </c>
      <c r="J3" s="25">
        <v>45813</v>
      </c>
      <c r="K3" s="96" t="s">
        <v>48</v>
      </c>
      <c r="L3" s="25">
        <v>45814</v>
      </c>
      <c r="M3" s="96" t="s">
        <v>48</v>
      </c>
      <c r="N3" s="25">
        <v>45825</v>
      </c>
      <c r="O3" s="96" t="s">
        <v>48</v>
      </c>
    </row>
    <row r="4" spans="2:15" ht="16.5" thickBot="1">
      <c r="B4" s="31"/>
      <c r="C4" s="4"/>
      <c r="D4" s="4"/>
      <c r="E4" s="4"/>
      <c r="F4" s="97" t="s">
        <v>69</v>
      </c>
      <c r="G4" s="98" t="s">
        <v>44</v>
      </c>
      <c r="H4" s="6" t="s">
        <v>69</v>
      </c>
      <c r="I4" s="7" t="s">
        <v>44</v>
      </c>
      <c r="J4" s="6" t="s">
        <v>69</v>
      </c>
      <c r="K4" s="7" t="s">
        <v>44</v>
      </c>
      <c r="L4" s="6" t="s">
        <v>69</v>
      </c>
      <c r="M4" s="7" t="s">
        <v>44</v>
      </c>
      <c r="N4" s="6" t="s">
        <v>69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74.099999999999994</v>
      </c>
      <c r="G5" s="381" t="s">
        <v>45</v>
      </c>
      <c r="H5" s="9">
        <v>92.7</v>
      </c>
      <c r="I5" s="384" t="s">
        <v>65</v>
      </c>
      <c r="J5" s="9">
        <v>78.3</v>
      </c>
      <c r="K5" s="384" t="s">
        <v>45</v>
      </c>
      <c r="L5" s="9">
        <v>78.5</v>
      </c>
      <c r="M5" s="384" t="s">
        <v>65</v>
      </c>
      <c r="N5" s="9">
        <v>83.1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58.1</v>
      </c>
      <c r="G6" s="382"/>
      <c r="H6" s="10">
        <v>66.2</v>
      </c>
      <c r="I6" s="385"/>
      <c r="J6" s="10">
        <v>68.5</v>
      </c>
      <c r="K6" s="385"/>
      <c r="L6" s="10">
        <v>68.2</v>
      </c>
      <c r="M6" s="385"/>
      <c r="N6" s="10">
        <v>74.5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297.39999999999998</v>
      </c>
      <c r="G7" s="382"/>
      <c r="H7" s="28">
        <v>291.5</v>
      </c>
      <c r="I7" s="385"/>
      <c r="J7" s="28">
        <v>297.2</v>
      </c>
      <c r="K7" s="385"/>
      <c r="L7" s="28">
        <v>297.5</v>
      </c>
      <c r="M7" s="385"/>
      <c r="N7" s="28">
        <v>352.8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64.599999999999994</v>
      </c>
      <c r="G8" s="382"/>
      <c r="H8" s="29">
        <v>63.9</v>
      </c>
      <c r="I8" s="385"/>
      <c r="J8" s="29">
        <v>42</v>
      </c>
      <c r="K8" s="385"/>
      <c r="L8" s="29">
        <v>40</v>
      </c>
      <c r="M8" s="385"/>
      <c r="N8" s="29">
        <v>106.30000000000005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14.5</v>
      </c>
      <c r="G9" s="382"/>
      <c r="H9" s="30">
        <v>14.5</v>
      </c>
      <c r="I9" s="385"/>
      <c r="J9" s="30">
        <v>14.5</v>
      </c>
      <c r="K9" s="385"/>
      <c r="L9" s="30">
        <v>14.5</v>
      </c>
      <c r="M9" s="385"/>
      <c r="N9" s="30">
        <v>16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40.1</v>
      </c>
      <c r="G10" s="382"/>
      <c r="H10" s="11">
        <v>38.6</v>
      </c>
      <c r="I10" s="385"/>
      <c r="J10" s="11">
        <v>35</v>
      </c>
      <c r="K10" s="385"/>
      <c r="L10" s="11">
        <v>33.1</v>
      </c>
      <c r="M10" s="385"/>
      <c r="N10" s="11">
        <v>31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25.4</v>
      </c>
      <c r="G11" s="382"/>
      <c r="H11" s="12">
        <v>25.1</v>
      </c>
      <c r="I11" s="385"/>
      <c r="J11" s="12">
        <v>27.2</v>
      </c>
      <c r="K11" s="385"/>
      <c r="L11" s="12">
        <v>27.7</v>
      </c>
      <c r="M11" s="385"/>
      <c r="N11" s="12">
        <v>27.1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961.3</v>
      </c>
      <c r="G12" s="382"/>
      <c r="H12" s="13">
        <v>964.6</v>
      </c>
      <c r="I12" s="385"/>
      <c r="J12" s="13">
        <v>956.8</v>
      </c>
      <c r="K12" s="385"/>
      <c r="L12" s="13">
        <v>797.3</v>
      </c>
      <c r="M12" s="385"/>
      <c r="N12" s="13">
        <v>808.3</v>
      </c>
      <c r="O12" s="385"/>
    </row>
    <row r="13" spans="2:15" ht="16">
      <c r="B13" s="376"/>
      <c r="C13" s="379"/>
      <c r="D13" s="388"/>
      <c r="E13" s="45" t="s">
        <v>27</v>
      </c>
      <c r="F13" s="106">
        <v>3.5</v>
      </c>
      <c r="G13" s="382"/>
      <c r="H13" s="13">
        <v>11</v>
      </c>
      <c r="I13" s="385"/>
      <c r="J13" s="13">
        <v>4.0999999999999996</v>
      </c>
      <c r="K13" s="385"/>
      <c r="L13" s="13">
        <v>2.8</v>
      </c>
      <c r="M13" s="385"/>
      <c r="N13" s="13">
        <v>11.8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15</v>
      </c>
      <c r="G14" s="382"/>
      <c r="H14" s="14">
        <v>15</v>
      </c>
      <c r="I14" s="385"/>
      <c r="J14" s="14">
        <v>15</v>
      </c>
      <c r="K14" s="385"/>
      <c r="L14" s="14">
        <v>163.19999999999999</v>
      </c>
      <c r="M14" s="385"/>
      <c r="N14" s="14">
        <v>152.19999999999999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1554</v>
      </c>
      <c r="G15" s="382"/>
      <c r="H15" s="15">
        <v>1583.1</v>
      </c>
      <c r="I15" s="385"/>
      <c r="J15" s="15">
        <v>1538.6</v>
      </c>
      <c r="K15" s="385"/>
      <c r="L15" s="15">
        <v>1522.8</v>
      </c>
      <c r="M15" s="385"/>
      <c r="N15" s="15">
        <v>1663.1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785</v>
      </c>
      <c r="G16" s="382"/>
      <c r="H16" s="8">
        <v>1003.9</v>
      </c>
      <c r="I16" s="385"/>
      <c r="J16" s="8">
        <v>995</v>
      </c>
      <c r="K16" s="385"/>
      <c r="L16" s="8">
        <v>1005</v>
      </c>
      <c r="M16" s="385"/>
      <c r="N16" s="8">
        <v>1235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-159.1</v>
      </c>
      <c r="G17" s="382"/>
      <c r="H17" s="16">
        <v>-91.1</v>
      </c>
      <c r="I17" s="385"/>
      <c r="J17" s="16">
        <v>-159.1</v>
      </c>
      <c r="K17" s="385"/>
      <c r="L17" s="16">
        <v>-227.1</v>
      </c>
      <c r="M17" s="385"/>
      <c r="N17" s="16">
        <v>-160.6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-4.4000000000000004</v>
      </c>
      <c r="G18" s="382"/>
      <c r="H18" s="17">
        <v>-4.4000000000000004</v>
      </c>
      <c r="I18" s="385"/>
      <c r="J18" s="17">
        <v>-4.4000000000000004</v>
      </c>
      <c r="K18" s="385"/>
      <c r="L18" s="17">
        <v>-4.4000000000000004</v>
      </c>
      <c r="M18" s="385"/>
      <c r="N18" s="17">
        <v>-4.7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-177.7</v>
      </c>
      <c r="G19" s="382"/>
      <c r="H19" s="18">
        <v>-187.7</v>
      </c>
      <c r="I19" s="385"/>
      <c r="J19" s="18">
        <v>-182.6</v>
      </c>
      <c r="K19" s="385"/>
      <c r="L19" s="18">
        <v>-182.6</v>
      </c>
      <c r="M19" s="385"/>
      <c r="N19" s="18">
        <v>-280.89999999999998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30.9</v>
      </c>
      <c r="I20" s="385"/>
      <c r="J20" s="19">
        <v>13.2</v>
      </c>
      <c r="K20" s="385"/>
      <c r="L20" s="19">
        <v>0</v>
      </c>
      <c r="M20" s="385"/>
      <c r="N20" s="19">
        <v>96.8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1126.2</v>
      </c>
      <c r="G21" s="383"/>
      <c r="H21" s="27">
        <v>1256.2</v>
      </c>
      <c r="I21" s="386"/>
      <c r="J21" s="27">
        <v>1327.8999999999999</v>
      </c>
      <c r="K21" s="386"/>
      <c r="L21" s="27">
        <v>1419.1</v>
      </c>
      <c r="M21" s="386"/>
      <c r="N21" s="27">
        <v>1584.3999999999999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1554</v>
      </c>
      <c r="G23" s="414"/>
      <c r="H23" s="20">
        <v>1583.1</v>
      </c>
      <c r="I23" s="400"/>
      <c r="J23" s="20">
        <v>1538.6</v>
      </c>
      <c r="K23" s="400"/>
      <c r="L23" s="20">
        <v>1522.8</v>
      </c>
      <c r="M23" s="400"/>
      <c r="N23" s="20">
        <v>1663.1</v>
      </c>
      <c r="O23" s="400"/>
    </row>
    <row r="24" spans="2:15" ht="16">
      <c r="B24" s="409"/>
      <c r="C24" s="403" t="s">
        <v>37</v>
      </c>
      <c r="D24" s="404"/>
      <c r="E24" s="405"/>
      <c r="F24" s="21">
        <v>1126.2</v>
      </c>
      <c r="G24" s="415"/>
      <c r="H24" s="21">
        <v>1256.2</v>
      </c>
      <c r="I24" s="401"/>
      <c r="J24" s="21">
        <v>1327.8999999999999</v>
      </c>
      <c r="K24" s="401"/>
      <c r="L24" s="21">
        <v>1419.1</v>
      </c>
      <c r="M24" s="401"/>
      <c r="N24" s="21">
        <v>1584.3999999999999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427.79999999999995</v>
      </c>
      <c r="G25" s="416"/>
      <c r="H25" s="67">
        <v>326.89999999999986</v>
      </c>
      <c r="I25" s="402"/>
      <c r="J25" s="67">
        <v>210.70000000000005</v>
      </c>
      <c r="K25" s="402"/>
      <c r="L25" s="67">
        <v>103.70000000000005</v>
      </c>
      <c r="M25" s="402"/>
      <c r="N25" s="67">
        <v>78.700000000000045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日別の需給状況・再エネ出力抑制の必要性（2025年6月）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680C-B584-42FC-82B9-04077D91D8E5}">
  <dimension ref="B1:O69"/>
  <sheetViews>
    <sheetView showGridLines="0" view="pageBreakPreview" zoomScale="70" zoomScaleNormal="70" zoomScaleSheetLayoutView="70" zoomScalePageLayoutView="85" workbookViewId="0">
      <selection activeCell="C39" sqref="C39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1" ht="15.5" thickBot="1">
      <c r="I1" s="32"/>
      <c r="K1" s="32" t="s">
        <v>57</v>
      </c>
    </row>
    <row r="2" spans="2:11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</row>
    <row r="3" spans="2:11" ht="16.5" thickBot="1">
      <c r="B3" s="3"/>
      <c r="C3" s="372" t="s">
        <v>3</v>
      </c>
      <c r="D3" s="373"/>
      <c r="E3" s="374"/>
      <c r="F3" s="95">
        <v>45827</v>
      </c>
      <c r="G3" s="96" t="s">
        <v>48</v>
      </c>
      <c r="H3" s="25">
        <v>45836</v>
      </c>
      <c r="I3" s="96" t="s">
        <v>49</v>
      </c>
      <c r="J3" s="25">
        <v>45837</v>
      </c>
      <c r="K3" s="96" t="s">
        <v>54</v>
      </c>
    </row>
    <row r="4" spans="2:11" ht="16.5" thickBot="1">
      <c r="B4" s="31"/>
      <c r="C4" s="4"/>
      <c r="D4" s="4"/>
      <c r="E4" s="4"/>
      <c r="F4" s="5" t="s">
        <v>69</v>
      </c>
      <c r="G4" s="7" t="s">
        <v>44</v>
      </c>
      <c r="H4" s="6" t="s">
        <v>69</v>
      </c>
      <c r="I4" s="7" t="s">
        <v>44</v>
      </c>
      <c r="J4" s="6" t="s">
        <v>69</v>
      </c>
      <c r="K4" s="7" t="s">
        <v>44</v>
      </c>
    </row>
    <row r="5" spans="2:11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115.9</v>
      </c>
      <c r="G5" s="384" t="s">
        <v>45</v>
      </c>
      <c r="H5" s="9">
        <v>89.5</v>
      </c>
      <c r="I5" s="384" t="s">
        <v>45</v>
      </c>
      <c r="J5" s="9">
        <v>89</v>
      </c>
      <c r="K5" s="384" t="s">
        <v>45</v>
      </c>
    </row>
    <row r="6" spans="2:11" ht="16">
      <c r="B6" s="376"/>
      <c r="C6" s="379"/>
      <c r="D6" s="34" t="s">
        <v>12</v>
      </c>
      <c r="E6" s="89" t="s">
        <v>47</v>
      </c>
      <c r="F6" s="10">
        <v>80.8</v>
      </c>
      <c r="G6" s="385"/>
      <c r="H6" s="10">
        <v>80.400000000000006</v>
      </c>
      <c r="I6" s="385"/>
      <c r="J6" s="10">
        <v>77</v>
      </c>
      <c r="K6" s="385"/>
    </row>
    <row r="7" spans="2:11" ht="16">
      <c r="B7" s="376"/>
      <c r="C7" s="379"/>
      <c r="D7" s="35" t="s">
        <v>13</v>
      </c>
      <c r="E7" s="36" t="s">
        <v>5</v>
      </c>
      <c r="F7" s="28">
        <v>408.9</v>
      </c>
      <c r="G7" s="385"/>
      <c r="H7" s="28">
        <v>411</v>
      </c>
      <c r="I7" s="385"/>
      <c r="J7" s="28">
        <v>410.9</v>
      </c>
      <c r="K7" s="385"/>
    </row>
    <row r="8" spans="2:11" ht="16">
      <c r="B8" s="376"/>
      <c r="C8" s="379"/>
      <c r="D8" s="37" t="s">
        <v>14</v>
      </c>
      <c r="E8" s="38" t="s">
        <v>6</v>
      </c>
      <c r="F8" s="29">
        <v>100.00000000000037</v>
      </c>
      <c r="G8" s="385"/>
      <c r="H8" s="29">
        <v>44.999999999999631</v>
      </c>
      <c r="I8" s="385"/>
      <c r="J8" s="29">
        <v>44.200000000000131</v>
      </c>
      <c r="K8" s="385"/>
    </row>
    <row r="9" spans="2:11" ht="16">
      <c r="B9" s="376"/>
      <c r="C9" s="379"/>
      <c r="D9" s="39" t="s">
        <v>15</v>
      </c>
      <c r="E9" s="40" t="s">
        <v>7</v>
      </c>
      <c r="F9" s="30">
        <v>8.5</v>
      </c>
      <c r="G9" s="385"/>
      <c r="H9" s="30">
        <v>16.2</v>
      </c>
      <c r="I9" s="385"/>
      <c r="J9" s="30">
        <v>16.2</v>
      </c>
      <c r="K9" s="385"/>
    </row>
    <row r="10" spans="2:11" ht="16">
      <c r="B10" s="376"/>
      <c r="C10" s="379"/>
      <c r="D10" s="41" t="s">
        <v>17</v>
      </c>
      <c r="E10" s="42" t="s">
        <v>1</v>
      </c>
      <c r="F10" s="11">
        <v>30.9</v>
      </c>
      <c r="G10" s="385"/>
      <c r="H10" s="11">
        <v>35.6</v>
      </c>
      <c r="I10" s="385"/>
      <c r="J10" s="11">
        <v>35.6</v>
      </c>
      <c r="K10" s="385"/>
    </row>
    <row r="11" spans="2:11" ht="16">
      <c r="B11" s="376"/>
      <c r="C11" s="379"/>
      <c r="D11" s="43" t="s">
        <v>16</v>
      </c>
      <c r="E11" s="44" t="s">
        <v>2</v>
      </c>
      <c r="F11" s="12">
        <v>27.3</v>
      </c>
      <c r="G11" s="385"/>
      <c r="H11" s="12">
        <v>28.6</v>
      </c>
      <c r="I11" s="385"/>
      <c r="J11" s="12">
        <v>28.3</v>
      </c>
      <c r="K11" s="385"/>
    </row>
    <row r="12" spans="2:11" ht="16">
      <c r="B12" s="376"/>
      <c r="C12" s="379"/>
      <c r="D12" s="387" t="s">
        <v>18</v>
      </c>
      <c r="E12" s="45" t="s">
        <v>26</v>
      </c>
      <c r="F12" s="13">
        <v>840.5</v>
      </c>
      <c r="G12" s="385"/>
      <c r="H12" s="13">
        <v>906.6</v>
      </c>
      <c r="I12" s="385"/>
      <c r="J12" s="13">
        <v>897</v>
      </c>
      <c r="K12" s="385"/>
    </row>
    <row r="13" spans="2:11" ht="16">
      <c r="B13" s="376"/>
      <c r="C13" s="379"/>
      <c r="D13" s="388"/>
      <c r="E13" s="45" t="s">
        <v>27</v>
      </c>
      <c r="F13" s="13">
        <v>3.2</v>
      </c>
      <c r="G13" s="385"/>
      <c r="H13" s="13">
        <v>5.7</v>
      </c>
      <c r="I13" s="385"/>
      <c r="J13" s="13">
        <v>3.6</v>
      </c>
      <c r="K13" s="385"/>
    </row>
    <row r="14" spans="2:11" ht="16">
      <c r="B14" s="376"/>
      <c r="C14" s="379"/>
      <c r="D14" s="46" t="s">
        <v>19</v>
      </c>
      <c r="E14" s="47" t="s">
        <v>4</v>
      </c>
      <c r="F14" s="14">
        <v>95</v>
      </c>
      <c r="G14" s="385"/>
      <c r="H14" s="14">
        <v>35.4</v>
      </c>
      <c r="I14" s="385"/>
      <c r="J14" s="14">
        <v>23.5</v>
      </c>
      <c r="K14" s="385"/>
    </row>
    <row r="15" spans="2:11" ht="16.5" thickBot="1">
      <c r="B15" s="376"/>
      <c r="C15" s="380"/>
      <c r="D15" s="389" t="s">
        <v>28</v>
      </c>
      <c r="E15" s="390"/>
      <c r="F15" s="15">
        <v>1711.0000000000002</v>
      </c>
      <c r="G15" s="385"/>
      <c r="H15" s="15">
        <v>1653.9999999999998</v>
      </c>
      <c r="I15" s="385"/>
      <c r="J15" s="15">
        <v>1625.3000000000002</v>
      </c>
      <c r="K15" s="385"/>
    </row>
    <row r="16" spans="2:11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1255</v>
      </c>
      <c r="G16" s="385"/>
      <c r="H16" s="8">
        <v>1165</v>
      </c>
      <c r="I16" s="385"/>
      <c r="J16" s="8">
        <v>1137.7</v>
      </c>
      <c r="K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-193.1</v>
      </c>
      <c r="G17" s="385"/>
      <c r="H17" s="16">
        <v>-227.1</v>
      </c>
      <c r="I17" s="385"/>
      <c r="J17" s="16">
        <v>-227.1</v>
      </c>
      <c r="K17" s="385"/>
    </row>
    <row r="18" spans="2:15" ht="16.5" thickBot="1">
      <c r="B18" s="376"/>
      <c r="C18" s="392"/>
      <c r="D18" s="395"/>
      <c r="E18" s="51" t="s">
        <v>31</v>
      </c>
      <c r="F18" s="17">
        <v>-4.7</v>
      </c>
      <c r="G18" s="385"/>
      <c r="H18" s="17">
        <v>-4.2</v>
      </c>
      <c r="I18" s="385"/>
      <c r="J18" s="17">
        <v>-4.2</v>
      </c>
      <c r="K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-217.9</v>
      </c>
      <c r="G19" s="385"/>
      <c r="H19" s="18">
        <v>-193</v>
      </c>
      <c r="I19" s="385"/>
      <c r="J19" s="18">
        <v>-190</v>
      </c>
      <c r="K19" s="385"/>
    </row>
    <row r="20" spans="2:15" ht="16.5" thickBot="1">
      <c r="B20" s="376"/>
      <c r="C20" s="392"/>
      <c r="D20" s="397"/>
      <c r="E20" s="53" t="s">
        <v>33</v>
      </c>
      <c r="F20" s="19">
        <v>19.100000000000001</v>
      </c>
      <c r="G20" s="385"/>
      <c r="H20" s="19">
        <v>9.9</v>
      </c>
      <c r="I20" s="385"/>
      <c r="J20" s="19">
        <v>0</v>
      </c>
      <c r="K20" s="385"/>
    </row>
    <row r="21" spans="2:15" ht="16.5" thickBot="1">
      <c r="B21" s="377"/>
      <c r="C21" s="393"/>
      <c r="D21" s="398" t="s">
        <v>34</v>
      </c>
      <c r="E21" s="399"/>
      <c r="F21" s="27">
        <v>1651.6000000000001</v>
      </c>
      <c r="G21" s="386"/>
      <c r="H21" s="27">
        <v>1579.3999999999999</v>
      </c>
      <c r="I21" s="386"/>
      <c r="J21" s="27">
        <v>1559</v>
      </c>
      <c r="K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1711.0000000000002</v>
      </c>
      <c r="G23" s="400"/>
      <c r="H23" s="20">
        <v>1653.9999999999998</v>
      </c>
      <c r="I23" s="400"/>
      <c r="J23" s="20">
        <v>1625.3000000000002</v>
      </c>
      <c r="K23" s="400"/>
    </row>
    <row r="24" spans="2:15" ht="16">
      <c r="B24" s="409"/>
      <c r="C24" s="403" t="s">
        <v>37</v>
      </c>
      <c r="D24" s="404"/>
      <c r="E24" s="405"/>
      <c r="F24" s="21">
        <v>1651.6000000000001</v>
      </c>
      <c r="G24" s="401"/>
      <c r="H24" s="21">
        <v>1579.3999999999999</v>
      </c>
      <c r="I24" s="401"/>
      <c r="J24" s="21">
        <v>1559</v>
      </c>
      <c r="K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59.400000000000091</v>
      </c>
      <c r="G25" s="402"/>
      <c r="H25" s="67">
        <v>74.599999999999909</v>
      </c>
      <c r="I25" s="402"/>
      <c r="J25" s="67">
        <v>66.300000000000182</v>
      </c>
      <c r="K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3">
    <mergeCell ref="B23:B25"/>
    <mergeCell ref="C23:E23"/>
    <mergeCell ref="G23:G25"/>
    <mergeCell ref="I23:I25"/>
    <mergeCell ref="K23:K25"/>
    <mergeCell ref="C24:E24"/>
    <mergeCell ref="D25:E25"/>
    <mergeCell ref="C2:E2"/>
    <mergeCell ref="F2:G2"/>
    <mergeCell ref="H2:I2"/>
    <mergeCell ref="J2:K2"/>
    <mergeCell ref="C3:E3"/>
    <mergeCell ref="B5:B21"/>
    <mergeCell ref="C5:C15"/>
    <mergeCell ref="G5:G21"/>
    <mergeCell ref="I5:I21"/>
    <mergeCell ref="K5:K21"/>
    <mergeCell ref="D12:D13"/>
    <mergeCell ref="D15:E15"/>
    <mergeCell ref="C16:C21"/>
    <mergeCell ref="D17:D18"/>
    <mergeCell ref="D19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日別の需給状況・再エネ出力抑制の必要性（2025年6月）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0E16-E195-4D97-8E24-348E0A378E8B}">
  <dimension ref="A1:Z57"/>
  <sheetViews>
    <sheetView showGridLines="0" view="pageBreakPreview" zoomScale="70" zoomScaleNormal="55" zoomScaleSheetLayoutView="70" zoomScalePageLayoutView="70" workbookViewId="0">
      <selection activeCell="F45" sqref="F45:I45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6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6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6" ht="17" thickTop="1" thickBot="1">
      <c r="C3" s="435" t="s">
        <v>142</v>
      </c>
      <c r="D3" s="436"/>
      <c r="E3" s="437"/>
      <c r="F3" s="417">
        <v>45809</v>
      </c>
      <c r="G3" s="418"/>
      <c r="H3" s="418"/>
      <c r="I3" s="419"/>
      <c r="J3" s="417">
        <v>45812</v>
      </c>
      <c r="K3" s="418"/>
      <c r="L3" s="418"/>
      <c r="M3" s="419"/>
      <c r="N3" s="417">
        <v>45813</v>
      </c>
      <c r="O3" s="418"/>
      <c r="P3" s="418"/>
      <c r="Q3" s="419"/>
      <c r="R3" s="417">
        <v>45814</v>
      </c>
      <c r="S3" s="418"/>
      <c r="T3" s="418"/>
      <c r="U3" s="419"/>
      <c r="V3" s="417">
        <v>45825</v>
      </c>
      <c r="W3" s="418"/>
      <c r="X3" s="418"/>
      <c r="Y3" s="420"/>
      <c r="Z3" s="261"/>
    </row>
    <row r="4" spans="3:26" ht="16.149999999999999" customHeight="1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212</v>
      </c>
      <c r="W4" s="181" t="s">
        <v>162</v>
      </c>
      <c r="X4" s="180" t="s">
        <v>161</v>
      </c>
      <c r="Y4" s="262" t="s">
        <v>166</v>
      </c>
      <c r="Z4" s="261"/>
    </row>
    <row r="5" spans="3:26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 t="shared" ref="H5:H8" si="0">SUM(G5,-F5)</f>
        <v>0</v>
      </c>
      <c r="I5" s="219"/>
      <c r="J5" s="166">
        <v>12.4</v>
      </c>
      <c r="K5" s="165">
        <v>12.4</v>
      </c>
      <c r="L5" s="164">
        <f t="shared" ref="L5:L8" si="1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  <c r="Z5" s="261"/>
    </row>
    <row r="6" spans="3:26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  <c r="Z6" s="261"/>
    </row>
    <row r="7" spans="3:26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8.4</v>
      </c>
      <c r="K7" s="165">
        <v>14.2</v>
      </c>
      <c r="L7" s="164">
        <f t="shared" si="1"/>
        <v>5.7999999999999989</v>
      </c>
      <c r="M7" s="219" t="s">
        <v>148</v>
      </c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  <c r="Z7" s="261"/>
    </row>
    <row r="8" spans="3:26" ht="16">
      <c r="C8" s="423"/>
      <c r="D8" s="426"/>
      <c r="E8" s="218" t="s">
        <v>133</v>
      </c>
      <c r="F8" s="217">
        <v>52.900000000000006</v>
      </c>
      <c r="G8" s="216">
        <v>52.900000000000006</v>
      </c>
      <c r="H8" s="215">
        <f t="shared" si="0"/>
        <v>0</v>
      </c>
      <c r="I8" s="214"/>
      <c r="J8" s="217">
        <v>57.300000000000004</v>
      </c>
      <c r="K8" s="216">
        <v>57.300000000000004</v>
      </c>
      <c r="L8" s="215">
        <f t="shared" si="1"/>
        <v>0</v>
      </c>
      <c r="M8" s="214"/>
      <c r="N8" s="217">
        <v>57.1</v>
      </c>
      <c r="O8" s="216">
        <v>57.1</v>
      </c>
      <c r="P8" s="215">
        <f>SUM(O8,-N8)</f>
        <v>0</v>
      </c>
      <c r="Q8" s="189"/>
      <c r="R8" s="217">
        <v>57.300000000000004</v>
      </c>
      <c r="S8" s="216">
        <v>57.300000000000004</v>
      </c>
      <c r="T8" s="215">
        <f>SUM(S8,-R8)</f>
        <v>0</v>
      </c>
      <c r="U8" s="189"/>
      <c r="V8" s="217">
        <v>61.900000000000006</v>
      </c>
      <c r="W8" s="216">
        <v>61.900000000000006</v>
      </c>
      <c r="X8" s="215">
        <f>SUM(W8,-V8)</f>
        <v>0</v>
      </c>
      <c r="Y8" s="264"/>
      <c r="Z8" s="261"/>
    </row>
    <row r="9" spans="3:26" ht="16.5" thickBot="1">
      <c r="C9" s="424"/>
      <c r="D9" s="427" t="s">
        <v>101</v>
      </c>
      <c r="E9" s="428"/>
      <c r="F9" s="188">
        <f t="shared" ref="F9:H9" si="5">SUM(F5:F8)</f>
        <v>74.100000000000009</v>
      </c>
      <c r="G9" s="187">
        <f t="shared" si="5"/>
        <v>74.100000000000009</v>
      </c>
      <c r="H9" s="187">
        <f t="shared" si="5"/>
        <v>0</v>
      </c>
      <c r="I9" s="213" t="s">
        <v>159</v>
      </c>
      <c r="J9" s="188">
        <f>SUM(J5:J8)</f>
        <v>86.9</v>
      </c>
      <c r="K9" s="187">
        <f>SUM(K5:K8)</f>
        <v>92.700000000000017</v>
      </c>
      <c r="L9" s="187">
        <f t="shared" ref="L9" si="6">SUM(L5:L8)</f>
        <v>5.7999999999999989</v>
      </c>
      <c r="M9" s="213" t="s">
        <v>159</v>
      </c>
      <c r="N9" s="188">
        <f>SUM(N5:N8)</f>
        <v>78.300000000000011</v>
      </c>
      <c r="O9" s="187">
        <f>SUM(O5:O8)</f>
        <v>78.300000000000011</v>
      </c>
      <c r="P9" s="187">
        <f>SUM(P5:P8)</f>
        <v>0</v>
      </c>
      <c r="Q9" s="213" t="s">
        <v>159</v>
      </c>
      <c r="R9" s="188">
        <f>SUM(R5:R8)</f>
        <v>78.5</v>
      </c>
      <c r="S9" s="187">
        <f>SUM(S5:S8)</f>
        <v>78.5</v>
      </c>
      <c r="T9" s="187">
        <f>SUM(T5:T8)</f>
        <v>0</v>
      </c>
      <c r="U9" s="213" t="s">
        <v>159</v>
      </c>
      <c r="V9" s="188">
        <f>SUM(V5:V8)</f>
        <v>83.100000000000009</v>
      </c>
      <c r="W9" s="187">
        <f>SUM(W5:W8)</f>
        <v>83.100000000000009</v>
      </c>
      <c r="X9" s="187">
        <f>SUM(X5:X8)</f>
        <v>0</v>
      </c>
      <c r="Y9" s="265" t="s">
        <v>159</v>
      </c>
      <c r="Z9" s="261"/>
    </row>
    <row r="10" spans="3:26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  <c r="Z10" s="261"/>
    </row>
    <row r="11" spans="3:26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  <c r="Z11" s="261"/>
    </row>
    <row r="12" spans="3:26" ht="16.149999999999999" customHeight="1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  <c r="Z12" s="261"/>
    </row>
    <row r="13" spans="3:26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  <c r="Z13" s="261"/>
    </row>
    <row r="14" spans="3:26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  <c r="Z14" s="261"/>
    </row>
    <row r="15" spans="3:26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2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0</v>
      </c>
      <c r="X15" s="164">
        <f t="shared" si="11"/>
        <v>32.5</v>
      </c>
      <c r="Y15" s="267" t="s">
        <v>145</v>
      </c>
      <c r="Z15" s="261"/>
    </row>
    <row r="16" spans="3:26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2"/>
      <c r="J16" s="166">
        <v>-32.5</v>
      </c>
      <c r="K16" s="165">
        <v>-32.5</v>
      </c>
      <c r="L16" s="164">
        <f t="shared" si="8"/>
        <v>0</v>
      </c>
      <c r="M16" s="189"/>
      <c r="N16" s="166">
        <v>-32.5</v>
      </c>
      <c r="O16" s="165">
        <v>-32.5</v>
      </c>
      <c r="P16" s="164">
        <f t="shared" si="9"/>
        <v>0</v>
      </c>
      <c r="Q16" s="189"/>
      <c r="R16" s="166">
        <v>-32.5</v>
      </c>
      <c r="S16" s="165">
        <v>-32.5</v>
      </c>
      <c r="T16" s="164">
        <f t="shared" si="10"/>
        <v>0</v>
      </c>
      <c r="U16" s="189"/>
      <c r="V16" s="166">
        <v>-32.5</v>
      </c>
      <c r="W16" s="165">
        <v>-32.5</v>
      </c>
      <c r="X16" s="164">
        <f t="shared" si="11"/>
        <v>0</v>
      </c>
      <c r="Y16" s="267"/>
      <c r="Z16" s="261"/>
    </row>
    <row r="17" spans="3:26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7"/>
        <v>0</v>
      </c>
      <c r="I17" s="232"/>
      <c r="J17" s="166">
        <v>-34</v>
      </c>
      <c r="K17" s="165">
        <v>0</v>
      </c>
      <c r="L17" s="164">
        <f t="shared" si="8"/>
        <v>34</v>
      </c>
      <c r="M17" s="189" t="s">
        <v>145</v>
      </c>
      <c r="N17" s="166">
        <v>-34</v>
      </c>
      <c r="O17" s="165">
        <v>-34</v>
      </c>
      <c r="P17" s="164">
        <f t="shared" si="9"/>
        <v>0</v>
      </c>
      <c r="Q17" s="189"/>
      <c r="R17" s="166">
        <v>-34</v>
      </c>
      <c r="S17" s="165">
        <v>-34</v>
      </c>
      <c r="T17" s="164">
        <f t="shared" si="10"/>
        <v>0</v>
      </c>
      <c r="U17" s="189"/>
      <c r="V17" s="166">
        <v>-34</v>
      </c>
      <c r="W17" s="165">
        <v>-34</v>
      </c>
      <c r="X17" s="164">
        <f t="shared" si="11"/>
        <v>0</v>
      </c>
      <c r="Y17" s="267"/>
      <c r="Z17" s="261"/>
    </row>
    <row r="18" spans="3:26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0</v>
      </c>
      <c r="L18" s="164">
        <f t="shared" si="8"/>
        <v>34</v>
      </c>
      <c r="M18" s="189" t="s">
        <v>145</v>
      </c>
      <c r="N18" s="166">
        <v>-34</v>
      </c>
      <c r="O18" s="165">
        <v>-34</v>
      </c>
      <c r="P18" s="164">
        <f t="shared" si="9"/>
        <v>0</v>
      </c>
      <c r="Q18" s="189"/>
      <c r="R18" s="166">
        <v>-34</v>
      </c>
      <c r="S18" s="165">
        <v>-34</v>
      </c>
      <c r="T18" s="164">
        <f t="shared" si="10"/>
        <v>0</v>
      </c>
      <c r="U18" s="189"/>
      <c r="V18" s="166">
        <v>-34</v>
      </c>
      <c r="W18" s="165">
        <v>-34</v>
      </c>
      <c r="X18" s="164">
        <f t="shared" si="11"/>
        <v>0</v>
      </c>
      <c r="Y18" s="267"/>
      <c r="Z18" s="261"/>
    </row>
    <row r="19" spans="3:26" ht="16">
      <c r="C19" s="440"/>
      <c r="D19" s="443"/>
      <c r="E19" s="211" t="s">
        <v>122</v>
      </c>
      <c r="F19" s="166">
        <v>-34</v>
      </c>
      <c r="G19" s="165">
        <v>0</v>
      </c>
      <c r="H19" s="164">
        <f t="shared" si="7"/>
        <v>34</v>
      </c>
      <c r="I19" s="232" t="s">
        <v>149</v>
      </c>
      <c r="J19" s="166">
        <v>-34</v>
      </c>
      <c r="K19" s="165">
        <v>0</v>
      </c>
      <c r="L19" s="164">
        <f t="shared" si="8"/>
        <v>34</v>
      </c>
      <c r="M19" s="189" t="s">
        <v>145</v>
      </c>
      <c r="N19" s="166">
        <v>-34</v>
      </c>
      <c r="O19" s="165">
        <v>0</v>
      </c>
      <c r="P19" s="164">
        <f t="shared" si="9"/>
        <v>34</v>
      </c>
      <c r="Q19" s="189" t="s">
        <v>149</v>
      </c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  <c r="Z19" s="261"/>
    </row>
    <row r="20" spans="3:26" ht="16">
      <c r="C20" s="440"/>
      <c r="D20" s="442"/>
      <c r="E20" s="211" t="s">
        <v>121</v>
      </c>
      <c r="F20" s="166">
        <v>-34</v>
      </c>
      <c r="G20" s="165">
        <v>0</v>
      </c>
      <c r="H20" s="164">
        <f t="shared" si="7"/>
        <v>34</v>
      </c>
      <c r="I20" s="232" t="s">
        <v>149</v>
      </c>
      <c r="J20" s="166">
        <v>-34</v>
      </c>
      <c r="K20" s="165">
        <v>0</v>
      </c>
      <c r="L20" s="164">
        <f t="shared" si="8"/>
        <v>34</v>
      </c>
      <c r="M20" s="189" t="s">
        <v>145</v>
      </c>
      <c r="N20" s="166">
        <v>-34</v>
      </c>
      <c r="O20" s="165">
        <v>0</v>
      </c>
      <c r="P20" s="164">
        <f t="shared" si="9"/>
        <v>34</v>
      </c>
      <c r="Q20" s="189" t="s">
        <v>149</v>
      </c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0</v>
      </c>
      <c r="X20" s="164">
        <f t="shared" si="11"/>
        <v>34</v>
      </c>
      <c r="Y20" s="267" t="s">
        <v>145</v>
      </c>
      <c r="Z20" s="261"/>
    </row>
    <row r="21" spans="3:26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-159.1</v>
      </c>
      <c r="H21" s="187">
        <f t="shared" si="12"/>
        <v>94.1</v>
      </c>
      <c r="I21" s="186" t="s">
        <v>159</v>
      </c>
      <c r="J21" s="188">
        <f t="shared" si="12"/>
        <v>-253.2</v>
      </c>
      <c r="K21" s="187">
        <f t="shared" si="12"/>
        <v>-91.1</v>
      </c>
      <c r="L21" s="187">
        <f t="shared" ref="L21" si="13">SUM(L13:L20)</f>
        <v>162.1</v>
      </c>
      <c r="M21" s="186" t="s">
        <v>159</v>
      </c>
      <c r="N21" s="188">
        <f>SUM(N13:N20)</f>
        <v>-253.2</v>
      </c>
      <c r="O21" s="187">
        <f>SUM(O13:O20)</f>
        <v>-159.1</v>
      </c>
      <c r="P21" s="187">
        <f>SUM(P13:P20)</f>
        <v>94.1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v>-253.2</v>
      </c>
      <c r="W21" s="187">
        <f>SUM(W13:W20)</f>
        <v>-160.6</v>
      </c>
      <c r="X21" s="187">
        <f>SUM(X13:X20)</f>
        <v>92.6</v>
      </c>
      <c r="Y21" s="268" t="s">
        <v>159</v>
      </c>
      <c r="Z21" s="261"/>
    </row>
    <row r="22" spans="3:26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  <c r="Z22" s="261"/>
    </row>
    <row r="23" spans="3:26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  <c r="Z23" s="261"/>
    </row>
    <row r="24" spans="3:26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  <c r="Z24" s="261"/>
    </row>
    <row r="25" spans="3:26" ht="16.5" thickBot="1">
      <c r="C25" s="446"/>
      <c r="D25" s="447"/>
      <c r="E25" s="449"/>
      <c r="F25" s="209">
        <v>-5</v>
      </c>
      <c r="G25" s="208">
        <v>-4.4000000000000004</v>
      </c>
      <c r="H25" s="207">
        <f t="shared" ref="H25" si="14">SUM(G25,-F25)</f>
        <v>0.59999999999999964</v>
      </c>
      <c r="I25" s="232" t="s">
        <v>150</v>
      </c>
      <c r="J25" s="209">
        <v>-5</v>
      </c>
      <c r="K25" s="208">
        <v>-4.4000000000000004</v>
      </c>
      <c r="L25" s="207">
        <f t="shared" ref="L25" si="15">SUM(K25,-J25)</f>
        <v>0.59999999999999964</v>
      </c>
      <c r="M25" s="206" t="s">
        <v>173</v>
      </c>
      <c r="N25" s="209">
        <v>-5</v>
      </c>
      <c r="O25" s="208">
        <v>-4.4000000000000004</v>
      </c>
      <c r="P25" s="207">
        <f t="shared" ref="P25" si="16">SUM(O25,-N25)</f>
        <v>0.59999999999999964</v>
      </c>
      <c r="Q25" s="206" t="s">
        <v>173</v>
      </c>
      <c r="R25" s="209">
        <v>-5</v>
      </c>
      <c r="S25" s="208">
        <v>-4.4000000000000004</v>
      </c>
      <c r="T25" s="207">
        <f>SUM(S25,-R25)</f>
        <v>0.59999999999999964</v>
      </c>
      <c r="U25" s="206" t="s">
        <v>173</v>
      </c>
      <c r="V25" s="209">
        <v>-5</v>
      </c>
      <c r="W25" s="208">
        <v>-4.7</v>
      </c>
      <c r="X25" s="207">
        <f>SUM(W25,-V25)</f>
        <v>0.29999999999999982</v>
      </c>
      <c r="Y25" s="269" t="s">
        <v>173</v>
      </c>
      <c r="Z25" s="261"/>
    </row>
    <row r="26" spans="3:26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  <c r="Z26" s="261"/>
    </row>
    <row r="27" spans="3:26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  <c r="Z27" s="261"/>
    </row>
    <row r="28" spans="3:26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  <c r="Z28" s="261"/>
    </row>
    <row r="29" spans="3:26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7">SUM(G29,-F29)</f>
        <v>0</v>
      </c>
      <c r="I29" s="459"/>
      <c r="J29" s="200">
        <v>0</v>
      </c>
      <c r="K29" s="455">
        <v>0</v>
      </c>
      <c r="L29" s="457">
        <f t="shared" ref="L29" si="18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461"/>
      <c r="Z29" s="261"/>
    </row>
    <row r="30" spans="3:26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2"/>
      <c r="Z30" s="261"/>
    </row>
    <row r="31" spans="3:26" ht="16">
      <c r="C31" s="451"/>
      <c r="D31" s="443"/>
      <c r="E31" s="453" t="s">
        <v>109</v>
      </c>
      <c r="F31" s="200">
        <v>27.2</v>
      </c>
      <c r="G31" s="455">
        <v>27.2</v>
      </c>
      <c r="H31" s="457">
        <f t="shared" ref="H31" si="19">SUM(G31,-F31)</f>
        <v>0</v>
      </c>
      <c r="I31" s="459"/>
      <c r="J31" s="200">
        <v>27.2</v>
      </c>
      <c r="K31" s="455">
        <v>27.2</v>
      </c>
      <c r="L31" s="457">
        <f t="shared" ref="L31" si="20">SUM(K31,-J31)</f>
        <v>0</v>
      </c>
      <c r="M31" s="459"/>
      <c r="N31" s="200">
        <v>27.2</v>
      </c>
      <c r="O31" s="455">
        <v>27.2</v>
      </c>
      <c r="P31" s="457">
        <f t="shared" ref="P31" si="21">SUM(O31,-N31)</f>
        <v>0</v>
      </c>
      <c r="Q31" s="459"/>
      <c r="R31" s="200">
        <v>27.2</v>
      </c>
      <c r="S31" s="455">
        <v>27.2</v>
      </c>
      <c r="T31" s="457">
        <f t="shared" ref="T31" si="22">SUM(S31,-R31)</f>
        <v>0</v>
      </c>
      <c r="U31" s="459"/>
      <c r="V31" s="200">
        <v>27.2</v>
      </c>
      <c r="W31" s="455">
        <v>26.1</v>
      </c>
      <c r="X31" s="457">
        <f t="shared" ref="X31" si="23">SUM(W31,-V31)</f>
        <v>-1.0999999999999979</v>
      </c>
      <c r="Y31" s="461" t="s">
        <v>146</v>
      </c>
      <c r="Z31" s="261"/>
    </row>
    <row r="32" spans="3:26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  <c r="Z32" s="261"/>
    </row>
    <row r="33" spans="3:26" ht="16.149999999999999" customHeight="1">
      <c r="C33" s="451"/>
      <c r="D33" s="466" t="s">
        <v>107</v>
      </c>
      <c r="E33" s="201" t="s">
        <v>106</v>
      </c>
      <c r="F33" s="200">
        <v>29.5</v>
      </c>
      <c r="G33" s="199">
        <v>30.1</v>
      </c>
      <c r="H33" s="457">
        <f t="shared" ref="H33" si="24">SUM(G33,-F33)</f>
        <v>0.60000000000000142</v>
      </c>
      <c r="I33" s="459" t="s">
        <v>148</v>
      </c>
      <c r="J33" s="200">
        <v>33.4</v>
      </c>
      <c r="K33" s="199">
        <v>38.299999999999997</v>
      </c>
      <c r="L33" s="457">
        <f t="shared" ref="L33" si="25">SUM(K33,-J33)</f>
        <v>4.8999999999999986</v>
      </c>
      <c r="M33" s="459" t="s">
        <v>148</v>
      </c>
      <c r="N33" s="200">
        <v>33.4</v>
      </c>
      <c r="O33" s="199">
        <v>40.700000000000003</v>
      </c>
      <c r="P33" s="457">
        <f t="shared" ref="P33" si="26">SUM(O33,-N33)</f>
        <v>7.3000000000000043</v>
      </c>
      <c r="Q33" s="459" t="s">
        <v>148</v>
      </c>
      <c r="R33" s="200">
        <v>33.4</v>
      </c>
      <c r="S33" s="199">
        <v>40.200000000000003</v>
      </c>
      <c r="T33" s="457">
        <f t="shared" ref="T33" si="27">SUM(S33,-R33)</f>
        <v>6.8000000000000043</v>
      </c>
      <c r="U33" s="459" t="s">
        <v>148</v>
      </c>
      <c r="V33" s="200">
        <v>33.4</v>
      </c>
      <c r="W33" s="199">
        <v>46.3</v>
      </c>
      <c r="X33" s="457">
        <f t="shared" ref="X33" si="28">SUM(W33,-V33)</f>
        <v>12.899999999999999</v>
      </c>
      <c r="Y33" s="461" t="s">
        <v>148</v>
      </c>
      <c r="Z33" s="261"/>
    </row>
    <row r="34" spans="3:26" ht="16.149999999999999" customHeight="1">
      <c r="C34" s="451"/>
      <c r="D34" s="467"/>
      <c r="E34" s="463" t="s">
        <v>104</v>
      </c>
      <c r="F34" s="198">
        <v>0.22</v>
      </c>
      <c r="G34" s="230">
        <v>23</v>
      </c>
      <c r="H34" s="458"/>
      <c r="I34" s="460"/>
      <c r="J34" s="198">
        <v>0.23</v>
      </c>
      <c r="K34" s="230">
        <v>0.26</v>
      </c>
      <c r="L34" s="458"/>
      <c r="M34" s="460"/>
      <c r="N34" s="198">
        <v>0.23</v>
      </c>
      <c r="O34" s="230">
        <v>28</v>
      </c>
      <c r="P34" s="458"/>
      <c r="Q34" s="460"/>
      <c r="R34" s="198">
        <v>0.23</v>
      </c>
      <c r="S34" s="230">
        <v>27</v>
      </c>
      <c r="T34" s="458"/>
      <c r="U34" s="460"/>
      <c r="V34" s="198">
        <v>0.23</v>
      </c>
      <c r="W34" s="230">
        <v>31</v>
      </c>
      <c r="X34" s="458"/>
      <c r="Y34" s="462"/>
      <c r="Z34" s="261"/>
    </row>
    <row r="35" spans="3:26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  <c r="Z35" s="261"/>
    </row>
    <row r="36" spans="3:26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  <c r="Z36" s="261"/>
    </row>
    <row r="37" spans="3:26" ht="16">
      <c r="C37" s="451"/>
      <c r="D37" s="467"/>
      <c r="E37" s="190" t="s">
        <v>103</v>
      </c>
      <c r="F37" s="166">
        <v>10</v>
      </c>
      <c r="G37" s="165">
        <v>0.8</v>
      </c>
      <c r="H37" s="164">
        <f t="shared" ref="H37" si="29">SUM(G37,-F37)</f>
        <v>-9.1999999999999993</v>
      </c>
      <c r="I37" s="189" t="s">
        <v>147</v>
      </c>
      <c r="J37" s="166">
        <v>10</v>
      </c>
      <c r="K37" s="165">
        <v>0.7</v>
      </c>
      <c r="L37" s="164">
        <f t="shared" ref="L37" si="30">SUM(K37,-J37)</f>
        <v>-9.3000000000000007</v>
      </c>
      <c r="M37" s="189" t="s">
        <v>147</v>
      </c>
      <c r="N37" s="166">
        <v>10</v>
      </c>
      <c r="O37" s="165">
        <v>0.6</v>
      </c>
      <c r="P37" s="164">
        <f t="shared" ref="P37" si="31">SUM(O37,-N37)</f>
        <v>-9.4</v>
      </c>
      <c r="Q37" s="189" t="s">
        <v>147</v>
      </c>
      <c r="R37" s="166">
        <v>10</v>
      </c>
      <c r="S37" s="165">
        <v>0.8</v>
      </c>
      <c r="T37" s="164">
        <f t="shared" ref="T37" si="32">SUM(S37,-R37)</f>
        <v>-9.1999999999999993</v>
      </c>
      <c r="U37" s="189" t="s">
        <v>170</v>
      </c>
      <c r="V37" s="166">
        <v>10</v>
      </c>
      <c r="W37" s="165">
        <v>1.8</v>
      </c>
      <c r="X37" s="164">
        <f t="shared" ref="X37" si="33">SUM(W37,-V37)</f>
        <v>-8.1999999999999993</v>
      </c>
      <c r="Y37" s="267" t="s">
        <v>170</v>
      </c>
      <c r="Z37" s="261"/>
    </row>
    <row r="38" spans="3:26" ht="16.5" thickBot="1">
      <c r="C38" s="452"/>
      <c r="D38" s="427" t="s">
        <v>101</v>
      </c>
      <c r="E38" s="428"/>
      <c r="F38" s="188">
        <f t="shared" ref="F38" si="34">SUM(F29,F31,F33,F37)</f>
        <v>66.7</v>
      </c>
      <c r="G38" s="187">
        <f t="shared" ref="G38" si="35">SUM(G29:G33,G37)</f>
        <v>58.099999999999994</v>
      </c>
      <c r="H38" s="187">
        <f t="shared" ref="H38" si="36">SUM(H29:H34,H37)</f>
        <v>-8.5999999999999979</v>
      </c>
      <c r="I38" s="186"/>
      <c r="J38" s="188">
        <f t="shared" ref="J38" si="37">SUM(J29,J31,J33,J37)</f>
        <v>70.599999999999994</v>
      </c>
      <c r="K38" s="187">
        <f t="shared" ref="K38" si="38">SUM(K29:K33,K37)</f>
        <v>66.2</v>
      </c>
      <c r="L38" s="187">
        <f t="shared" ref="L38" si="39">SUM(L29:L34,L37)</f>
        <v>-4.4000000000000021</v>
      </c>
      <c r="M38" s="186"/>
      <c r="N38" s="188">
        <f>SUM(N29,N31,N33,N37)</f>
        <v>70.599999999999994</v>
      </c>
      <c r="O38" s="187">
        <f>SUM(O29:O33,O37)</f>
        <v>68.5</v>
      </c>
      <c r="P38" s="187">
        <f>SUM(P29:P34,P37)</f>
        <v>-2.0999999999999961</v>
      </c>
      <c r="Q38" s="186"/>
      <c r="R38" s="188">
        <f>SUM(R29,R31,R33,R37)</f>
        <v>70.599999999999994</v>
      </c>
      <c r="S38" s="187">
        <f>SUM(S29:S33,S37)</f>
        <v>68.2</v>
      </c>
      <c r="T38" s="187">
        <f>SUM(T29:T34,T37)</f>
        <v>-2.399999999999995</v>
      </c>
      <c r="U38" s="186"/>
      <c r="V38" s="188">
        <f>SUM(V29,V31,V33,V37)</f>
        <v>70.599999999999994</v>
      </c>
      <c r="W38" s="187">
        <f>SUM(W29:W33,W37)</f>
        <v>74.2</v>
      </c>
      <c r="X38" s="187">
        <f>SUM(X29:X34,X37)</f>
        <v>3.6000000000000014</v>
      </c>
      <c r="Y38" s="268"/>
      <c r="Z38" s="261"/>
    </row>
    <row r="39" spans="3:26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  <c r="Z39" s="261"/>
    </row>
    <row r="40" spans="3:26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  <c r="Z40" s="261"/>
    </row>
    <row r="41" spans="3:26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  <c r="Z41" s="261"/>
    </row>
    <row r="42" spans="3:26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40">SUM(G42,-F42)</f>
        <v>0</v>
      </c>
      <c r="I42" s="459"/>
      <c r="J42" s="178">
        <v>28</v>
      </c>
      <c r="K42" s="478">
        <v>0</v>
      </c>
      <c r="L42" s="457">
        <f t="shared" ref="L42" si="41">SUM(K42,-J42)</f>
        <v>-28</v>
      </c>
      <c r="M42" s="459" t="s">
        <v>151</v>
      </c>
      <c r="N42" s="178">
        <v>13.2</v>
      </c>
      <c r="O42" s="478">
        <v>0</v>
      </c>
      <c r="P42" s="457">
        <f>SUM(O42,-N42)</f>
        <v>-13.2</v>
      </c>
      <c r="Q42" s="459" t="s">
        <v>151</v>
      </c>
      <c r="R42" s="178">
        <v>0</v>
      </c>
      <c r="S42" s="478">
        <v>0</v>
      </c>
      <c r="T42" s="457">
        <f>SUM(S42,-R42)</f>
        <v>0</v>
      </c>
      <c r="U42" s="459"/>
      <c r="V42" s="178">
        <v>96.8</v>
      </c>
      <c r="W42" s="478">
        <v>90.4</v>
      </c>
      <c r="X42" s="457">
        <f>SUM(W42,-V42)</f>
        <v>-6.3999999999999915</v>
      </c>
      <c r="Y42" s="461" t="s">
        <v>151</v>
      </c>
      <c r="Z42" s="261"/>
    </row>
    <row r="43" spans="3:26" ht="16.5" thickBot="1">
      <c r="C43" s="474"/>
      <c r="D43" s="475"/>
      <c r="E43" s="477"/>
      <c r="F43" s="183">
        <v>177.7</v>
      </c>
      <c r="G43" s="479"/>
      <c r="H43" s="480"/>
      <c r="I43" s="481"/>
      <c r="J43" s="183">
        <v>187.7</v>
      </c>
      <c r="K43" s="479"/>
      <c r="L43" s="480"/>
      <c r="M43" s="481"/>
      <c r="N43" s="183">
        <v>191.6</v>
      </c>
      <c r="O43" s="479"/>
      <c r="P43" s="480"/>
      <c r="Q43" s="481"/>
      <c r="R43" s="183">
        <v>191.6</v>
      </c>
      <c r="S43" s="479"/>
      <c r="T43" s="480"/>
      <c r="U43" s="481"/>
      <c r="V43" s="183">
        <v>199.5</v>
      </c>
      <c r="W43" s="479"/>
      <c r="X43" s="480"/>
      <c r="Y43" s="482"/>
      <c r="Z43" s="261"/>
    </row>
    <row r="44" spans="3:26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  <c r="Z44" s="261"/>
    </row>
    <row r="45" spans="3:26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  <c r="Z45" s="261"/>
    </row>
    <row r="46" spans="3:26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  <c r="Z46" s="261"/>
    </row>
    <row r="47" spans="3:26" ht="16.149999999999999" customHeight="1">
      <c r="C47" s="444"/>
      <c r="D47" s="483"/>
      <c r="E47" s="488" t="s">
        <v>91</v>
      </c>
      <c r="F47" s="178">
        <v>34.799999999999997</v>
      </c>
      <c r="G47" s="478">
        <v>40.1</v>
      </c>
      <c r="H47" s="457">
        <f t="shared" ref="H47" si="42">SUM(G47,-F47)</f>
        <v>5.3000000000000043</v>
      </c>
      <c r="I47" s="459" t="s">
        <v>149</v>
      </c>
      <c r="J47" s="178">
        <v>34.6</v>
      </c>
      <c r="K47" s="478">
        <v>38.5</v>
      </c>
      <c r="L47" s="457">
        <f t="shared" ref="L47" si="43">SUM(K47,-J47)</f>
        <v>3.8999999999999986</v>
      </c>
      <c r="M47" s="459" t="s">
        <v>149</v>
      </c>
      <c r="N47" s="178">
        <v>29.4</v>
      </c>
      <c r="O47" s="478">
        <v>34.799999999999997</v>
      </c>
      <c r="P47" s="457">
        <f>SUM(O47,-N47)</f>
        <v>5.3999999999999986</v>
      </c>
      <c r="Q47" s="459" t="s">
        <v>145</v>
      </c>
      <c r="R47" s="178">
        <v>29.4</v>
      </c>
      <c r="S47" s="478">
        <v>33.1</v>
      </c>
      <c r="T47" s="457">
        <f>SUM(S47,-R47)</f>
        <v>3.7000000000000028</v>
      </c>
      <c r="U47" s="459" t="s">
        <v>145</v>
      </c>
      <c r="V47" s="178">
        <v>29.4</v>
      </c>
      <c r="W47" s="478">
        <v>30.7</v>
      </c>
      <c r="X47" s="457">
        <f>SUM(W47,-V47)</f>
        <v>1.3000000000000007</v>
      </c>
      <c r="Y47" s="459" t="s">
        <v>145</v>
      </c>
      <c r="Z47" s="261"/>
    </row>
    <row r="48" spans="3:26" ht="16.5" thickBot="1">
      <c r="C48" s="486"/>
      <c r="D48" s="487"/>
      <c r="E48" s="489"/>
      <c r="F48" s="177">
        <v>0.54</v>
      </c>
      <c r="G48" s="479"/>
      <c r="H48" s="480"/>
      <c r="I48" s="481"/>
      <c r="J48" s="177">
        <v>0.54</v>
      </c>
      <c r="K48" s="479"/>
      <c r="L48" s="480"/>
      <c r="M48" s="481"/>
      <c r="N48" s="177">
        <v>0.56000000000000005</v>
      </c>
      <c r="O48" s="479"/>
      <c r="P48" s="480"/>
      <c r="Q48" s="481"/>
      <c r="R48" s="177">
        <v>0.56000000000000005</v>
      </c>
      <c r="S48" s="479"/>
      <c r="T48" s="480"/>
      <c r="U48" s="481"/>
      <c r="V48" s="177">
        <v>0.56000000000000005</v>
      </c>
      <c r="W48" s="479"/>
      <c r="X48" s="480"/>
      <c r="Y48" s="481"/>
      <c r="Z48" s="261"/>
    </row>
    <row r="49" spans="1:26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  <c r="Z49" s="261"/>
    </row>
    <row r="50" spans="1:26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  <c r="Z50" s="261"/>
    </row>
    <row r="51" spans="1:26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  <c r="Z51" s="261"/>
    </row>
    <row r="52" spans="1:26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4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5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  <c r="Z52" s="261"/>
    </row>
    <row r="53" spans="1:26" ht="16.5" thickBot="1">
      <c r="C53" s="484"/>
      <c r="D53" s="485"/>
      <c r="E53" s="226" t="s">
        <v>82</v>
      </c>
      <c r="F53" s="225">
        <v>0</v>
      </c>
      <c r="G53" s="229">
        <v>25.4</v>
      </c>
      <c r="H53" s="223" t="s">
        <v>159</v>
      </c>
      <c r="I53" s="222" t="s">
        <v>213</v>
      </c>
      <c r="J53" s="225">
        <v>0</v>
      </c>
      <c r="K53" s="229">
        <v>25.2</v>
      </c>
      <c r="L53" s="223" t="s">
        <v>159</v>
      </c>
      <c r="M53" s="222" t="s">
        <v>213</v>
      </c>
      <c r="N53" s="225">
        <v>0</v>
      </c>
      <c r="O53" s="229">
        <v>27.2</v>
      </c>
      <c r="P53" s="223" t="s">
        <v>159</v>
      </c>
      <c r="Q53" s="222" t="s">
        <v>213</v>
      </c>
      <c r="R53" s="225">
        <v>0</v>
      </c>
      <c r="S53" s="229">
        <v>27.7</v>
      </c>
      <c r="T53" s="223" t="s">
        <v>159</v>
      </c>
      <c r="U53" s="222" t="s">
        <v>213</v>
      </c>
      <c r="V53" s="225">
        <v>0</v>
      </c>
      <c r="W53" s="229">
        <v>27.1</v>
      </c>
      <c r="X53" s="223" t="s">
        <v>159</v>
      </c>
      <c r="Y53" s="274" t="s">
        <v>213</v>
      </c>
      <c r="Z53" s="261"/>
    </row>
    <row r="54" spans="1:26" ht="15.5" thickTop="1">
      <c r="C54" s="1" t="s">
        <v>79</v>
      </c>
    </row>
    <row r="56" spans="1:26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6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8C5F-2ABC-4189-A69E-166D000925CC}">
  <dimension ref="A1:Y57"/>
  <sheetViews>
    <sheetView showGridLines="0" view="pageBreakPreview" zoomScale="70" zoomScaleNormal="100" zoomScaleSheetLayoutView="70" zoomScalePageLayoutView="8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0" t="s">
        <v>143</v>
      </c>
      <c r="U2" s="1"/>
      <c r="Y2" s="1"/>
    </row>
    <row r="3" spans="3:25" ht="16.5" thickBot="1">
      <c r="C3" s="514" t="s">
        <v>142</v>
      </c>
      <c r="D3" s="430"/>
      <c r="E3" s="431"/>
      <c r="F3" s="515">
        <v>45827</v>
      </c>
      <c r="G3" s="516"/>
      <c r="H3" s="516"/>
      <c r="I3" s="517"/>
      <c r="J3" s="515">
        <v>45836</v>
      </c>
      <c r="K3" s="516"/>
      <c r="L3" s="516"/>
      <c r="M3" s="517"/>
      <c r="N3" s="515">
        <v>45837</v>
      </c>
      <c r="O3" s="516"/>
      <c r="P3" s="516"/>
      <c r="Q3" s="517"/>
      <c r="U3" s="1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f t="shared" ref="H5:H8" si="0">SUM(G5,-F5)</f>
        <v>0</v>
      </c>
      <c r="I5" s="219"/>
      <c r="J5" s="166">
        <v>20.3</v>
      </c>
      <c r="K5" s="165">
        <v>20.3</v>
      </c>
      <c r="L5" s="164">
        <f t="shared" ref="L5:L8" si="1">SUM(K5,-J5)</f>
        <v>0</v>
      </c>
      <c r="M5" s="219"/>
      <c r="N5" s="166">
        <v>20.3</v>
      </c>
      <c r="O5" s="165">
        <v>20.3</v>
      </c>
      <c r="P5" s="164">
        <f>SUM(O5,-N5)</f>
        <v>0</v>
      </c>
      <c r="Q5" s="219"/>
      <c r="U5" s="1"/>
      <c r="Y5" s="1"/>
    </row>
    <row r="6" spans="3:25" ht="16">
      <c r="C6" s="519"/>
      <c r="D6" s="426"/>
      <c r="E6" s="211" t="s">
        <v>136</v>
      </c>
      <c r="F6" s="166">
        <v>17.5</v>
      </c>
      <c r="G6" s="165">
        <v>41.099999999999994</v>
      </c>
      <c r="H6" s="164">
        <f t="shared" si="0"/>
        <v>23.599999999999994</v>
      </c>
      <c r="I6" s="219"/>
      <c r="J6" s="166">
        <v>8.6999999999999993</v>
      </c>
      <c r="K6" s="165">
        <v>8.6999999999999993</v>
      </c>
      <c r="L6" s="164">
        <f t="shared" si="1"/>
        <v>0</v>
      </c>
      <c r="M6" s="219"/>
      <c r="N6" s="166">
        <v>8.6999999999999993</v>
      </c>
      <c r="O6" s="165">
        <v>8.6999999999999993</v>
      </c>
      <c r="P6" s="164">
        <f>SUM(O6,-N6)</f>
        <v>0</v>
      </c>
      <c r="Q6" s="219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U7" s="1"/>
      <c r="Y7" s="1"/>
    </row>
    <row r="8" spans="3:25" ht="16">
      <c r="C8" s="520"/>
      <c r="D8" s="426"/>
      <c r="E8" s="218" t="s">
        <v>133</v>
      </c>
      <c r="F8" s="217">
        <v>62.300000000000004</v>
      </c>
      <c r="G8" s="216">
        <v>62.300000000000004</v>
      </c>
      <c r="H8" s="215">
        <f t="shared" si="0"/>
        <v>0</v>
      </c>
      <c r="I8" s="214"/>
      <c r="J8" s="217">
        <v>60.5</v>
      </c>
      <c r="K8" s="216">
        <v>60.5</v>
      </c>
      <c r="L8" s="215">
        <f t="shared" si="1"/>
        <v>0</v>
      </c>
      <c r="M8" s="214"/>
      <c r="N8" s="217">
        <v>60</v>
      </c>
      <c r="O8" s="216">
        <v>60</v>
      </c>
      <c r="P8" s="215">
        <f>SUM(O8,-N8)</f>
        <v>0</v>
      </c>
      <c r="Q8" s="214"/>
      <c r="U8" s="1"/>
      <c r="Y8" s="1"/>
    </row>
    <row r="9" spans="3:25" ht="16.5" thickBot="1">
      <c r="C9" s="521"/>
      <c r="D9" s="427" t="s">
        <v>101</v>
      </c>
      <c r="E9" s="428"/>
      <c r="F9" s="188">
        <f t="shared" ref="F9:H9" si="3">SUM(F5:F8)</f>
        <v>92.2</v>
      </c>
      <c r="G9" s="187">
        <f t="shared" si="3"/>
        <v>115.8</v>
      </c>
      <c r="H9" s="187">
        <f t="shared" si="3"/>
        <v>23.599999999999994</v>
      </c>
      <c r="I9" s="213" t="s">
        <v>159</v>
      </c>
      <c r="J9" s="188">
        <f>SUM(J5:J8)</f>
        <v>89.5</v>
      </c>
      <c r="K9" s="187">
        <f>SUM(K5:K8)</f>
        <v>89.5</v>
      </c>
      <c r="L9" s="187">
        <f t="shared" ref="L9" si="4">SUM(L5:L8)</f>
        <v>0</v>
      </c>
      <c r="M9" s="213" t="s">
        <v>159</v>
      </c>
      <c r="N9" s="188">
        <f>SUM(N5:N8)</f>
        <v>89</v>
      </c>
      <c r="O9" s="187">
        <f>SUM(O5:O8)</f>
        <v>89</v>
      </c>
      <c r="P9" s="187">
        <f>SUM(P5:P8)</f>
        <v>0</v>
      </c>
      <c r="Q9" s="213" t="s">
        <v>159</v>
      </c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3"/>
      <c r="U10" s="1"/>
      <c r="Y10" s="1"/>
    </row>
    <row r="11" spans="3:25" ht="16.5" thickBot="1">
      <c r="C11" s="514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5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6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f t="shared" si="5"/>
        <v>0</v>
      </c>
      <c r="I14" s="232"/>
      <c r="J14" s="166">
        <v>-26.1</v>
      </c>
      <c r="K14" s="165">
        <v>-26.1</v>
      </c>
      <c r="L14" s="164">
        <f t="shared" si="6"/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189"/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232"/>
      <c r="J15" s="166">
        <v>-32.5</v>
      </c>
      <c r="K15" s="165">
        <v>-32.5</v>
      </c>
      <c r="L15" s="164">
        <f t="shared" si="6"/>
        <v>0</v>
      </c>
      <c r="M15" s="189"/>
      <c r="N15" s="166">
        <v>-32.5</v>
      </c>
      <c r="O15" s="165">
        <v>-32.5</v>
      </c>
      <c r="P15" s="164">
        <f t="shared" si="7"/>
        <v>0</v>
      </c>
      <c r="Q15" s="189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232"/>
      <c r="J16" s="166">
        <v>-32.5</v>
      </c>
      <c r="K16" s="165">
        <v>-32.5</v>
      </c>
      <c r="L16" s="164">
        <f t="shared" si="6"/>
        <v>0</v>
      </c>
      <c r="M16" s="189"/>
      <c r="N16" s="166">
        <v>-32.5</v>
      </c>
      <c r="O16" s="165">
        <v>-32.5</v>
      </c>
      <c r="P16" s="164">
        <f t="shared" si="7"/>
        <v>0</v>
      </c>
      <c r="Q16" s="189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32"/>
      <c r="J17" s="166">
        <v>-34</v>
      </c>
      <c r="K17" s="165">
        <v>-34</v>
      </c>
      <c r="L17" s="164">
        <f t="shared" si="6"/>
        <v>0</v>
      </c>
      <c r="M17" s="189"/>
      <c r="N17" s="166">
        <v>-34</v>
      </c>
      <c r="O17" s="165">
        <v>-34</v>
      </c>
      <c r="P17" s="164">
        <f t="shared" si="7"/>
        <v>0</v>
      </c>
      <c r="Q17" s="189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232"/>
      <c r="J18" s="166">
        <v>-34</v>
      </c>
      <c r="K18" s="165">
        <v>-34</v>
      </c>
      <c r="L18" s="164">
        <f t="shared" si="6"/>
        <v>0</v>
      </c>
      <c r="M18" s="189"/>
      <c r="N18" s="166">
        <v>-34</v>
      </c>
      <c r="O18" s="165">
        <v>-34</v>
      </c>
      <c r="P18" s="164">
        <f t="shared" si="7"/>
        <v>0</v>
      </c>
      <c r="Q18" s="189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232"/>
      <c r="J19" s="166">
        <v>-34</v>
      </c>
      <c r="K19" s="165">
        <v>-34</v>
      </c>
      <c r="L19" s="164">
        <f t="shared" si="6"/>
        <v>0</v>
      </c>
      <c r="M19" s="189"/>
      <c r="N19" s="166">
        <v>-34</v>
      </c>
      <c r="O19" s="165">
        <v>-34</v>
      </c>
      <c r="P19" s="164">
        <f t="shared" si="7"/>
        <v>0</v>
      </c>
      <c r="Q19" s="189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0</v>
      </c>
      <c r="H20" s="164">
        <f t="shared" si="5"/>
        <v>34</v>
      </c>
      <c r="I20" s="232" t="s">
        <v>149</v>
      </c>
      <c r="J20" s="166">
        <v>-34</v>
      </c>
      <c r="K20" s="165">
        <v>-34</v>
      </c>
      <c r="L20" s="164">
        <f t="shared" si="6"/>
        <v>0</v>
      </c>
      <c r="M20" s="189"/>
      <c r="N20" s="166">
        <v>-34</v>
      </c>
      <c r="O20" s="165">
        <v>-34</v>
      </c>
      <c r="P20" s="164">
        <f t="shared" si="7"/>
        <v>0</v>
      </c>
      <c r="Q20" s="189"/>
      <c r="U20" s="1"/>
      <c r="Y20" s="1"/>
    </row>
    <row r="21" spans="3:25" ht="16.5" thickBot="1">
      <c r="C21" s="524"/>
      <c r="D21" s="427" t="s">
        <v>101</v>
      </c>
      <c r="E21" s="428"/>
      <c r="F21" s="188">
        <f t="shared" ref="F21:K21" si="8">SUM(F13:F20)</f>
        <v>-253.2</v>
      </c>
      <c r="G21" s="187">
        <f t="shared" si="8"/>
        <v>-193.1</v>
      </c>
      <c r="H21" s="187">
        <f t="shared" si="8"/>
        <v>60.1</v>
      </c>
      <c r="I21" s="186" t="s">
        <v>159</v>
      </c>
      <c r="J21" s="188">
        <f t="shared" si="8"/>
        <v>-253.2</v>
      </c>
      <c r="K21" s="187">
        <f t="shared" si="8"/>
        <v>-227.1</v>
      </c>
      <c r="L21" s="187">
        <f t="shared" ref="L21" si="9"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3"/>
      <c r="U22" s="1"/>
      <c r="Y22" s="1"/>
    </row>
    <row r="23" spans="3:25" ht="16.5" thickBot="1">
      <c r="C23" s="514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-4.7</v>
      </c>
      <c r="H25" s="207">
        <f>SUM(G25,-F25)</f>
        <v>0.29999999999999982</v>
      </c>
      <c r="I25" s="275" t="s">
        <v>150</v>
      </c>
      <c r="J25" s="209">
        <v>-5</v>
      </c>
      <c r="K25" s="208">
        <v>-4.2</v>
      </c>
      <c r="L25" s="207">
        <f t="shared" ref="L25" si="10">SUM(K25,-J25)</f>
        <v>0.79999999999999982</v>
      </c>
      <c r="M25" s="275" t="s">
        <v>150</v>
      </c>
      <c r="N25" s="209">
        <v>-5</v>
      </c>
      <c r="O25" s="208">
        <v>-4.2</v>
      </c>
      <c r="P25" s="207">
        <f>SUM(O25,-N25)</f>
        <v>0.79999999999999982</v>
      </c>
      <c r="Q25" s="275" t="s">
        <v>150</v>
      </c>
      <c r="U25" s="1"/>
      <c r="Y25" s="1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3"/>
      <c r="U26" s="1"/>
      <c r="Y26" s="1"/>
    </row>
    <row r="27" spans="3:25" ht="16.5" thickBot="1">
      <c r="C27" s="514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U27" s="1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1">SUM(G29,-F29)</f>
        <v>0</v>
      </c>
      <c r="I29" s="459"/>
      <c r="J29" s="200">
        <v>0</v>
      </c>
      <c r="K29" s="455">
        <v>0</v>
      </c>
      <c r="L29" s="457">
        <f t="shared" ref="L29" si="12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U29" s="1"/>
      <c r="Y29" s="1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U30" s="1"/>
      <c r="Y30" s="1"/>
    </row>
    <row r="31" spans="3:25" ht="16">
      <c r="C31" s="528"/>
      <c r="D31" s="443"/>
      <c r="E31" s="453" t="s">
        <v>109</v>
      </c>
      <c r="F31" s="200">
        <v>27.2</v>
      </c>
      <c r="G31" s="455">
        <v>34.4</v>
      </c>
      <c r="H31" s="457">
        <f t="shared" ref="H31" si="13">SUM(G31,-F31)</f>
        <v>7.1999999999999993</v>
      </c>
      <c r="I31" s="459" t="s">
        <v>151</v>
      </c>
      <c r="J31" s="200">
        <v>54.4</v>
      </c>
      <c r="K31" s="455">
        <v>54.4</v>
      </c>
      <c r="L31" s="457">
        <f t="shared" ref="L31" si="14">SUM(K31,-J31)</f>
        <v>0</v>
      </c>
      <c r="M31" s="459"/>
      <c r="N31" s="200">
        <v>54.4</v>
      </c>
      <c r="O31" s="455">
        <v>54.4</v>
      </c>
      <c r="P31" s="457">
        <f t="shared" ref="P31" si="15">SUM(O31,-N31)</f>
        <v>0</v>
      </c>
      <c r="Q31" s="459"/>
      <c r="U31" s="1"/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33.4</v>
      </c>
      <c r="G33" s="199">
        <v>44.7</v>
      </c>
      <c r="H33" s="457">
        <f t="shared" ref="H33" si="16">SUM(G33,-F33)</f>
        <v>11.300000000000004</v>
      </c>
      <c r="I33" s="459" t="s">
        <v>184</v>
      </c>
      <c r="J33" s="200">
        <v>33.4</v>
      </c>
      <c r="K33" s="199">
        <v>23.8</v>
      </c>
      <c r="L33" s="457">
        <f t="shared" ref="L33" si="17">SUM(K33,-J33)</f>
        <v>-9.5999999999999979</v>
      </c>
      <c r="M33" s="459" t="s">
        <v>146</v>
      </c>
      <c r="N33" s="200">
        <v>33.4</v>
      </c>
      <c r="O33" s="199">
        <v>20.399999999999999</v>
      </c>
      <c r="P33" s="457">
        <f t="shared" ref="P33" si="18">SUM(O33,-N33)</f>
        <v>-13</v>
      </c>
      <c r="Q33" s="459" t="s">
        <v>146</v>
      </c>
      <c r="U33" s="1"/>
      <c r="Y33" s="1"/>
    </row>
    <row r="34" spans="3:25" ht="16">
      <c r="C34" s="528"/>
      <c r="D34" s="467"/>
      <c r="E34" s="463" t="s">
        <v>104</v>
      </c>
      <c r="F34" s="198">
        <v>0.23</v>
      </c>
      <c r="G34" s="230">
        <v>30</v>
      </c>
      <c r="H34" s="458"/>
      <c r="I34" s="460"/>
      <c r="J34" s="198">
        <v>0.23</v>
      </c>
      <c r="K34" s="230">
        <v>16</v>
      </c>
      <c r="L34" s="458"/>
      <c r="M34" s="460"/>
      <c r="N34" s="198">
        <v>0.23</v>
      </c>
      <c r="O34" s="230">
        <v>14</v>
      </c>
      <c r="P34" s="458"/>
      <c r="Q34" s="460"/>
      <c r="U34" s="1"/>
      <c r="Y34" s="1"/>
    </row>
    <row r="35" spans="3:25" ht="13.5" customHeight="1">
      <c r="C35" s="528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U35" s="1"/>
      <c r="Y35" s="1"/>
    </row>
    <row r="36" spans="3:25" ht="16">
      <c r="C36" s="528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U36" s="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1.4</v>
      </c>
      <c r="H37" s="164">
        <f t="shared" ref="H37" si="19">SUM(G37,-F37)</f>
        <v>-8.6</v>
      </c>
      <c r="I37" s="189" t="s">
        <v>147</v>
      </c>
      <c r="J37" s="166">
        <v>10</v>
      </c>
      <c r="K37" s="165">
        <v>1.9</v>
      </c>
      <c r="L37" s="164">
        <f t="shared" ref="L37" si="20">SUM(K37,-J37)</f>
        <v>-8.1</v>
      </c>
      <c r="M37" s="189" t="s">
        <v>147</v>
      </c>
      <c r="N37" s="166">
        <v>10</v>
      </c>
      <c r="O37" s="165">
        <v>1.9</v>
      </c>
      <c r="P37" s="164">
        <f t="shared" ref="P37" si="21">SUM(O37,-N37)</f>
        <v>-8.1</v>
      </c>
      <c r="Q37" s="189" t="s">
        <v>147</v>
      </c>
      <c r="U37" s="1"/>
      <c r="Y37" s="1"/>
    </row>
    <row r="38" spans="3:25" ht="16.5" thickBot="1">
      <c r="C38" s="529"/>
      <c r="D38" s="427" t="s">
        <v>101</v>
      </c>
      <c r="E38" s="428"/>
      <c r="F38" s="188">
        <f t="shared" ref="F38" si="22">SUM(F29,F31,F33,F37)</f>
        <v>70.599999999999994</v>
      </c>
      <c r="G38" s="187">
        <f t="shared" ref="G38" si="23">SUM(G29:G33,G37)</f>
        <v>80.5</v>
      </c>
      <c r="H38" s="187">
        <f t="shared" ref="H38" si="24">SUM(H29:H34,H37)</f>
        <v>9.9000000000000039</v>
      </c>
      <c r="I38" s="186"/>
      <c r="J38" s="188">
        <f t="shared" ref="J38" si="25">SUM(J29,J31,J33,J37)</f>
        <v>97.8</v>
      </c>
      <c r="K38" s="187">
        <f t="shared" ref="K38" si="26">SUM(K29:K33,K37)</f>
        <v>80.100000000000009</v>
      </c>
      <c r="L38" s="187">
        <f t="shared" ref="L38" si="27">SUM(L29:L34,L37)</f>
        <v>-17.699999999999996</v>
      </c>
      <c r="M38" s="186"/>
      <c r="N38" s="188">
        <f>SUM(N29,N31,N33,N37)</f>
        <v>97.8</v>
      </c>
      <c r="O38" s="187">
        <f>SUM(O29:O33,O37)</f>
        <v>76.7</v>
      </c>
      <c r="P38" s="187">
        <f>SUM(P29:P34,P37)</f>
        <v>-21.1</v>
      </c>
      <c r="Q38" s="186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3"/>
      <c r="U39" s="1"/>
      <c r="Y39" s="1"/>
    </row>
    <row r="40" spans="3:25" ht="16.5" thickBot="1">
      <c r="C40" s="514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U41" s="1"/>
      <c r="Y41" s="1"/>
    </row>
    <row r="42" spans="3:25" ht="16.5" customHeight="1">
      <c r="C42" s="525"/>
      <c r="D42" s="445"/>
      <c r="E42" s="476" t="s">
        <v>96</v>
      </c>
      <c r="F42" s="178">
        <v>19.100000000000001</v>
      </c>
      <c r="G42" s="478">
        <v>19.100000000000001</v>
      </c>
      <c r="H42" s="457">
        <f t="shared" ref="H42" si="28">SUM(G42,-F42)</f>
        <v>0</v>
      </c>
      <c r="I42" s="459"/>
      <c r="J42" s="178">
        <v>9.9</v>
      </c>
      <c r="K42" s="478">
        <v>0</v>
      </c>
      <c r="L42" s="457">
        <f t="shared" ref="L42" si="29">SUM(K42,-J42)</f>
        <v>-9.9</v>
      </c>
      <c r="M42" s="459" t="s">
        <v>151</v>
      </c>
      <c r="N42" s="178">
        <v>0</v>
      </c>
      <c r="O42" s="478">
        <v>0</v>
      </c>
      <c r="P42" s="457">
        <f>SUM(O42,-N42)</f>
        <v>0</v>
      </c>
      <c r="Q42" s="459"/>
      <c r="U42" s="1"/>
      <c r="Y42" s="1"/>
    </row>
    <row r="43" spans="3:25" ht="16.5" thickBot="1">
      <c r="C43" s="531"/>
      <c r="D43" s="475"/>
      <c r="E43" s="477"/>
      <c r="F43" s="183">
        <v>207.8</v>
      </c>
      <c r="G43" s="479"/>
      <c r="H43" s="480"/>
      <c r="I43" s="481"/>
      <c r="J43" s="183">
        <v>193</v>
      </c>
      <c r="K43" s="479"/>
      <c r="L43" s="480"/>
      <c r="M43" s="481"/>
      <c r="N43" s="183">
        <v>190</v>
      </c>
      <c r="O43" s="479"/>
      <c r="P43" s="480"/>
      <c r="Q43" s="481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3"/>
      <c r="U44" s="1"/>
      <c r="Y44" s="1"/>
    </row>
    <row r="45" spans="3:25" ht="16.5" thickBot="1">
      <c r="C45" s="514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U46" s="1"/>
      <c r="Y46" s="1"/>
    </row>
    <row r="47" spans="3:25" ht="16">
      <c r="C47" s="525"/>
      <c r="D47" s="483"/>
      <c r="E47" s="488" t="s">
        <v>91</v>
      </c>
      <c r="F47" s="178">
        <v>29.4</v>
      </c>
      <c r="G47" s="478">
        <v>30.7</v>
      </c>
      <c r="H47" s="457">
        <f t="shared" ref="H47" si="30">SUM(G47,-F47)</f>
        <v>1.3000000000000007</v>
      </c>
      <c r="I47" s="459" t="s">
        <v>149</v>
      </c>
      <c r="J47" s="178">
        <v>34.6</v>
      </c>
      <c r="K47" s="478">
        <v>35.4</v>
      </c>
      <c r="L47" s="457">
        <f t="shared" ref="L47" si="31">SUM(K47,-J47)</f>
        <v>0.79999999999999716</v>
      </c>
      <c r="M47" s="459" t="s">
        <v>149</v>
      </c>
      <c r="N47" s="178">
        <v>34.6</v>
      </c>
      <c r="O47" s="478">
        <v>35.4</v>
      </c>
      <c r="P47" s="457">
        <f>SUM(O47,-N47)</f>
        <v>0.79999999999999716</v>
      </c>
      <c r="Q47" s="459" t="s">
        <v>149</v>
      </c>
      <c r="U47" s="1"/>
      <c r="Y47" s="1"/>
    </row>
    <row r="48" spans="3:25" ht="16.5" thickBot="1">
      <c r="C48" s="533"/>
      <c r="D48" s="487"/>
      <c r="E48" s="489"/>
      <c r="F48" s="177">
        <v>0.56000000000000005</v>
      </c>
      <c r="G48" s="479"/>
      <c r="H48" s="480"/>
      <c r="I48" s="481"/>
      <c r="J48" s="177">
        <v>0.57999999999999996</v>
      </c>
      <c r="K48" s="479"/>
      <c r="L48" s="480"/>
      <c r="M48" s="481"/>
      <c r="N48" s="177">
        <v>0.57999999999999996</v>
      </c>
      <c r="O48" s="479"/>
      <c r="P48" s="480"/>
      <c r="Q48" s="48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3"/>
      <c r="U49" s="1"/>
      <c r="Y49" s="1"/>
    </row>
    <row r="50" spans="1:25" ht="16.5" thickBot="1">
      <c r="C50" s="514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 t="shared" ref="H52" si="32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33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236">
        <v>27.4</v>
      </c>
      <c r="H53" s="159" t="s">
        <v>159</v>
      </c>
      <c r="I53" s="158" t="s">
        <v>213</v>
      </c>
      <c r="J53" s="161">
        <v>0</v>
      </c>
      <c r="K53" s="236">
        <v>28.6</v>
      </c>
      <c r="L53" s="159" t="s">
        <v>159</v>
      </c>
      <c r="M53" s="158" t="s">
        <v>213</v>
      </c>
      <c r="N53" s="161">
        <v>0</v>
      </c>
      <c r="O53" s="236">
        <v>28.3</v>
      </c>
      <c r="P53" s="159" t="s">
        <v>159</v>
      </c>
      <c r="Q53" s="158" t="s">
        <v>213</v>
      </c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93">
    <mergeCell ref="C51:D53"/>
    <mergeCell ref="L47:L48"/>
    <mergeCell ref="M47:M48"/>
    <mergeCell ref="O47:O48"/>
    <mergeCell ref="P47:P48"/>
    <mergeCell ref="Q47:Q48"/>
    <mergeCell ref="C50:E50"/>
    <mergeCell ref="F50:I50"/>
    <mergeCell ref="J50:M50"/>
    <mergeCell ref="N50:Q50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Q33:Q34"/>
    <mergeCell ref="E34:E36"/>
    <mergeCell ref="D38:E38"/>
    <mergeCell ref="C40:E40"/>
    <mergeCell ref="F40:I40"/>
    <mergeCell ref="J40:M40"/>
    <mergeCell ref="N40:Q40"/>
    <mergeCell ref="M31:M32"/>
    <mergeCell ref="O31:O32"/>
    <mergeCell ref="P31:P32"/>
    <mergeCell ref="Q31:Q32"/>
    <mergeCell ref="D33:D37"/>
    <mergeCell ref="H33:H34"/>
    <mergeCell ref="I33:I34"/>
    <mergeCell ref="L33:L34"/>
    <mergeCell ref="M33:M34"/>
    <mergeCell ref="P33:P34"/>
    <mergeCell ref="E31:E32"/>
    <mergeCell ref="G31:G32"/>
    <mergeCell ref="H31:H32"/>
    <mergeCell ref="I31:I32"/>
    <mergeCell ref="K31:K32"/>
    <mergeCell ref="L31:L32"/>
    <mergeCell ref="Q29:Q30"/>
    <mergeCell ref="C27:E27"/>
    <mergeCell ref="F27:I27"/>
    <mergeCell ref="J27:M27"/>
    <mergeCell ref="N27:Q27"/>
    <mergeCell ref="C28:C38"/>
    <mergeCell ref="D29:D32"/>
    <mergeCell ref="E29:E30"/>
    <mergeCell ref="G29:G30"/>
    <mergeCell ref="H29:H30"/>
    <mergeCell ref="I29:I30"/>
    <mergeCell ref="K29:K30"/>
    <mergeCell ref="L29:L30"/>
    <mergeCell ref="M29:M30"/>
    <mergeCell ref="O29:O30"/>
    <mergeCell ref="P29:P30"/>
    <mergeCell ref="C23:E23"/>
    <mergeCell ref="F23:I23"/>
    <mergeCell ref="J23:M23"/>
    <mergeCell ref="N23:Q23"/>
    <mergeCell ref="C24:D25"/>
    <mergeCell ref="E24:E25"/>
    <mergeCell ref="C11:E11"/>
    <mergeCell ref="F11:I11"/>
    <mergeCell ref="J11:M11"/>
    <mergeCell ref="N11:Q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DA09-0E11-4A33-9106-502B76EE60AB}">
  <dimension ref="B1:O69"/>
  <sheetViews>
    <sheetView showGridLines="0" view="pageBreakPreview" zoomScale="70" zoomScaleNormal="70" zoomScaleSheetLayoutView="70" zoomScalePageLayoutView="85" workbookViewId="0">
      <selection activeCell="E62" sqref="E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 t="s">
        <v>57</v>
      </c>
      <c r="K1" s="32"/>
      <c r="O1" s="32"/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</row>
    <row r="3" spans="2:15" ht="16.5" thickBot="1">
      <c r="B3" s="3"/>
      <c r="C3" s="372" t="s">
        <v>3</v>
      </c>
      <c r="D3" s="373"/>
      <c r="E3" s="374"/>
      <c r="F3" s="25">
        <v>45857</v>
      </c>
      <c r="G3" s="26" t="s">
        <v>50</v>
      </c>
      <c r="H3" s="115">
        <v>45858</v>
      </c>
      <c r="I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103.3</v>
      </c>
      <c r="G5" s="384" t="s">
        <v>45</v>
      </c>
      <c r="H5" s="9">
        <v>101.5</v>
      </c>
      <c r="I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105.7</v>
      </c>
      <c r="G6" s="385"/>
      <c r="H6" s="10">
        <v>104.9</v>
      </c>
      <c r="I6" s="385"/>
    </row>
    <row r="7" spans="2:15" ht="16">
      <c r="B7" s="376"/>
      <c r="C7" s="379"/>
      <c r="D7" s="35" t="s">
        <v>13</v>
      </c>
      <c r="E7" s="36" t="s">
        <v>5</v>
      </c>
      <c r="F7" s="28">
        <v>409.6</v>
      </c>
      <c r="G7" s="385"/>
      <c r="H7" s="28">
        <v>409.8</v>
      </c>
      <c r="I7" s="385"/>
    </row>
    <row r="8" spans="2:15" ht="16">
      <c r="B8" s="376"/>
      <c r="C8" s="379"/>
      <c r="D8" s="37" t="s">
        <v>14</v>
      </c>
      <c r="E8" s="38" t="s">
        <v>6</v>
      </c>
      <c r="F8" s="29">
        <v>57.6</v>
      </c>
      <c r="G8" s="385"/>
      <c r="H8" s="29">
        <v>89.799999999999812</v>
      </c>
      <c r="I8" s="385"/>
    </row>
    <row r="9" spans="2:15" ht="16">
      <c r="B9" s="376"/>
      <c r="C9" s="379"/>
      <c r="D9" s="39" t="s">
        <v>15</v>
      </c>
      <c r="E9" s="40" t="s">
        <v>7</v>
      </c>
      <c r="F9" s="30">
        <v>15.2</v>
      </c>
      <c r="G9" s="385"/>
      <c r="H9" s="30">
        <v>15.2</v>
      </c>
      <c r="I9" s="385"/>
    </row>
    <row r="10" spans="2:15" ht="16">
      <c r="B10" s="376"/>
      <c r="C10" s="379"/>
      <c r="D10" s="41" t="s">
        <v>17</v>
      </c>
      <c r="E10" s="42" t="s">
        <v>1</v>
      </c>
      <c r="F10" s="11">
        <v>42.3</v>
      </c>
      <c r="G10" s="385"/>
      <c r="H10" s="11">
        <v>46.7</v>
      </c>
      <c r="I10" s="385"/>
    </row>
    <row r="11" spans="2:15" ht="16">
      <c r="B11" s="376"/>
      <c r="C11" s="379"/>
      <c r="D11" s="43" t="s">
        <v>16</v>
      </c>
      <c r="E11" s="44" t="s">
        <v>2</v>
      </c>
      <c r="F11" s="12">
        <v>28</v>
      </c>
      <c r="G11" s="385"/>
      <c r="H11" s="12">
        <v>27.5</v>
      </c>
      <c r="I11" s="385"/>
    </row>
    <row r="12" spans="2:15" ht="16">
      <c r="B12" s="376"/>
      <c r="C12" s="379"/>
      <c r="D12" s="387" t="s">
        <v>18</v>
      </c>
      <c r="E12" s="45" t="s">
        <v>26</v>
      </c>
      <c r="F12" s="13">
        <v>755.2</v>
      </c>
      <c r="G12" s="385"/>
      <c r="H12" s="13">
        <v>747.9</v>
      </c>
      <c r="I12" s="385"/>
    </row>
    <row r="13" spans="2:15" ht="16">
      <c r="B13" s="376"/>
      <c r="C13" s="379"/>
      <c r="D13" s="388"/>
      <c r="E13" s="45" t="s">
        <v>27</v>
      </c>
      <c r="F13" s="13">
        <v>16.7</v>
      </c>
      <c r="G13" s="385"/>
      <c r="H13" s="13">
        <v>16</v>
      </c>
      <c r="I13" s="385"/>
    </row>
    <row r="14" spans="2:15" ht="16">
      <c r="B14" s="376"/>
      <c r="C14" s="379"/>
      <c r="D14" s="46" t="s">
        <v>19</v>
      </c>
      <c r="E14" s="47" t="s">
        <v>4</v>
      </c>
      <c r="F14" s="14">
        <v>181</v>
      </c>
      <c r="G14" s="385"/>
      <c r="H14" s="14">
        <v>181</v>
      </c>
      <c r="I14" s="385"/>
    </row>
    <row r="15" spans="2:15" ht="16.5" thickBot="1">
      <c r="B15" s="376"/>
      <c r="C15" s="380"/>
      <c r="D15" s="389" t="s">
        <v>28</v>
      </c>
      <c r="E15" s="390"/>
      <c r="F15" s="15">
        <v>1714.6000000000001</v>
      </c>
      <c r="G15" s="385"/>
      <c r="H15" s="15">
        <v>1740.3</v>
      </c>
      <c r="I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1235</v>
      </c>
      <c r="G16" s="385"/>
      <c r="H16" s="8">
        <v>1145</v>
      </c>
      <c r="I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-91.1</v>
      </c>
      <c r="G17" s="385"/>
      <c r="H17" s="16">
        <v>-227.1</v>
      </c>
      <c r="I17" s="385"/>
    </row>
    <row r="18" spans="2:15" ht="16.5" thickBot="1">
      <c r="B18" s="376"/>
      <c r="C18" s="392"/>
      <c r="D18" s="395"/>
      <c r="E18" s="51" t="s">
        <v>31</v>
      </c>
      <c r="F18" s="17">
        <v>-4</v>
      </c>
      <c r="G18" s="385"/>
      <c r="H18" s="17">
        <v>-4</v>
      </c>
      <c r="I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-164.9</v>
      </c>
      <c r="G19" s="385"/>
      <c r="H19" s="18">
        <v>-229</v>
      </c>
      <c r="I19" s="385"/>
    </row>
    <row r="20" spans="2:15" ht="16.5" thickBot="1">
      <c r="B20" s="376"/>
      <c r="C20" s="392"/>
      <c r="D20" s="397"/>
      <c r="E20" s="53" t="s">
        <v>33</v>
      </c>
      <c r="F20" s="19">
        <v>-20.100000000000001</v>
      </c>
      <c r="G20" s="385"/>
      <c r="H20" s="19">
        <v>0</v>
      </c>
      <c r="I20" s="385"/>
    </row>
    <row r="21" spans="2:15" ht="16.5" thickBot="1">
      <c r="B21" s="377"/>
      <c r="C21" s="393"/>
      <c r="D21" s="398" t="s">
        <v>34</v>
      </c>
      <c r="E21" s="399"/>
      <c r="F21" s="27">
        <v>1515.1</v>
      </c>
      <c r="G21" s="386"/>
      <c r="H21" s="332">
        <f>H16-(H17+H18+H20+H19)</f>
        <v>1605.1</v>
      </c>
      <c r="I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1714.6000000000001</v>
      </c>
      <c r="G23" s="400"/>
      <c r="H23" s="20">
        <v>1740.3</v>
      </c>
      <c r="I23" s="400"/>
    </row>
    <row r="24" spans="2:15" ht="16">
      <c r="B24" s="409"/>
      <c r="C24" s="403" t="s">
        <v>37</v>
      </c>
      <c r="D24" s="404"/>
      <c r="E24" s="405"/>
      <c r="F24" s="21">
        <v>1515.1</v>
      </c>
      <c r="G24" s="401"/>
      <c r="H24" s="21">
        <v>1605.1</v>
      </c>
      <c r="I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199.50000000000023</v>
      </c>
      <c r="G25" s="402"/>
      <c r="H25" s="67">
        <v>135.20000000000005</v>
      </c>
      <c r="I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0">
    <mergeCell ref="C16:C21"/>
    <mergeCell ref="D17:D18"/>
    <mergeCell ref="D19:D20"/>
    <mergeCell ref="D21:E21"/>
    <mergeCell ref="B23:B25"/>
    <mergeCell ref="C23:E23"/>
    <mergeCell ref="C2:E2"/>
    <mergeCell ref="F2:G2"/>
    <mergeCell ref="H2:I2"/>
    <mergeCell ref="C3:E3"/>
    <mergeCell ref="B5:B21"/>
    <mergeCell ref="C5:C15"/>
    <mergeCell ref="G5:G21"/>
    <mergeCell ref="I5:I21"/>
    <mergeCell ref="D12:D13"/>
    <mergeCell ref="D15:E15"/>
    <mergeCell ref="G23:G25"/>
    <mergeCell ref="I23:I25"/>
    <mergeCell ref="C24:E24"/>
    <mergeCell ref="D25:E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>
    <oddHeader>&amp;L&amp;"メイリオ,レギュラー"&amp;22　日別の需給状況・再エネ出力抑制の必要性（2025年7月）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9686-A9DF-4D8D-A17F-6BB0F56A1120}">
  <sheetPr>
    <pageSetUpPr fitToPage="1"/>
  </sheetPr>
  <dimension ref="A1:Y57"/>
  <sheetViews>
    <sheetView showGridLines="0" view="pageBreakPreview" zoomScale="70" zoomScaleNormal="55" zoomScaleSheetLayoutView="7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 t="s">
        <v>143</v>
      </c>
      <c r="N2" s="23"/>
      <c r="O2" s="23"/>
      <c r="P2" s="23"/>
      <c r="Q2" s="22"/>
      <c r="Y2" s="220"/>
    </row>
    <row r="3" spans="3:25" ht="17" thickTop="1" thickBot="1">
      <c r="C3" s="435" t="s">
        <v>142</v>
      </c>
      <c r="D3" s="436"/>
      <c r="E3" s="437"/>
      <c r="F3" s="417">
        <v>45857</v>
      </c>
      <c r="G3" s="418"/>
      <c r="H3" s="418"/>
      <c r="I3" s="419"/>
      <c r="J3" s="417">
        <v>45858</v>
      </c>
      <c r="K3" s="418"/>
      <c r="L3" s="418"/>
      <c r="M3" s="419"/>
      <c r="Q3" s="1"/>
      <c r="U3" s="1"/>
      <c r="Y3" s="1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139</v>
      </c>
      <c r="K4" s="181" t="s">
        <v>86</v>
      </c>
      <c r="L4" s="180" t="s">
        <v>85</v>
      </c>
      <c r="M4" s="179" t="s">
        <v>92</v>
      </c>
      <c r="Q4" s="1"/>
      <c r="U4" s="1"/>
      <c r="Y4" s="1"/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 t="shared" ref="H5:H8" si="0">SUM(G5,-F5)</f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Q5" s="1"/>
      <c r="U5" s="1"/>
      <c r="Y5" s="1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f t="shared" si="0"/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Q6" s="1"/>
      <c r="U6" s="1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v>0</v>
      </c>
      <c r="M7" s="219"/>
      <c r="Q7" s="1"/>
      <c r="U7" s="1"/>
      <c r="Y7" s="1"/>
    </row>
    <row r="8" spans="3:25" ht="16">
      <c r="C8" s="423"/>
      <c r="D8" s="426"/>
      <c r="E8" s="218" t="s">
        <v>133</v>
      </c>
      <c r="F8" s="217">
        <v>61.900000000000006</v>
      </c>
      <c r="G8" s="216">
        <v>61.900000000000006</v>
      </c>
      <c r="H8" s="215">
        <f t="shared" si="0"/>
        <v>0</v>
      </c>
      <c r="I8" s="214"/>
      <c r="J8" s="166">
        <v>60.1</v>
      </c>
      <c r="K8" s="216">
        <v>60.1</v>
      </c>
      <c r="L8" s="215">
        <v>0</v>
      </c>
      <c r="M8" s="214"/>
      <c r="Q8" s="1"/>
      <c r="U8" s="1"/>
      <c r="Y8" s="1"/>
    </row>
    <row r="9" spans="3:25" ht="16.5" thickBot="1">
      <c r="C9" s="424"/>
      <c r="D9" s="427" t="s">
        <v>101</v>
      </c>
      <c r="E9" s="428"/>
      <c r="F9" s="188">
        <f t="shared" ref="F9:J9" si="1">SUM(F5:F8)</f>
        <v>103.30000000000001</v>
      </c>
      <c r="G9" s="187">
        <f t="shared" si="1"/>
        <v>103.30000000000001</v>
      </c>
      <c r="H9" s="187">
        <f t="shared" si="1"/>
        <v>0</v>
      </c>
      <c r="I9" s="213" t="s">
        <v>159</v>
      </c>
      <c r="J9" s="188">
        <f t="shared" si="1"/>
        <v>101.5</v>
      </c>
      <c r="K9" s="187">
        <f t="shared" ref="K9" si="2">SUM(K5:K8)</f>
        <v>101.5</v>
      </c>
      <c r="L9" s="187">
        <v>0</v>
      </c>
      <c r="M9" s="213" t="s">
        <v>81</v>
      </c>
      <c r="Q9" s="1"/>
      <c r="U9" s="1"/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Q10" s="1"/>
      <c r="U10" s="1"/>
      <c r="Y10" s="1"/>
    </row>
    <row r="11" spans="3:25" ht="17" thickTop="1" thickBot="1">
      <c r="C11" s="429" t="s">
        <v>132</v>
      </c>
      <c r="D11" s="430"/>
      <c r="E11" s="431"/>
      <c r="F11" s="534">
        <v>45857</v>
      </c>
      <c r="G11" s="535"/>
      <c r="H11" s="535"/>
      <c r="I11" s="536"/>
      <c r="J11" s="432">
        <v>45858</v>
      </c>
      <c r="K11" s="433"/>
      <c r="L11" s="433"/>
      <c r="M11" s="434"/>
      <c r="Q11" s="1"/>
      <c r="U11" s="1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129</v>
      </c>
      <c r="K12" s="181" t="s">
        <v>86</v>
      </c>
      <c r="L12" s="180" t="s">
        <v>85</v>
      </c>
      <c r="M12" s="179" t="s">
        <v>92</v>
      </c>
      <c r="Q12" s="1"/>
      <c r="U12" s="1"/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3">SUM(G13,-F13)</f>
        <v>26.1</v>
      </c>
      <c r="I13" s="189" t="s">
        <v>149</v>
      </c>
      <c r="J13" s="166">
        <v>-26.1</v>
      </c>
      <c r="K13" s="165">
        <v>0</v>
      </c>
      <c r="L13" s="164">
        <v>26.1</v>
      </c>
      <c r="M13" s="189" t="s">
        <v>149</v>
      </c>
      <c r="Q13" s="1"/>
      <c r="U13" s="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3"/>
        <v>0</v>
      </c>
      <c r="I14" s="189"/>
      <c r="J14" s="166">
        <v>-26.1</v>
      </c>
      <c r="K14" s="165">
        <v>-26.1</v>
      </c>
      <c r="L14" s="164">
        <v>0</v>
      </c>
      <c r="M14" s="189"/>
      <c r="Q14" s="1"/>
      <c r="U14" s="1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3"/>
        <v>0</v>
      </c>
      <c r="I15" s="189"/>
      <c r="J15" s="166">
        <v>-32.5</v>
      </c>
      <c r="K15" s="165">
        <v>-32.5</v>
      </c>
      <c r="L15" s="164">
        <v>0</v>
      </c>
      <c r="M15" s="189"/>
      <c r="Q15" s="1"/>
      <c r="U15" s="1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3"/>
        <v>0</v>
      </c>
      <c r="I16" s="189"/>
      <c r="J16" s="166">
        <v>-32.5</v>
      </c>
      <c r="K16" s="165">
        <v>-32.5</v>
      </c>
      <c r="L16" s="164">
        <v>0</v>
      </c>
      <c r="M16" s="189"/>
      <c r="Q16" s="1"/>
      <c r="U16" s="1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f t="shared" si="3"/>
        <v>34</v>
      </c>
      <c r="I17" s="212" t="s">
        <v>154</v>
      </c>
      <c r="J17" s="166">
        <v>-34</v>
      </c>
      <c r="K17" s="165">
        <v>-34</v>
      </c>
      <c r="L17" s="164">
        <v>0</v>
      </c>
      <c r="M17" s="212"/>
      <c r="Q17" s="1"/>
      <c r="U17" s="1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f t="shared" si="3"/>
        <v>34</v>
      </c>
      <c r="I18" s="212" t="s">
        <v>154</v>
      </c>
      <c r="J18" s="166">
        <v>-34</v>
      </c>
      <c r="K18" s="165">
        <v>-34</v>
      </c>
      <c r="L18" s="164">
        <v>0</v>
      </c>
      <c r="M18" s="189"/>
      <c r="Q18" s="1"/>
      <c r="U18" s="1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0</v>
      </c>
      <c r="H19" s="164">
        <f t="shared" si="3"/>
        <v>34</v>
      </c>
      <c r="I19" s="189" t="s">
        <v>154</v>
      </c>
      <c r="J19" s="166">
        <v>-34</v>
      </c>
      <c r="K19" s="165">
        <v>-34</v>
      </c>
      <c r="L19" s="164">
        <v>0</v>
      </c>
      <c r="M19" s="189"/>
      <c r="Q19" s="1"/>
      <c r="U19" s="1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0</v>
      </c>
      <c r="H20" s="164">
        <f t="shared" si="3"/>
        <v>34</v>
      </c>
      <c r="I20" s="212" t="s">
        <v>154</v>
      </c>
      <c r="J20" s="166">
        <v>-34</v>
      </c>
      <c r="K20" s="165">
        <v>-34</v>
      </c>
      <c r="L20" s="164">
        <v>0</v>
      </c>
      <c r="M20" s="189"/>
      <c r="Q20" s="1"/>
      <c r="U20" s="1"/>
      <c r="Y20" s="1"/>
    </row>
    <row r="21" spans="3:25" ht="16.5" thickBot="1">
      <c r="C21" s="441"/>
      <c r="D21" s="427" t="s">
        <v>101</v>
      </c>
      <c r="E21" s="428"/>
      <c r="F21" s="188">
        <f t="shared" ref="F21:L21" si="4">SUM(F13:F20)</f>
        <v>-253.2</v>
      </c>
      <c r="G21" s="187">
        <f t="shared" si="4"/>
        <v>-91.1</v>
      </c>
      <c r="H21" s="187">
        <f t="shared" si="4"/>
        <v>162.1</v>
      </c>
      <c r="I21" s="186" t="s">
        <v>159</v>
      </c>
      <c r="J21" s="188">
        <f t="shared" si="4"/>
        <v>-253.2</v>
      </c>
      <c r="K21" s="187">
        <f t="shared" si="4"/>
        <v>-227.1</v>
      </c>
      <c r="L21" s="187">
        <f t="shared" si="4"/>
        <v>26.1</v>
      </c>
      <c r="M21" s="186" t="s">
        <v>81</v>
      </c>
      <c r="Q21" s="1"/>
      <c r="U21" s="1"/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Q22" s="1"/>
      <c r="U22" s="1"/>
      <c r="Y22" s="1"/>
    </row>
    <row r="23" spans="3:25" ht="17" thickTop="1" thickBot="1">
      <c r="C23" s="429" t="s">
        <v>120</v>
      </c>
      <c r="D23" s="430"/>
      <c r="E23" s="431"/>
      <c r="F23" s="534">
        <v>45857</v>
      </c>
      <c r="G23" s="535"/>
      <c r="H23" s="535"/>
      <c r="I23" s="536"/>
      <c r="J23" s="432">
        <v>45858</v>
      </c>
      <c r="K23" s="433"/>
      <c r="L23" s="433"/>
      <c r="M23" s="434"/>
      <c r="Q23" s="1"/>
      <c r="U23" s="1"/>
      <c r="Y23" s="1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117</v>
      </c>
      <c r="K24" s="181" t="s">
        <v>86</v>
      </c>
      <c r="L24" s="180" t="s">
        <v>85</v>
      </c>
      <c r="M24" s="179" t="s">
        <v>92</v>
      </c>
      <c r="Q24" s="1"/>
      <c r="U24" s="1"/>
      <c r="Y24" s="1"/>
    </row>
    <row r="25" spans="3:25" ht="16.5" thickBot="1">
      <c r="C25" s="446"/>
      <c r="D25" s="447"/>
      <c r="E25" s="449"/>
      <c r="F25" s="209">
        <v>-5</v>
      </c>
      <c r="G25" s="208">
        <v>-4</v>
      </c>
      <c r="H25" s="207">
        <f t="shared" ref="H25" si="5">SUM(G25,-F25)</f>
        <v>1</v>
      </c>
      <c r="I25" s="206" t="s">
        <v>150</v>
      </c>
      <c r="J25" s="209">
        <v>-5</v>
      </c>
      <c r="K25" s="208">
        <v>-4</v>
      </c>
      <c r="L25" s="207">
        <v>1</v>
      </c>
      <c r="M25" s="206" t="s">
        <v>150</v>
      </c>
      <c r="Q25" s="1"/>
      <c r="U25" s="1"/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Q26" s="1"/>
      <c r="U26" s="1"/>
      <c r="Y26" s="1"/>
    </row>
    <row r="27" spans="3:25" ht="17" thickTop="1" thickBot="1">
      <c r="C27" s="429" t="s">
        <v>116</v>
      </c>
      <c r="D27" s="430"/>
      <c r="E27" s="431"/>
      <c r="F27" s="534">
        <v>45857</v>
      </c>
      <c r="G27" s="535"/>
      <c r="H27" s="535"/>
      <c r="I27" s="536"/>
      <c r="J27" s="432">
        <v>45858</v>
      </c>
      <c r="K27" s="433"/>
      <c r="L27" s="433"/>
      <c r="M27" s="434"/>
      <c r="Q27" s="1"/>
      <c r="U27" s="1"/>
      <c r="Y27" s="1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112</v>
      </c>
      <c r="K28" s="181" t="s">
        <v>86</v>
      </c>
      <c r="L28" s="180" t="s">
        <v>85</v>
      </c>
      <c r="M28" s="179" t="s">
        <v>92</v>
      </c>
      <c r="Q28" s="1"/>
      <c r="U28" s="1"/>
      <c r="Y28" s="1"/>
    </row>
    <row r="29" spans="3:25" ht="16">
      <c r="C29" s="451"/>
      <c r="D29" s="425" t="s">
        <v>111</v>
      </c>
      <c r="E29" s="453" t="s">
        <v>110</v>
      </c>
      <c r="F29" s="200">
        <f>ROUND('[5]電源Ⅲ (実績取り纏め)'!I79,1)</f>
        <v>0</v>
      </c>
      <c r="G29" s="455">
        <f>ROUND('[5]電源Ⅲ (実績取り纏め)'!O79,1)</f>
        <v>0</v>
      </c>
      <c r="H29" s="457">
        <f t="shared" ref="H29" si="6">SUM(G29,-F29)</f>
        <v>0</v>
      </c>
      <c r="I29" s="459"/>
      <c r="J29" s="200">
        <v>0</v>
      </c>
      <c r="K29" s="455">
        <v>0</v>
      </c>
      <c r="L29" s="457">
        <v>0</v>
      </c>
      <c r="M29" s="459"/>
      <c r="Q29" s="1"/>
      <c r="U29" s="1"/>
      <c r="Y29" s="1"/>
    </row>
    <row r="30" spans="3:25" ht="16">
      <c r="C30" s="451"/>
      <c r="D30" s="443"/>
      <c r="E30" s="454"/>
      <c r="F30" s="202">
        <f>ROUND('[5]電源Ⅲ (実績取り纏め)'!I80/100,2)</f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Q30" s="1"/>
      <c r="U30" s="1"/>
      <c r="Y30" s="1"/>
    </row>
    <row r="31" spans="3:25" ht="16">
      <c r="C31" s="451"/>
      <c r="D31" s="443"/>
      <c r="E31" s="453" t="s">
        <v>109</v>
      </c>
      <c r="F31" s="200">
        <f>ROUND('[5]電源Ⅲ (実績取り纏め)'!I81,1)</f>
        <v>54.4</v>
      </c>
      <c r="G31" s="455">
        <f>ROUND('[5]電源Ⅲ (実績取り纏め)'!O81,1)</f>
        <v>54.4</v>
      </c>
      <c r="H31" s="457">
        <f t="shared" ref="H31" si="7">SUM(G31,-F31)</f>
        <v>0</v>
      </c>
      <c r="I31" s="459"/>
      <c r="J31" s="200">
        <v>54.4</v>
      </c>
      <c r="K31" s="455">
        <v>54.4</v>
      </c>
      <c r="L31" s="457">
        <v>0</v>
      </c>
      <c r="M31" s="459"/>
      <c r="Q31" s="1"/>
      <c r="U31" s="1"/>
      <c r="Y31" s="1"/>
    </row>
    <row r="32" spans="3:25" ht="16">
      <c r="C32" s="451"/>
      <c r="D32" s="442"/>
      <c r="E32" s="454"/>
      <c r="F32" s="202">
        <f>ROUND('[5]電源Ⅲ (実績取り纏め)'!I82/100,2)</f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Q32" s="1"/>
      <c r="U32" s="1"/>
      <c r="Y32" s="1"/>
    </row>
    <row r="33" spans="3:25" ht="16">
      <c r="C33" s="451"/>
      <c r="D33" s="466" t="s">
        <v>107</v>
      </c>
      <c r="E33" s="201" t="s">
        <v>106</v>
      </c>
      <c r="F33" s="200">
        <v>33.6</v>
      </c>
      <c r="G33" s="199">
        <v>49</v>
      </c>
      <c r="H33" s="457">
        <f t="shared" ref="H33" si="8">SUM(G33,-F33)</f>
        <v>15.399999999999999</v>
      </c>
      <c r="I33" s="459" t="s">
        <v>148</v>
      </c>
      <c r="J33" s="200">
        <v>33.799999999999997</v>
      </c>
      <c r="K33" s="199">
        <v>49.1</v>
      </c>
      <c r="L33" s="457">
        <f t="shared" ref="L33" si="9">SUM(K33,-J33)</f>
        <v>15.300000000000004</v>
      </c>
      <c r="M33" s="459" t="s">
        <v>148</v>
      </c>
      <c r="Q33" s="1"/>
      <c r="U33" s="1"/>
      <c r="Y33" s="1"/>
    </row>
    <row r="34" spans="3:25" ht="16">
      <c r="C34" s="451"/>
      <c r="D34" s="467"/>
      <c r="E34" s="463" t="s">
        <v>104</v>
      </c>
      <c r="F34" s="198">
        <f>ROUND('[5]電源Ⅲ (実績取り纏め)'!I84/100,2)</f>
        <v>0.23</v>
      </c>
      <c r="G34" s="197">
        <f>ROUND('[5]電源Ⅲ (実績取り纏め)'!O84/100,2)</f>
        <v>0.33</v>
      </c>
      <c r="H34" s="458"/>
      <c r="I34" s="460"/>
      <c r="J34" s="198">
        <v>0.23</v>
      </c>
      <c r="K34" s="197">
        <v>0.33</v>
      </c>
      <c r="L34" s="458"/>
      <c r="M34" s="460"/>
      <c r="Q34" s="1"/>
      <c r="U34" s="1"/>
      <c r="Y34" s="1"/>
    </row>
    <row r="35" spans="3:25" ht="13.5" customHeight="1">
      <c r="C35" s="451"/>
      <c r="D35" s="468"/>
      <c r="E35" s="464"/>
      <c r="F35" s="196">
        <f>ROUND('[5]電源Ⅲ (実績取り纏め)'!H83,1)</f>
        <v>43.6</v>
      </c>
      <c r="G35" s="195"/>
      <c r="H35" s="195"/>
      <c r="I35" s="194"/>
      <c r="J35" s="196">
        <v>43.6</v>
      </c>
      <c r="K35" s="195"/>
      <c r="L35" s="195"/>
      <c r="M35" s="194"/>
      <c r="Q35" s="1"/>
      <c r="U35" s="1"/>
      <c r="Y35" s="1"/>
    </row>
    <row r="36" spans="3:25" ht="16">
      <c r="C36" s="451"/>
      <c r="D36" s="468"/>
      <c r="E36" s="465"/>
      <c r="F36" s="193">
        <f>ROUND('[5]電源Ⅲ (実績取り纏め)'!H84/100,2)</f>
        <v>0.24</v>
      </c>
      <c r="G36" s="192"/>
      <c r="H36" s="192"/>
      <c r="I36" s="191"/>
      <c r="J36" s="193">
        <v>0.24</v>
      </c>
      <c r="K36" s="192"/>
      <c r="L36" s="192"/>
      <c r="M36" s="191"/>
      <c r="Q36" s="1"/>
      <c r="U36" s="1"/>
      <c r="Y36" s="1"/>
    </row>
    <row r="37" spans="3:25" ht="16">
      <c r="C37" s="451"/>
      <c r="D37" s="467"/>
      <c r="E37" s="190" t="s">
        <v>103</v>
      </c>
      <c r="F37" s="166">
        <f>ROUND('[5]電源Ⅲ (実績取り纏め)'!H85,1)</f>
        <v>10</v>
      </c>
      <c r="G37" s="165">
        <v>2.2999999999999998</v>
      </c>
      <c r="H37" s="164">
        <f t="shared" ref="H37" si="10">SUM(G37,-F37)</f>
        <v>-7.7</v>
      </c>
      <c r="I37" s="189" t="s">
        <v>147</v>
      </c>
      <c r="J37" s="166">
        <v>10</v>
      </c>
      <c r="K37" s="165">
        <v>1.4</v>
      </c>
      <c r="L37" s="164">
        <v>-8.6</v>
      </c>
      <c r="M37" s="189" t="s">
        <v>147</v>
      </c>
      <c r="Q37" s="1"/>
      <c r="U37" s="1"/>
      <c r="Y37" s="1"/>
    </row>
    <row r="38" spans="3:25" ht="16.5" thickBot="1">
      <c r="C38" s="452"/>
      <c r="D38" s="427" t="s">
        <v>101</v>
      </c>
      <c r="E38" s="428"/>
      <c r="F38" s="188">
        <f t="shared" ref="F38" si="11">SUM(F29,F31,F33,F37)</f>
        <v>98</v>
      </c>
      <c r="G38" s="187">
        <f t="shared" ref="G38" si="12">SUM(G29:G33,G37)</f>
        <v>105.7</v>
      </c>
      <c r="H38" s="187">
        <f t="shared" ref="H38" si="13">SUM(H29:H34,H37)</f>
        <v>7.6999999999999984</v>
      </c>
      <c r="I38" s="186"/>
      <c r="J38" s="188">
        <v>98.1</v>
      </c>
      <c r="K38" s="187">
        <f t="shared" ref="K38" si="14">SUM(K29:K33,K37)</f>
        <v>104.9</v>
      </c>
      <c r="L38" s="187">
        <v>6.6999999999999975</v>
      </c>
      <c r="M38" s="186"/>
      <c r="Q38" s="1"/>
      <c r="U38" s="1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Q39" s="1"/>
      <c r="U39" s="1"/>
      <c r="Y39" s="1"/>
    </row>
    <row r="40" spans="3:25" ht="17" thickTop="1" thickBot="1">
      <c r="C40" s="429" t="s">
        <v>100</v>
      </c>
      <c r="D40" s="430"/>
      <c r="E40" s="431"/>
      <c r="F40" s="534">
        <v>45857</v>
      </c>
      <c r="G40" s="535"/>
      <c r="H40" s="535"/>
      <c r="I40" s="536"/>
      <c r="J40" s="469">
        <v>45858</v>
      </c>
      <c r="K40" s="470"/>
      <c r="L40" s="470"/>
      <c r="M40" s="471"/>
      <c r="Q40" s="1"/>
      <c r="U40" s="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97</v>
      </c>
      <c r="K41" s="181" t="s">
        <v>86</v>
      </c>
      <c r="L41" s="180" t="s">
        <v>85</v>
      </c>
      <c r="M41" s="179" t="s">
        <v>92</v>
      </c>
      <c r="Q41" s="1"/>
      <c r="U41" s="1"/>
      <c r="Y41" s="1"/>
    </row>
    <row r="42" spans="3:25" ht="16.5" customHeight="1">
      <c r="C42" s="444"/>
      <c r="D42" s="445"/>
      <c r="E42" s="476" t="s">
        <v>96</v>
      </c>
      <c r="F42" s="178">
        <f>ROUND(HLOOKUP([5]翌日!M6,[5]翌日!T32:V39,6)/10,1)</f>
        <v>64.2</v>
      </c>
      <c r="G42" s="478">
        <f>ROUND(HLOOKUP([5]翌日!M6,[5]翌日!T32:V39,8)/10,1)</f>
        <v>20.100000000000001</v>
      </c>
      <c r="H42" s="457">
        <f t="shared" ref="H42" si="15">SUM(G42,-F42)</f>
        <v>-44.1</v>
      </c>
      <c r="I42" s="459" t="s">
        <v>151</v>
      </c>
      <c r="J42" s="178">
        <v>0</v>
      </c>
      <c r="K42" s="478">
        <v>0</v>
      </c>
      <c r="L42" s="457">
        <v>0</v>
      </c>
      <c r="M42" s="459"/>
      <c r="Q42" s="1"/>
      <c r="U42" s="1"/>
      <c r="Y42" s="1"/>
    </row>
    <row r="43" spans="3:25" ht="16.5" thickBot="1">
      <c r="C43" s="474"/>
      <c r="D43" s="475"/>
      <c r="E43" s="477"/>
      <c r="F43" s="183">
        <f>ROUND(HLOOKUP([5]翌日!M6,[5]翌日!T32:V39,2)/10,1)</f>
        <v>229</v>
      </c>
      <c r="G43" s="479"/>
      <c r="H43" s="480"/>
      <c r="I43" s="481"/>
      <c r="J43" s="183">
        <v>229</v>
      </c>
      <c r="K43" s="479"/>
      <c r="L43" s="480"/>
      <c r="M43" s="481"/>
      <c r="Q43" s="1"/>
      <c r="U43" s="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Q44" s="1"/>
      <c r="U44" s="1"/>
      <c r="Y44" s="1"/>
    </row>
    <row r="45" spans="3:25" ht="16.5" thickBot="1">
      <c r="C45" s="429" t="s">
        <v>94</v>
      </c>
      <c r="D45" s="430"/>
      <c r="E45" s="431"/>
      <c r="F45" s="469">
        <v>45857</v>
      </c>
      <c r="G45" s="470"/>
      <c r="H45" s="470"/>
      <c r="I45" s="471"/>
      <c r="J45" s="469">
        <v>45858</v>
      </c>
      <c r="K45" s="470"/>
      <c r="L45" s="470"/>
      <c r="M45" s="471"/>
      <c r="Q45" s="1"/>
      <c r="U45" s="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93</v>
      </c>
      <c r="K46" s="181" t="s">
        <v>86</v>
      </c>
      <c r="L46" s="180" t="s">
        <v>85</v>
      </c>
      <c r="M46" s="179" t="s">
        <v>92</v>
      </c>
      <c r="Q46" s="1"/>
      <c r="U46" s="1"/>
      <c r="Y46" s="1"/>
    </row>
    <row r="47" spans="3:25" ht="16">
      <c r="C47" s="444"/>
      <c r="D47" s="483"/>
      <c r="E47" s="488" t="s">
        <v>91</v>
      </c>
      <c r="F47" s="178">
        <f>ROUND('[5]電源Ⅲ (実績取り纏め)'!I88,1)</f>
        <v>39.4</v>
      </c>
      <c r="G47" s="478">
        <f>ROUND('[5]電源Ⅲ (実績取り纏め)'!O88,1)</f>
        <v>42.3</v>
      </c>
      <c r="H47" s="457">
        <f t="shared" ref="H47" si="16">SUM(G47,-F47)</f>
        <v>2.8999999999999986</v>
      </c>
      <c r="I47" s="459" t="s">
        <v>146</v>
      </c>
      <c r="J47" s="178">
        <v>39.299999999999997</v>
      </c>
      <c r="K47" s="478">
        <v>46.7</v>
      </c>
      <c r="L47" s="457">
        <v>7.3999999999999986</v>
      </c>
      <c r="M47" s="459" t="s">
        <v>146</v>
      </c>
      <c r="Q47" s="1"/>
      <c r="U47" s="1"/>
      <c r="Y47" s="1"/>
    </row>
    <row r="48" spans="3:25" ht="16.5" thickBot="1">
      <c r="C48" s="486"/>
      <c r="D48" s="487"/>
      <c r="E48" s="489"/>
      <c r="F48" s="177">
        <f>ROUND('[5]電源Ⅲ (実績取り纏め)'!I89/100,2)</f>
        <v>0.59</v>
      </c>
      <c r="G48" s="479"/>
      <c r="H48" s="480"/>
      <c r="I48" s="481"/>
      <c r="J48" s="177">
        <v>0.59</v>
      </c>
      <c r="K48" s="479"/>
      <c r="L48" s="480"/>
      <c r="M48" s="481"/>
      <c r="Q48" s="1"/>
      <c r="U48" s="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Q49" s="1"/>
      <c r="U49" s="1"/>
      <c r="Y49" s="1"/>
    </row>
    <row r="50" spans="1:25" ht="17" thickTop="1" thickBot="1">
      <c r="C50" s="429" t="s">
        <v>89</v>
      </c>
      <c r="D50" s="430"/>
      <c r="E50" s="431"/>
      <c r="F50" s="534">
        <v>45857</v>
      </c>
      <c r="G50" s="535"/>
      <c r="H50" s="535"/>
      <c r="I50" s="536"/>
      <c r="J50" s="469">
        <v>45858</v>
      </c>
      <c r="K50" s="470"/>
      <c r="L50" s="470"/>
      <c r="M50" s="471"/>
      <c r="Q50" s="1"/>
      <c r="U50" s="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87</v>
      </c>
      <c r="K51" s="170" t="s">
        <v>86</v>
      </c>
      <c r="L51" s="169" t="s">
        <v>85</v>
      </c>
      <c r="M51" s="168" t="s">
        <v>84</v>
      </c>
      <c r="Q51" s="1"/>
      <c r="U51" s="1"/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17">SUM(G52,-F52)</f>
        <v>0</v>
      </c>
      <c r="I52" s="163" t="s">
        <v>159</v>
      </c>
      <c r="J52" s="166">
        <v>0</v>
      </c>
      <c r="K52" s="165">
        <v>0</v>
      </c>
      <c r="L52" s="164">
        <v>0</v>
      </c>
      <c r="M52" s="163" t="s">
        <v>81</v>
      </c>
      <c r="Q52" s="1"/>
      <c r="U52" s="1"/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28</v>
      </c>
      <c r="H53" s="223" t="s">
        <v>159</v>
      </c>
      <c r="I53" s="260" t="s">
        <v>217</v>
      </c>
      <c r="J53" s="225">
        <v>0</v>
      </c>
      <c r="K53" s="224">
        <v>27.5</v>
      </c>
      <c r="L53" s="223" t="s">
        <v>81</v>
      </c>
      <c r="M53" s="260" t="s">
        <v>217</v>
      </c>
      <c r="Q53" s="1"/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218</v>
      </c>
      <c r="M57" s="23"/>
      <c r="N57" s="23"/>
      <c r="O57" s="23"/>
      <c r="P57" s="23"/>
      <c r="Q57" s="22"/>
    </row>
  </sheetData>
  <mergeCells count="72">
    <mergeCell ref="C51:D53"/>
    <mergeCell ref="K47:K48"/>
    <mergeCell ref="L47:L48"/>
    <mergeCell ref="M47:M48"/>
    <mergeCell ref="C50:E50"/>
    <mergeCell ref="F50:I50"/>
    <mergeCell ref="J50:M50"/>
    <mergeCell ref="C46:D48"/>
    <mergeCell ref="E47:E48"/>
    <mergeCell ref="G47:G48"/>
    <mergeCell ref="H47:H48"/>
    <mergeCell ref="I47:I48"/>
    <mergeCell ref="L42:L43"/>
    <mergeCell ref="M42:M43"/>
    <mergeCell ref="C45:E45"/>
    <mergeCell ref="F45:I45"/>
    <mergeCell ref="J45:M45"/>
    <mergeCell ref="C41:D43"/>
    <mergeCell ref="E42:E43"/>
    <mergeCell ref="G42:G43"/>
    <mergeCell ref="H42:H43"/>
    <mergeCell ref="I42:I43"/>
    <mergeCell ref="K42:K43"/>
    <mergeCell ref="L33:L34"/>
    <mergeCell ref="M33:M34"/>
    <mergeCell ref="E34:E36"/>
    <mergeCell ref="D38:E38"/>
    <mergeCell ref="C40:E40"/>
    <mergeCell ref="F40:I40"/>
    <mergeCell ref="J40:M40"/>
    <mergeCell ref="C28:C38"/>
    <mergeCell ref="D29:D32"/>
    <mergeCell ref="D33:D37"/>
    <mergeCell ref="H33:H34"/>
    <mergeCell ref="I33:I34"/>
    <mergeCell ref="K29:K30"/>
    <mergeCell ref="L29:L30"/>
    <mergeCell ref="M29:M30"/>
    <mergeCell ref="E31:E32"/>
    <mergeCell ref="G31:G32"/>
    <mergeCell ref="H31:H32"/>
    <mergeCell ref="I31:I32"/>
    <mergeCell ref="K31:K32"/>
    <mergeCell ref="L31:L32"/>
    <mergeCell ref="M31:M32"/>
    <mergeCell ref="E29:E30"/>
    <mergeCell ref="G29:G30"/>
    <mergeCell ref="H29:H30"/>
    <mergeCell ref="I29:I30"/>
    <mergeCell ref="C27:E27"/>
    <mergeCell ref="F27:I27"/>
    <mergeCell ref="J27:M27"/>
    <mergeCell ref="C11:E11"/>
    <mergeCell ref="F11:I11"/>
    <mergeCell ref="J11:M11"/>
    <mergeCell ref="C12:C21"/>
    <mergeCell ref="D13:D14"/>
    <mergeCell ref="D15:D16"/>
    <mergeCell ref="D17:D20"/>
    <mergeCell ref="D21:E21"/>
    <mergeCell ref="C23:E23"/>
    <mergeCell ref="F23:I23"/>
    <mergeCell ref="J23:M23"/>
    <mergeCell ref="C24:D25"/>
    <mergeCell ref="E24:E25"/>
    <mergeCell ref="C3:E3"/>
    <mergeCell ref="F3:I3"/>
    <mergeCell ref="J3:M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&amp;"メイリオ,ボールド"&amp;22日別の優先給電ルールに基づく抑制、調整状況（2025年7月）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1136-8B73-41CA-BA5C-ED8FE646A5E2}">
  <dimension ref="B1:O69"/>
  <sheetViews>
    <sheetView showGridLines="0" view="pageBreakPreview" zoomScale="70" zoomScaleNormal="70" zoomScaleSheetLayoutView="70" zoomScalePageLayoutView="85" workbookViewId="0">
      <selection activeCell="C58" sqref="C58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G1" s="32" t="s">
        <v>57</v>
      </c>
      <c r="I1" s="32"/>
      <c r="K1" s="32"/>
      <c r="O1" s="32"/>
    </row>
    <row r="2" spans="2:15" ht="16">
      <c r="B2" s="2"/>
      <c r="C2" s="367" t="s">
        <v>0</v>
      </c>
      <c r="D2" s="368"/>
      <c r="E2" s="369"/>
      <c r="F2" s="365" t="s">
        <v>42</v>
      </c>
      <c r="G2" s="366"/>
    </row>
    <row r="3" spans="2:15" ht="16.5" thickBot="1">
      <c r="B3" s="3"/>
      <c r="C3" s="372" t="s">
        <v>3</v>
      </c>
      <c r="D3" s="373"/>
      <c r="E3" s="374"/>
      <c r="F3" s="25">
        <v>45921</v>
      </c>
      <c r="G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99.8</v>
      </c>
      <c r="G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102.4</v>
      </c>
      <c r="G6" s="385"/>
    </row>
    <row r="7" spans="2:15" ht="16">
      <c r="B7" s="376"/>
      <c r="C7" s="379"/>
      <c r="D7" s="35" t="s">
        <v>13</v>
      </c>
      <c r="E7" s="36" t="s">
        <v>5</v>
      </c>
      <c r="F7" s="28">
        <v>293.89999999999998</v>
      </c>
      <c r="G7" s="385"/>
    </row>
    <row r="8" spans="2:15" ht="16">
      <c r="B8" s="376"/>
      <c r="C8" s="379"/>
      <c r="D8" s="37" t="s">
        <v>14</v>
      </c>
      <c r="E8" s="38" t="s">
        <v>6</v>
      </c>
      <c r="F8" s="29">
        <v>33.500000000000007</v>
      </c>
      <c r="G8" s="385"/>
    </row>
    <row r="9" spans="2:15" ht="16">
      <c r="B9" s="376"/>
      <c r="C9" s="379"/>
      <c r="D9" s="39" t="s">
        <v>15</v>
      </c>
      <c r="E9" s="40" t="s">
        <v>7</v>
      </c>
      <c r="F9" s="30">
        <v>11.6</v>
      </c>
      <c r="G9" s="385"/>
    </row>
    <row r="10" spans="2:15" ht="16">
      <c r="B10" s="376"/>
      <c r="C10" s="379"/>
      <c r="D10" s="41" t="s">
        <v>17</v>
      </c>
      <c r="E10" s="42" t="s">
        <v>1</v>
      </c>
      <c r="F10" s="11">
        <v>42.7</v>
      </c>
      <c r="G10" s="385"/>
    </row>
    <row r="11" spans="2:15" ht="16">
      <c r="B11" s="376"/>
      <c r="C11" s="379"/>
      <c r="D11" s="43" t="s">
        <v>16</v>
      </c>
      <c r="E11" s="44" t="s">
        <v>2</v>
      </c>
      <c r="F11" s="12">
        <v>28.3</v>
      </c>
      <c r="G11" s="385"/>
    </row>
    <row r="12" spans="2:15" ht="16">
      <c r="B12" s="376"/>
      <c r="C12" s="379"/>
      <c r="D12" s="387" t="s">
        <v>18</v>
      </c>
      <c r="E12" s="45" t="s">
        <v>26</v>
      </c>
      <c r="F12" s="13">
        <v>735.7</v>
      </c>
      <c r="G12" s="385"/>
    </row>
    <row r="13" spans="2:15" ht="16">
      <c r="B13" s="376"/>
      <c r="C13" s="379"/>
      <c r="D13" s="388"/>
      <c r="E13" s="45" t="s">
        <v>27</v>
      </c>
      <c r="F13" s="13">
        <v>25.9</v>
      </c>
      <c r="G13" s="385"/>
    </row>
    <row r="14" spans="2:15" ht="16">
      <c r="B14" s="376"/>
      <c r="C14" s="379"/>
      <c r="D14" s="46" t="s">
        <v>19</v>
      </c>
      <c r="E14" s="47" t="s">
        <v>4</v>
      </c>
      <c r="F14" s="14">
        <v>123</v>
      </c>
      <c r="G14" s="385"/>
    </row>
    <row r="15" spans="2:15" ht="16.5" thickBot="1">
      <c r="B15" s="376"/>
      <c r="C15" s="380"/>
      <c r="D15" s="389" t="s">
        <v>28</v>
      </c>
      <c r="E15" s="390"/>
      <c r="F15" s="15">
        <v>1496.8000000000002</v>
      </c>
      <c r="G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1025</v>
      </c>
      <c r="G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-253.2</v>
      </c>
      <c r="G17" s="385"/>
    </row>
    <row r="18" spans="2:15" ht="16.5" thickBot="1">
      <c r="B18" s="376"/>
      <c r="C18" s="392"/>
      <c r="D18" s="395"/>
      <c r="E18" s="51" t="s">
        <v>31</v>
      </c>
      <c r="F18" s="17">
        <v>-4.2</v>
      </c>
      <c r="G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-125.5</v>
      </c>
      <c r="G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</row>
    <row r="21" spans="2:15" ht="16.5" thickBot="1">
      <c r="B21" s="377"/>
      <c r="C21" s="393"/>
      <c r="D21" s="398" t="s">
        <v>34</v>
      </c>
      <c r="E21" s="399"/>
      <c r="F21" s="27">
        <v>1407.9</v>
      </c>
      <c r="G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1496.8000000000002</v>
      </c>
      <c r="G23" s="400"/>
    </row>
    <row r="24" spans="2:15" ht="16">
      <c r="B24" s="409"/>
      <c r="C24" s="403" t="s">
        <v>37</v>
      </c>
      <c r="D24" s="404"/>
      <c r="E24" s="405"/>
      <c r="F24" s="21">
        <v>1407.9</v>
      </c>
      <c r="G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88.900000000000091</v>
      </c>
      <c r="G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17">
    <mergeCell ref="B23:B25"/>
    <mergeCell ref="C23:E23"/>
    <mergeCell ref="G23:G25"/>
    <mergeCell ref="C24:E24"/>
    <mergeCell ref="D25:E25"/>
    <mergeCell ref="C2:E2"/>
    <mergeCell ref="F2:G2"/>
    <mergeCell ref="C3:E3"/>
    <mergeCell ref="B5:B21"/>
    <mergeCell ref="C5:C15"/>
    <mergeCell ref="G5:G21"/>
    <mergeCell ref="D12:D13"/>
    <mergeCell ref="D15:E15"/>
    <mergeCell ref="C16:C21"/>
    <mergeCell ref="D17:D18"/>
    <mergeCell ref="D19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>
    <oddHeader>&amp;L&amp;"メイリオ,レギュラー"&amp;22　日別の需給状況・再エネ出力抑制の必要性（2025年9月）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42BA-A385-4B97-8725-30FC32ABFB3A}">
  <sheetPr>
    <pageSetUpPr fitToPage="1"/>
  </sheetPr>
  <dimension ref="A1:Y57"/>
  <sheetViews>
    <sheetView showGridLines="0" view="pageBreakPreview" zoomScale="70" zoomScaleNormal="55" zoomScaleSheetLayoutView="70" workbookViewId="0">
      <selection activeCell="L41" sqref="L41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0" t="s">
        <v>143</v>
      </c>
      <c r="J2" s="23"/>
      <c r="K2" s="23"/>
      <c r="L2" s="23"/>
      <c r="M2" s="220"/>
      <c r="N2" s="23"/>
      <c r="O2" s="23"/>
      <c r="P2" s="23"/>
      <c r="Q2" s="22"/>
      <c r="Y2" s="220"/>
    </row>
    <row r="3" spans="3:25" ht="17" thickTop="1" thickBot="1">
      <c r="C3" s="435" t="s">
        <v>142</v>
      </c>
      <c r="D3" s="436"/>
      <c r="E3" s="437"/>
      <c r="F3" s="417">
        <v>45921</v>
      </c>
      <c r="G3" s="418"/>
      <c r="H3" s="418"/>
      <c r="I3" s="419"/>
      <c r="M3" s="1"/>
      <c r="Q3" s="1"/>
      <c r="U3" s="1"/>
      <c r="Y3" s="1"/>
    </row>
    <row r="4" spans="3:25" ht="16">
      <c r="C4" s="421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M4" s="1"/>
      <c r="Q4" s="1"/>
      <c r="U4" s="1"/>
      <c r="Y4" s="1"/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24.6</v>
      </c>
      <c r="H5" s="164">
        <v>-8.1000000000000014</v>
      </c>
      <c r="I5" s="219" t="s">
        <v>219</v>
      </c>
      <c r="M5" s="1"/>
      <c r="Q5" s="1"/>
      <c r="U5" s="1"/>
      <c r="Y5" s="1"/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M6" s="1"/>
      <c r="Q6" s="1"/>
      <c r="U6" s="1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M7" s="1"/>
      <c r="Q7" s="1"/>
      <c r="U7" s="1"/>
      <c r="Y7" s="1"/>
    </row>
    <row r="8" spans="3:25" ht="16">
      <c r="C8" s="423"/>
      <c r="D8" s="426"/>
      <c r="E8" s="218" t="s">
        <v>133</v>
      </c>
      <c r="F8" s="217">
        <v>57.7</v>
      </c>
      <c r="G8" s="216">
        <v>57.7</v>
      </c>
      <c r="H8" s="215">
        <v>0</v>
      </c>
      <c r="I8" s="214"/>
      <c r="M8" s="1"/>
      <c r="Q8" s="1"/>
      <c r="U8" s="1"/>
      <c r="Y8" s="1"/>
    </row>
    <row r="9" spans="3:25" ht="16.5" thickBot="1">
      <c r="C9" s="424"/>
      <c r="D9" s="427" t="s">
        <v>101</v>
      </c>
      <c r="E9" s="428"/>
      <c r="F9" s="188">
        <v>107.9</v>
      </c>
      <c r="G9" s="187">
        <v>99.800000000000011</v>
      </c>
      <c r="H9" s="187">
        <v>-8.1000000000000014</v>
      </c>
      <c r="I9" s="213" t="s">
        <v>81</v>
      </c>
      <c r="M9" s="1"/>
      <c r="Q9" s="1"/>
      <c r="U9" s="1"/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M10" s="1"/>
      <c r="Q10" s="1"/>
      <c r="U10" s="1"/>
      <c r="Y10" s="1"/>
    </row>
    <row r="11" spans="3:25" ht="16.5" thickBot="1">
      <c r="C11" s="429" t="s">
        <v>132</v>
      </c>
      <c r="D11" s="430"/>
      <c r="E11" s="431"/>
      <c r="F11" s="432">
        <v>45921</v>
      </c>
      <c r="G11" s="433"/>
      <c r="H11" s="433"/>
      <c r="I11" s="434"/>
      <c r="M11" s="1"/>
      <c r="Q11" s="1"/>
      <c r="U11" s="1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M12" s="1"/>
      <c r="Q12" s="1"/>
      <c r="U12" s="1"/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M13" s="1"/>
      <c r="Q13" s="1"/>
      <c r="U13" s="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M14" s="1"/>
      <c r="Q14" s="1"/>
      <c r="U14" s="1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M15" s="1"/>
      <c r="Q15" s="1"/>
      <c r="U15" s="1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M16" s="1"/>
      <c r="Q16" s="1"/>
      <c r="U16" s="1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M17" s="1"/>
      <c r="Q17" s="1"/>
      <c r="U17" s="1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v>0</v>
      </c>
      <c r="I18" s="212"/>
      <c r="M18" s="1"/>
      <c r="Q18" s="1"/>
      <c r="U18" s="1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M19" s="1"/>
      <c r="Q19" s="1"/>
      <c r="U19" s="1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212"/>
      <c r="M20" s="1"/>
      <c r="Q20" s="1"/>
      <c r="U20" s="1"/>
      <c r="Y20" s="1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-253.2</v>
      </c>
      <c r="H21" s="187">
        <v>0</v>
      </c>
      <c r="I21" s="186" t="s">
        <v>81</v>
      </c>
      <c r="M21" s="1"/>
      <c r="Q21" s="1"/>
      <c r="U21" s="1"/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M22" s="1"/>
      <c r="Q22" s="1"/>
      <c r="U22" s="1"/>
      <c r="Y22" s="1"/>
    </row>
    <row r="23" spans="3:25" ht="16.5" thickBot="1">
      <c r="C23" s="429" t="s">
        <v>120</v>
      </c>
      <c r="D23" s="430"/>
      <c r="E23" s="431"/>
      <c r="F23" s="432">
        <v>45921</v>
      </c>
      <c r="G23" s="433"/>
      <c r="H23" s="433"/>
      <c r="I23" s="434"/>
      <c r="M23" s="1"/>
      <c r="Q23" s="1"/>
      <c r="U23" s="1"/>
      <c r="Y23" s="1"/>
    </row>
    <row r="24" spans="3:25" ht="16">
      <c r="C24" s="444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M24" s="1"/>
      <c r="Q24" s="1"/>
      <c r="U24" s="1"/>
      <c r="Y24" s="1"/>
    </row>
    <row r="25" spans="3:25" ht="16.5" thickBot="1">
      <c r="C25" s="446"/>
      <c r="D25" s="447"/>
      <c r="E25" s="449"/>
      <c r="F25" s="209">
        <v>-5</v>
      </c>
      <c r="G25" s="208">
        <v>-4.2</v>
      </c>
      <c r="H25" s="207">
        <v>0.79999999999999982</v>
      </c>
      <c r="I25" s="206" t="s">
        <v>150</v>
      </c>
      <c r="M25" s="1"/>
      <c r="Q25" s="1"/>
      <c r="U25" s="1"/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M26" s="1"/>
      <c r="Q26" s="1"/>
      <c r="U26" s="1"/>
      <c r="Y26" s="1"/>
    </row>
    <row r="27" spans="3:25" ht="16.5" thickBot="1">
      <c r="C27" s="429" t="s">
        <v>116</v>
      </c>
      <c r="D27" s="430"/>
      <c r="E27" s="431"/>
      <c r="F27" s="432">
        <v>45921</v>
      </c>
      <c r="G27" s="433"/>
      <c r="H27" s="433"/>
      <c r="I27" s="434"/>
      <c r="M27" s="1"/>
      <c r="Q27" s="1"/>
      <c r="U27" s="1"/>
      <c r="Y27" s="1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M28" s="1"/>
      <c r="Q28" s="1"/>
      <c r="U28" s="1"/>
      <c r="Y28" s="1"/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M29" s="1"/>
      <c r="Q29" s="1"/>
      <c r="U29" s="1"/>
      <c r="Y29" s="1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M30" s="1"/>
      <c r="Q30" s="1"/>
      <c r="U30" s="1"/>
      <c r="Y30" s="1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M31" s="1"/>
      <c r="Q31" s="1"/>
      <c r="U31" s="1"/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M32" s="1"/>
      <c r="Q32" s="1"/>
      <c r="U32" s="1"/>
      <c r="Y32" s="1"/>
    </row>
    <row r="33" spans="3:25" ht="16">
      <c r="C33" s="451"/>
      <c r="D33" s="466" t="s">
        <v>107</v>
      </c>
      <c r="E33" s="201" t="s">
        <v>106</v>
      </c>
      <c r="F33" s="200">
        <v>33.4</v>
      </c>
      <c r="G33" s="199">
        <v>47.6</v>
      </c>
      <c r="H33" s="457">
        <v>14.200000000000003</v>
      </c>
      <c r="I33" s="459" t="s">
        <v>148</v>
      </c>
      <c r="M33" s="1"/>
      <c r="Q33" s="1"/>
      <c r="U33" s="1"/>
      <c r="Y33" s="1"/>
    </row>
    <row r="34" spans="3:25" ht="16">
      <c r="C34" s="451"/>
      <c r="D34" s="467"/>
      <c r="E34" s="463" t="s">
        <v>104</v>
      </c>
      <c r="F34" s="198">
        <v>0.23</v>
      </c>
      <c r="G34" s="197">
        <v>0.32</v>
      </c>
      <c r="H34" s="458"/>
      <c r="I34" s="460"/>
      <c r="M34" s="1"/>
      <c r="Q34" s="1"/>
      <c r="U34" s="1"/>
      <c r="Y34" s="1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M35" s="1"/>
      <c r="Q35" s="1"/>
      <c r="U35" s="1"/>
      <c r="Y35" s="1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M36" s="1"/>
      <c r="Q36" s="1"/>
      <c r="U36" s="1"/>
      <c r="Y36" s="1"/>
    </row>
    <row r="37" spans="3:25" ht="16">
      <c r="C37" s="451"/>
      <c r="D37" s="467"/>
      <c r="E37" s="190" t="s">
        <v>103</v>
      </c>
      <c r="F37" s="166">
        <v>10</v>
      </c>
      <c r="G37" s="165">
        <v>0.39999999999999858</v>
      </c>
      <c r="H37" s="164">
        <v>-9.6000000000000014</v>
      </c>
      <c r="I37" s="189" t="s">
        <v>147</v>
      </c>
      <c r="M37" s="1"/>
      <c r="Q37" s="1"/>
      <c r="U37" s="1"/>
      <c r="Y37" s="1"/>
    </row>
    <row r="38" spans="3:25" ht="16.5" thickBot="1">
      <c r="C38" s="452"/>
      <c r="D38" s="427" t="s">
        <v>101</v>
      </c>
      <c r="E38" s="428"/>
      <c r="F38" s="188">
        <v>97.8</v>
      </c>
      <c r="G38" s="187">
        <v>102.4</v>
      </c>
      <c r="H38" s="187">
        <v>4.6000000000000014</v>
      </c>
      <c r="I38" s="186"/>
      <c r="M38" s="1"/>
      <c r="Q38" s="1"/>
      <c r="U38" s="1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M39" s="1"/>
      <c r="Q39" s="1"/>
      <c r="U39" s="1"/>
      <c r="Y39" s="1"/>
    </row>
    <row r="40" spans="3:25" ht="16.5" thickBot="1">
      <c r="C40" s="429" t="s">
        <v>100</v>
      </c>
      <c r="D40" s="430"/>
      <c r="E40" s="431"/>
      <c r="F40" s="469">
        <v>45921</v>
      </c>
      <c r="G40" s="470"/>
      <c r="H40" s="470"/>
      <c r="I40" s="471"/>
      <c r="M40" s="1"/>
      <c r="Q40" s="1"/>
      <c r="U40" s="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M41" s="1"/>
      <c r="Q41" s="1"/>
      <c r="U41" s="1"/>
      <c r="Y41" s="1"/>
    </row>
    <row r="42" spans="3:25" ht="16.5" customHeight="1">
      <c r="C42" s="444"/>
      <c r="D42" s="445"/>
      <c r="E42" s="476" t="s">
        <v>96</v>
      </c>
      <c r="F42" s="178">
        <v>75.5</v>
      </c>
      <c r="G42" s="478">
        <v>0</v>
      </c>
      <c r="H42" s="457">
        <v>-75.5</v>
      </c>
      <c r="I42" s="459" t="s">
        <v>151</v>
      </c>
      <c r="M42" s="1"/>
      <c r="Q42" s="1"/>
      <c r="U42" s="1"/>
      <c r="Y42" s="1"/>
    </row>
    <row r="43" spans="3:25" ht="16.5" thickBot="1">
      <c r="C43" s="474"/>
      <c r="D43" s="475"/>
      <c r="E43" s="477"/>
      <c r="F43" s="183">
        <v>201</v>
      </c>
      <c r="G43" s="479"/>
      <c r="H43" s="480"/>
      <c r="I43" s="481"/>
      <c r="M43" s="1"/>
      <c r="Q43" s="1"/>
      <c r="U43" s="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M44" s="1"/>
      <c r="Q44" s="1"/>
      <c r="U44" s="1"/>
      <c r="Y44" s="1"/>
    </row>
    <row r="45" spans="3:25" ht="16.5" thickBot="1">
      <c r="C45" s="429" t="s">
        <v>94</v>
      </c>
      <c r="D45" s="430"/>
      <c r="E45" s="431"/>
      <c r="F45" s="469">
        <v>45921</v>
      </c>
      <c r="G45" s="470"/>
      <c r="H45" s="470"/>
      <c r="I45" s="471"/>
      <c r="M45" s="1"/>
      <c r="Q45" s="1"/>
      <c r="U45" s="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M46" s="1"/>
      <c r="Q46" s="1"/>
      <c r="U46" s="1"/>
      <c r="Y46" s="1"/>
    </row>
    <row r="47" spans="3:25" ht="16">
      <c r="C47" s="444"/>
      <c r="D47" s="483"/>
      <c r="E47" s="488" t="s">
        <v>91</v>
      </c>
      <c r="F47" s="178">
        <v>39</v>
      </c>
      <c r="G47" s="478">
        <v>42.7</v>
      </c>
      <c r="H47" s="457">
        <v>3.7000000000000028</v>
      </c>
      <c r="I47" s="459" t="s">
        <v>146</v>
      </c>
      <c r="M47" s="1"/>
      <c r="Q47" s="1"/>
      <c r="U47" s="1"/>
      <c r="Y47" s="1"/>
    </row>
    <row r="48" spans="3:25" ht="16.5" thickBot="1">
      <c r="C48" s="486"/>
      <c r="D48" s="487"/>
      <c r="E48" s="489"/>
      <c r="F48" s="177">
        <v>0.57999999999999996</v>
      </c>
      <c r="G48" s="479"/>
      <c r="H48" s="480"/>
      <c r="I48" s="481"/>
      <c r="M48" s="1"/>
      <c r="Q48" s="1"/>
      <c r="U48" s="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M49" s="1"/>
      <c r="Q49" s="1"/>
      <c r="U49" s="1"/>
      <c r="Y49" s="1"/>
    </row>
    <row r="50" spans="1:25" ht="16.5" thickBot="1">
      <c r="C50" s="429" t="s">
        <v>89</v>
      </c>
      <c r="D50" s="430"/>
      <c r="E50" s="431"/>
      <c r="F50" s="469">
        <v>45921</v>
      </c>
      <c r="G50" s="470"/>
      <c r="H50" s="470"/>
      <c r="I50" s="471"/>
      <c r="M50" s="1"/>
      <c r="Q50" s="1"/>
      <c r="U50" s="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M51" s="1"/>
      <c r="Q51" s="1"/>
      <c r="U51" s="1"/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M52" s="1"/>
      <c r="Q52" s="1"/>
      <c r="U52" s="1"/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28.3</v>
      </c>
      <c r="H53" s="223" t="s">
        <v>81</v>
      </c>
      <c r="I53" s="260" t="s">
        <v>217</v>
      </c>
      <c r="M53" s="1"/>
      <c r="Q53" s="1"/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218</v>
      </c>
      <c r="M57" s="23"/>
      <c r="N57" s="23"/>
      <c r="O57" s="23"/>
      <c r="P57" s="23"/>
      <c r="Q57" s="22"/>
    </row>
  </sheetData>
  <mergeCells count="51">
    <mergeCell ref="C3:E3"/>
    <mergeCell ref="F3:I3"/>
    <mergeCell ref="C4:C9"/>
    <mergeCell ref="D5:D6"/>
    <mergeCell ref="D7:D8"/>
    <mergeCell ref="D9:E9"/>
    <mergeCell ref="C11:E11"/>
    <mergeCell ref="C23:E23"/>
    <mergeCell ref="F23:I23"/>
    <mergeCell ref="C12:C21"/>
    <mergeCell ref="D13:D14"/>
    <mergeCell ref="D15:D16"/>
    <mergeCell ref="D17:D20"/>
    <mergeCell ref="D21:E21"/>
    <mergeCell ref="F11:I11"/>
    <mergeCell ref="I31:I32"/>
    <mergeCell ref="C24:D25"/>
    <mergeCell ref="E24:E25"/>
    <mergeCell ref="C27:E27"/>
    <mergeCell ref="F27:I27"/>
    <mergeCell ref="D38:E38"/>
    <mergeCell ref="C40:E40"/>
    <mergeCell ref="F40:I40"/>
    <mergeCell ref="D33:D37"/>
    <mergeCell ref="H33:H34"/>
    <mergeCell ref="I33:I34"/>
    <mergeCell ref="E34:E36"/>
    <mergeCell ref="C28:C38"/>
    <mergeCell ref="D29:D32"/>
    <mergeCell ref="E29:E30"/>
    <mergeCell ref="G29:G30"/>
    <mergeCell ref="H29:H30"/>
    <mergeCell ref="I29:I30"/>
    <mergeCell ref="E31:E32"/>
    <mergeCell ref="G31:G32"/>
    <mergeCell ref="H31:H32"/>
    <mergeCell ref="C45:E45"/>
    <mergeCell ref="F45:I45"/>
    <mergeCell ref="C41:D43"/>
    <mergeCell ref="E42:E43"/>
    <mergeCell ref="G42:G43"/>
    <mergeCell ref="H42:H43"/>
    <mergeCell ref="I42:I43"/>
    <mergeCell ref="C51:D53"/>
    <mergeCell ref="C50:E50"/>
    <mergeCell ref="F50:I50"/>
    <mergeCell ref="C46:D48"/>
    <mergeCell ref="E47:E48"/>
    <mergeCell ref="G47:G48"/>
    <mergeCell ref="H47:H48"/>
    <mergeCell ref="I47:I48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&amp;"メイリオ,ボールド"&amp;22日別の優先給電ルールに基づく抑制、調整状況（2025年9月）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5387-B4B1-4296-A187-7973E803B3DC}">
  <dimension ref="B1:O69"/>
  <sheetViews>
    <sheetView showGridLines="0" view="pageBreakPreview" zoomScale="70" zoomScaleNormal="70" zoomScaleSheetLayoutView="70" zoomScalePageLayoutView="85" workbookViewId="0">
      <selection activeCell="D60" sqref="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45956</v>
      </c>
      <c r="G3" s="26" t="s">
        <v>220</v>
      </c>
      <c r="H3" s="25">
        <v>45957</v>
      </c>
      <c r="I3" s="26" t="s">
        <v>67</v>
      </c>
      <c r="J3" s="25">
        <v>45958</v>
      </c>
      <c r="K3" s="26" t="s">
        <v>67</v>
      </c>
      <c r="L3" s="25">
        <v>45959</v>
      </c>
      <c r="M3" s="26" t="s">
        <v>49</v>
      </c>
      <c r="N3" s="25">
        <v>45960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70.3</v>
      </c>
      <c r="G5" s="384" t="s">
        <v>45</v>
      </c>
      <c r="H5" s="9">
        <v>71.3</v>
      </c>
      <c r="I5" s="384" t="s">
        <v>45</v>
      </c>
      <c r="J5" s="9">
        <v>71.3</v>
      </c>
      <c r="K5" s="384" t="s">
        <v>45</v>
      </c>
      <c r="L5" s="9">
        <v>71.7</v>
      </c>
      <c r="M5" s="384" t="s">
        <v>45</v>
      </c>
      <c r="N5" s="9">
        <v>70.900000000000006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79</v>
      </c>
      <c r="G6" s="385"/>
      <c r="H6" s="10">
        <v>112.8</v>
      </c>
      <c r="I6" s="385"/>
      <c r="J6" s="10">
        <v>97.2</v>
      </c>
      <c r="K6" s="385"/>
      <c r="L6" s="10">
        <v>80.5</v>
      </c>
      <c r="M6" s="385"/>
      <c r="N6" s="10">
        <v>78.2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320.2</v>
      </c>
      <c r="G7" s="385"/>
      <c r="H7" s="28">
        <v>317.7</v>
      </c>
      <c r="I7" s="385"/>
      <c r="J7" s="28">
        <v>319.89999999999998</v>
      </c>
      <c r="K7" s="385"/>
      <c r="L7" s="28">
        <v>320.10000000000002</v>
      </c>
      <c r="M7" s="385"/>
      <c r="N7" s="28">
        <v>320.3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25.700000000000124</v>
      </c>
      <c r="G8" s="385"/>
      <c r="H8" s="29">
        <v>28.200000000000149</v>
      </c>
      <c r="I8" s="385"/>
      <c r="J8" s="29">
        <v>25.50000000000032</v>
      </c>
      <c r="K8" s="385"/>
      <c r="L8" s="29">
        <v>27.2</v>
      </c>
      <c r="M8" s="385"/>
      <c r="N8" s="29">
        <v>28.5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11.8</v>
      </c>
      <c r="G9" s="385"/>
      <c r="H9" s="30">
        <v>11.8</v>
      </c>
      <c r="I9" s="385"/>
      <c r="J9" s="30">
        <v>12.8</v>
      </c>
      <c r="K9" s="385"/>
      <c r="L9" s="30">
        <v>15.8</v>
      </c>
      <c r="M9" s="385"/>
      <c r="N9" s="30">
        <v>16.600000000000001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40.700000000000003</v>
      </c>
      <c r="G10" s="385"/>
      <c r="H10" s="11">
        <v>40.200000000000003</v>
      </c>
      <c r="I10" s="385"/>
      <c r="J10" s="11">
        <v>34.9</v>
      </c>
      <c r="K10" s="385"/>
      <c r="L10" s="11">
        <v>36.4</v>
      </c>
      <c r="M10" s="385"/>
      <c r="N10" s="11">
        <v>37.200000000000003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26.1</v>
      </c>
      <c r="G11" s="385"/>
      <c r="H11" s="12">
        <v>27.7</v>
      </c>
      <c r="I11" s="385"/>
      <c r="J11" s="12">
        <v>27.6</v>
      </c>
      <c r="K11" s="385"/>
      <c r="L11" s="12">
        <v>27.4</v>
      </c>
      <c r="M11" s="385"/>
      <c r="N11" s="12">
        <v>28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680.5</v>
      </c>
      <c r="G12" s="385"/>
      <c r="H12" s="13">
        <v>709.3</v>
      </c>
      <c r="I12" s="385"/>
      <c r="J12" s="13">
        <v>798.9</v>
      </c>
      <c r="K12" s="385"/>
      <c r="L12" s="13">
        <v>811</v>
      </c>
      <c r="M12" s="385"/>
      <c r="N12" s="13">
        <v>672.5</v>
      </c>
      <c r="O12" s="385"/>
    </row>
    <row r="13" spans="2:15" ht="16">
      <c r="B13" s="376"/>
      <c r="C13" s="379"/>
      <c r="D13" s="388"/>
      <c r="E13" s="45" t="s">
        <v>27</v>
      </c>
      <c r="F13" s="13">
        <v>25.3</v>
      </c>
      <c r="G13" s="385"/>
      <c r="H13" s="13">
        <v>37.799999999999997</v>
      </c>
      <c r="I13" s="385"/>
      <c r="J13" s="13">
        <v>16</v>
      </c>
      <c r="K13" s="385"/>
      <c r="L13" s="13">
        <v>22.5</v>
      </c>
      <c r="M13" s="385"/>
      <c r="N13" s="13">
        <v>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182</v>
      </c>
      <c r="G14" s="385"/>
      <c r="H14" s="14">
        <v>182</v>
      </c>
      <c r="I14" s="385"/>
      <c r="J14" s="14">
        <v>112</v>
      </c>
      <c r="K14" s="385"/>
      <c r="L14" s="14">
        <v>112</v>
      </c>
      <c r="M14" s="385"/>
      <c r="N14" s="14">
        <v>182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1461.6000000000001</v>
      </c>
      <c r="G15" s="385"/>
      <c r="H15" s="15">
        <v>1538.8</v>
      </c>
      <c r="I15" s="385"/>
      <c r="J15" s="15">
        <v>1516.1000000000004</v>
      </c>
      <c r="K15" s="385"/>
      <c r="L15" s="15">
        <v>1524.6</v>
      </c>
      <c r="M15" s="385"/>
      <c r="N15" s="15">
        <v>1443.2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825</v>
      </c>
      <c r="G16" s="385"/>
      <c r="H16" s="8">
        <v>875</v>
      </c>
      <c r="I16" s="385"/>
      <c r="J16" s="8">
        <v>875</v>
      </c>
      <c r="K16" s="385"/>
      <c r="L16" s="8">
        <v>896.8</v>
      </c>
      <c r="M16" s="385"/>
      <c r="N16" s="8">
        <v>855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-201</v>
      </c>
      <c r="I17" s="385"/>
      <c r="J17" s="16">
        <v>-201</v>
      </c>
      <c r="K17" s="385"/>
      <c r="L17" s="16">
        <v>-201</v>
      </c>
      <c r="M17" s="385"/>
      <c r="N17" s="16">
        <v>-201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-3.9</v>
      </c>
      <c r="G18" s="385"/>
      <c r="H18" s="17">
        <v>-3.9</v>
      </c>
      <c r="I18" s="385"/>
      <c r="J18" s="17">
        <v>-3.9</v>
      </c>
      <c r="K18" s="385"/>
      <c r="L18" s="17">
        <v>-3.9</v>
      </c>
      <c r="M18" s="385"/>
      <c r="N18" s="17">
        <v>-3.9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-181</v>
      </c>
      <c r="G19" s="385"/>
      <c r="H19" s="18">
        <v>-212.6</v>
      </c>
      <c r="I19" s="385"/>
      <c r="J19" s="18">
        <v>-192.7</v>
      </c>
      <c r="K19" s="385"/>
      <c r="L19" s="18">
        <v>-181</v>
      </c>
      <c r="M19" s="385"/>
      <c r="N19" s="18">
        <v>-177.4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f>F16-(F17+F18+F19+F20)</f>
        <v>1210.9000000000001</v>
      </c>
      <c r="G21" s="386"/>
      <c r="H21" s="27">
        <f>H16-(H17+H18+H19+H20)</f>
        <v>1292.5</v>
      </c>
      <c r="I21" s="386"/>
      <c r="J21" s="27">
        <f>J16-(J17+J18+J19+J20)</f>
        <v>1272.5999999999999</v>
      </c>
      <c r="K21" s="386"/>
      <c r="L21" s="27">
        <f>L16-(L17+L18+L19+L20)</f>
        <v>1282.6999999999998</v>
      </c>
      <c r="M21" s="386"/>
      <c r="N21" s="27">
        <f>N16-(N17+N18+N19+N20)</f>
        <v>1237.3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f>F15</f>
        <v>1461.6000000000001</v>
      </c>
      <c r="G23" s="400"/>
      <c r="H23" s="20">
        <f>H15</f>
        <v>1538.8</v>
      </c>
      <c r="I23" s="400"/>
      <c r="J23" s="20">
        <f>J15</f>
        <v>1516.1000000000004</v>
      </c>
      <c r="K23" s="400"/>
      <c r="L23" s="20">
        <f>L15</f>
        <v>1524.6</v>
      </c>
      <c r="M23" s="400"/>
      <c r="N23" s="20">
        <f>N15</f>
        <v>1443.2</v>
      </c>
      <c r="O23" s="400"/>
    </row>
    <row r="24" spans="2:15" ht="16">
      <c r="B24" s="409"/>
      <c r="C24" s="403" t="s">
        <v>37</v>
      </c>
      <c r="D24" s="404"/>
      <c r="E24" s="405"/>
      <c r="F24" s="21">
        <f>F21</f>
        <v>1210.9000000000001</v>
      </c>
      <c r="G24" s="401"/>
      <c r="H24" s="21">
        <f>H21</f>
        <v>1292.5</v>
      </c>
      <c r="I24" s="401"/>
      <c r="J24" s="21">
        <f>J21</f>
        <v>1272.5999999999999</v>
      </c>
      <c r="K24" s="401"/>
      <c r="L24" s="21">
        <f>L21</f>
        <v>1282.6999999999998</v>
      </c>
      <c r="M24" s="401"/>
      <c r="N24" s="21">
        <f>N21</f>
        <v>1237.3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f>F23-F24</f>
        <v>250.70000000000005</v>
      </c>
      <c r="G25" s="402"/>
      <c r="H25" s="67">
        <f>H23-H24</f>
        <v>246.29999999999995</v>
      </c>
      <c r="I25" s="402"/>
      <c r="J25" s="67">
        <f>J23-J24</f>
        <v>243.50000000000045</v>
      </c>
      <c r="K25" s="402"/>
      <c r="L25" s="67">
        <f>L23-L24</f>
        <v>241.90000000000009</v>
      </c>
      <c r="M25" s="402"/>
      <c r="N25" s="67">
        <f>N23-N24</f>
        <v>205.90000000000009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日別の需給状況・再エネ出力抑制の必要性（2025年10月）</oddHeader>
    <oddFooter>&amp;R&amp;"メイリオ,レギュラー"&amp;14九州電力送配電株式会社</oddFooter>
  </headerFooter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961A-CBAA-4E52-A903-8A74FC87CC1F}">
  <dimension ref="A1:Y57"/>
  <sheetViews>
    <sheetView showGridLines="0" view="pageBreakPreview" zoomScale="70" zoomScaleNormal="55" zoomScaleSheetLayoutView="70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45956</v>
      </c>
      <c r="G3" s="491"/>
      <c r="H3" s="491"/>
      <c r="I3" s="492"/>
      <c r="J3" s="490">
        <v>45957</v>
      </c>
      <c r="K3" s="491"/>
      <c r="L3" s="491"/>
      <c r="M3" s="492"/>
      <c r="N3" s="490">
        <v>45958</v>
      </c>
      <c r="O3" s="491"/>
      <c r="P3" s="491"/>
      <c r="Q3" s="492"/>
      <c r="R3" s="490">
        <v>45959</v>
      </c>
      <c r="S3" s="491"/>
      <c r="T3" s="491"/>
      <c r="U3" s="492"/>
      <c r="V3" s="490">
        <v>45960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8.8000000000000007</v>
      </c>
      <c r="O6" s="165">
        <v>8.8000000000000007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V6" s="166">
        <v>8.8000000000000007</v>
      </c>
      <c r="W6" s="165">
        <v>8.8000000000000007</v>
      </c>
      <c r="X6" s="164"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2:25" ht="16">
      <c r="B8" s="281"/>
      <c r="C8" s="496"/>
      <c r="D8" s="426"/>
      <c r="E8" s="218" t="s">
        <v>133</v>
      </c>
      <c r="F8" s="217">
        <v>34.799999999999997</v>
      </c>
      <c r="G8" s="216">
        <v>49.1</v>
      </c>
      <c r="H8" s="215">
        <v>14.300000000000004</v>
      </c>
      <c r="I8" s="212" t="s">
        <v>123</v>
      </c>
      <c r="J8" s="217">
        <v>35.799999999999997</v>
      </c>
      <c r="K8" s="216">
        <v>50.1</v>
      </c>
      <c r="L8" s="215">
        <v>14.300000000000004</v>
      </c>
      <c r="M8" s="212" t="s">
        <v>123</v>
      </c>
      <c r="N8" s="217">
        <v>35.799999999999997</v>
      </c>
      <c r="O8" s="216">
        <v>50.1</v>
      </c>
      <c r="P8" s="215">
        <v>14.300000000000004</v>
      </c>
      <c r="Q8" s="212" t="s">
        <v>123</v>
      </c>
      <c r="R8" s="217">
        <v>36.200000000000003</v>
      </c>
      <c r="S8" s="216">
        <v>50.5</v>
      </c>
      <c r="T8" s="215">
        <v>14.299999999999997</v>
      </c>
      <c r="U8" s="212" t="s">
        <v>123</v>
      </c>
      <c r="V8" s="217">
        <v>35.400000000000006</v>
      </c>
      <c r="W8" s="216">
        <v>49.7</v>
      </c>
      <c r="X8" s="215">
        <v>14.299999999999997</v>
      </c>
      <c r="Y8" s="212" t="s">
        <v>123</v>
      </c>
    </row>
    <row r="9" spans="2:25" ht="16.5" thickBot="1">
      <c r="B9" s="281"/>
      <c r="C9" s="497"/>
      <c r="D9" s="427" t="s">
        <v>101</v>
      </c>
      <c r="E9" s="428"/>
      <c r="F9" s="188">
        <v>56</v>
      </c>
      <c r="G9" s="187">
        <v>70.300000000000011</v>
      </c>
      <c r="H9" s="187">
        <v>14.300000000000004</v>
      </c>
      <c r="I9" s="213" t="s">
        <v>81</v>
      </c>
      <c r="J9" s="188">
        <v>57</v>
      </c>
      <c r="K9" s="187">
        <v>71.300000000000011</v>
      </c>
      <c r="L9" s="187">
        <v>14.300000000000004</v>
      </c>
      <c r="M9" s="213" t="s">
        <v>81</v>
      </c>
      <c r="N9" s="188">
        <v>57</v>
      </c>
      <c r="O9" s="187">
        <v>71.300000000000011</v>
      </c>
      <c r="P9" s="187">
        <v>14.300000000000004</v>
      </c>
      <c r="Q9" s="213" t="s">
        <v>81</v>
      </c>
      <c r="R9" s="188">
        <v>57.400000000000006</v>
      </c>
      <c r="S9" s="187">
        <v>71.7</v>
      </c>
      <c r="T9" s="187">
        <v>14.299999999999997</v>
      </c>
      <c r="U9" s="213" t="s">
        <v>81</v>
      </c>
      <c r="V9" s="188">
        <v>56.600000000000009</v>
      </c>
      <c r="W9" s="187">
        <v>70.900000000000006</v>
      </c>
      <c r="X9" s="187">
        <v>14.299999999999997</v>
      </c>
      <c r="Y9" s="265" t="s">
        <v>81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>
        <v>45956</v>
      </c>
      <c r="G11" s="433"/>
      <c r="H11" s="433"/>
      <c r="I11" s="434"/>
      <c r="J11" s="432">
        <v>45957</v>
      </c>
      <c r="K11" s="433"/>
      <c r="L11" s="433"/>
      <c r="M11" s="434"/>
      <c r="N11" s="432">
        <v>45958</v>
      </c>
      <c r="O11" s="433"/>
      <c r="P11" s="433"/>
      <c r="Q11" s="434"/>
      <c r="R11" s="432">
        <v>45959</v>
      </c>
      <c r="S11" s="433"/>
      <c r="T11" s="433"/>
      <c r="U11" s="434"/>
      <c r="V11" s="282">
        <v>45960</v>
      </c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212" t="s">
        <v>123</v>
      </c>
      <c r="J13" s="166">
        <v>-26.1</v>
      </c>
      <c r="K13" s="165">
        <v>0</v>
      </c>
      <c r="L13" s="164">
        <v>26.1</v>
      </c>
      <c r="M13" s="212" t="s">
        <v>123</v>
      </c>
      <c r="N13" s="166">
        <v>-26.1</v>
      </c>
      <c r="O13" s="165">
        <v>0</v>
      </c>
      <c r="P13" s="164">
        <v>26.1</v>
      </c>
      <c r="Q13" s="212" t="s">
        <v>123</v>
      </c>
      <c r="R13" s="166">
        <v>-26.1</v>
      </c>
      <c r="S13" s="165">
        <v>0</v>
      </c>
      <c r="T13" s="164">
        <v>26.1</v>
      </c>
      <c r="U13" s="212" t="s">
        <v>123</v>
      </c>
      <c r="V13" s="166">
        <v>-26.1</v>
      </c>
      <c r="W13" s="165">
        <v>0</v>
      </c>
      <c r="X13" s="164">
        <v>26.1</v>
      </c>
      <c r="Y13" s="212" t="s">
        <v>123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N14" s="166">
        <v>-26.1</v>
      </c>
      <c r="O14" s="165">
        <v>0</v>
      </c>
      <c r="P14" s="164">
        <v>26.1</v>
      </c>
      <c r="Q14" s="212" t="s">
        <v>123</v>
      </c>
      <c r="R14" s="166">
        <v>-26.1</v>
      </c>
      <c r="S14" s="165">
        <v>0</v>
      </c>
      <c r="T14" s="164">
        <v>26.1</v>
      </c>
      <c r="U14" s="212" t="s">
        <v>123</v>
      </c>
      <c r="V14" s="166">
        <v>-26.1</v>
      </c>
      <c r="W14" s="165">
        <v>0</v>
      </c>
      <c r="X14" s="164">
        <v>26.1</v>
      </c>
      <c r="Y14" s="212" t="s">
        <v>123</v>
      </c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212"/>
      <c r="J15" s="166">
        <v>-32.5</v>
      </c>
      <c r="K15" s="165">
        <v>-32.5</v>
      </c>
      <c r="L15" s="164">
        <v>0</v>
      </c>
      <c r="M15" s="212"/>
      <c r="N15" s="166">
        <v>-32.5</v>
      </c>
      <c r="O15" s="165">
        <v>-32.5</v>
      </c>
      <c r="P15" s="164">
        <v>0</v>
      </c>
      <c r="Q15" s="212"/>
      <c r="R15" s="166">
        <v>-32.5</v>
      </c>
      <c r="S15" s="165">
        <v>-32.5</v>
      </c>
      <c r="T15" s="164">
        <v>0</v>
      </c>
      <c r="U15" s="212"/>
      <c r="V15" s="166">
        <v>-32.5</v>
      </c>
      <c r="W15" s="165">
        <v>-32.5</v>
      </c>
      <c r="X15" s="164">
        <v>0</v>
      </c>
      <c r="Y15" s="286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212"/>
      <c r="J16" s="166">
        <v>-32.5</v>
      </c>
      <c r="K16" s="165">
        <v>-32.5</v>
      </c>
      <c r="L16" s="164">
        <v>0</v>
      </c>
      <c r="M16" s="212"/>
      <c r="N16" s="166">
        <v>-32.5</v>
      </c>
      <c r="O16" s="165">
        <v>-32.5</v>
      </c>
      <c r="P16" s="164">
        <v>0</v>
      </c>
      <c r="Q16" s="212"/>
      <c r="R16" s="166">
        <v>-32.5</v>
      </c>
      <c r="S16" s="165">
        <v>-32.5</v>
      </c>
      <c r="T16" s="164">
        <v>0</v>
      </c>
      <c r="U16" s="212"/>
      <c r="V16" s="166">
        <v>-32.5</v>
      </c>
      <c r="W16" s="165">
        <v>-32.5</v>
      </c>
      <c r="X16" s="164">
        <v>0</v>
      </c>
      <c r="Y16" s="286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212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212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212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-201</v>
      </c>
      <c r="H21" s="187">
        <v>52.2</v>
      </c>
      <c r="I21" s="186" t="s">
        <v>81</v>
      </c>
      <c r="J21" s="188">
        <v>-253.2</v>
      </c>
      <c r="K21" s="187">
        <v>-201</v>
      </c>
      <c r="L21" s="187">
        <v>52.2</v>
      </c>
      <c r="M21" s="186" t="s">
        <v>81</v>
      </c>
      <c r="N21" s="188">
        <v>-253.2</v>
      </c>
      <c r="O21" s="187">
        <v>-201</v>
      </c>
      <c r="P21" s="187">
        <v>52.2</v>
      </c>
      <c r="Q21" s="186" t="s">
        <v>81</v>
      </c>
      <c r="R21" s="188">
        <v>-253.2</v>
      </c>
      <c r="S21" s="187">
        <v>-201</v>
      </c>
      <c r="T21" s="187">
        <v>52.2</v>
      </c>
      <c r="U21" s="186" t="s">
        <v>81</v>
      </c>
      <c r="V21" s="188">
        <v>-253.2</v>
      </c>
      <c r="W21" s="187">
        <v>-201</v>
      </c>
      <c r="X21" s="187">
        <v>52.2</v>
      </c>
      <c r="Y21" s="268" t="s">
        <v>81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>
        <v>45956</v>
      </c>
      <c r="G23" s="433"/>
      <c r="H23" s="433"/>
      <c r="I23" s="434"/>
      <c r="J23" s="432">
        <v>45957</v>
      </c>
      <c r="K23" s="433"/>
      <c r="L23" s="433"/>
      <c r="M23" s="434"/>
      <c r="N23" s="432">
        <v>45958</v>
      </c>
      <c r="O23" s="433"/>
      <c r="P23" s="433"/>
      <c r="Q23" s="434"/>
      <c r="R23" s="432">
        <v>45959</v>
      </c>
      <c r="S23" s="433"/>
      <c r="T23" s="433"/>
      <c r="U23" s="434"/>
      <c r="V23" s="282">
        <v>45960</v>
      </c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-3.9</v>
      </c>
      <c r="H25" s="207">
        <v>1.1000000000000001</v>
      </c>
      <c r="I25" s="212" t="s">
        <v>221</v>
      </c>
      <c r="J25" s="209">
        <v>-5</v>
      </c>
      <c r="K25" s="208">
        <v>-3.9</v>
      </c>
      <c r="L25" s="207">
        <v>1.1000000000000001</v>
      </c>
      <c r="M25" s="212" t="s">
        <v>221</v>
      </c>
      <c r="N25" s="209">
        <v>-5</v>
      </c>
      <c r="O25" s="208">
        <v>-3.9</v>
      </c>
      <c r="P25" s="207">
        <v>1.1000000000000001</v>
      </c>
      <c r="Q25" s="212" t="s">
        <v>221</v>
      </c>
      <c r="R25" s="209">
        <v>-5</v>
      </c>
      <c r="S25" s="208">
        <v>-3.9</v>
      </c>
      <c r="T25" s="207">
        <v>1.1000000000000001</v>
      </c>
      <c r="U25" s="212" t="s">
        <v>221</v>
      </c>
      <c r="V25" s="209">
        <v>-5</v>
      </c>
      <c r="W25" s="208">
        <v>-3.9</v>
      </c>
      <c r="X25" s="207">
        <v>1.1000000000000001</v>
      </c>
      <c r="Y25" s="212" t="s">
        <v>221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>
        <v>45956</v>
      </c>
      <c r="G27" s="433"/>
      <c r="H27" s="433"/>
      <c r="I27" s="434"/>
      <c r="J27" s="432">
        <v>45957</v>
      </c>
      <c r="K27" s="433"/>
      <c r="L27" s="433"/>
      <c r="M27" s="434"/>
      <c r="N27" s="432">
        <v>45958</v>
      </c>
      <c r="O27" s="433"/>
      <c r="P27" s="433"/>
      <c r="Q27" s="434"/>
      <c r="R27" s="432">
        <v>45959</v>
      </c>
      <c r="S27" s="433"/>
      <c r="T27" s="433"/>
      <c r="U27" s="434"/>
      <c r="V27" s="282">
        <v>45960</v>
      </c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54.4</v>
      </c>
      <c r="G31" s="455">
        <v>64.099999999999994</v>
      </c>
      <c r="H31" s="457">
        <v>9.6999999999999957</v>
      </c>
      <c r="I31" s="459" t="s">
        <v>151</v>
      </c>
      <c r="J31" s="200">
        <v>54.4</v>
      </c>
      <c r="K31" s="455">
        <v>85.9</v>
      </c>
      <c r="L31" s="457">
        <v>31.500000000000007</v>
      </c>
      <c r="M31" s="459" t="s">
        <v>151</v>
      </c>
      <c r="N31" s="200">
        <v>54.4</v>
      </c>
      <c r="O31" s="455">
        <v>69.599999999999994</v>
      </c>
      <c r="P31" s="457">
        <v>15.199999999999996</v>
      </c>
      <c r="Q31" s="459" t="s">
        <v>151</v>
      </c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333">
        <f>10.9+2.4</f>
        <v>13.3</v>
      </c>
      <c r="G33" s="334">
        <f>12+2.4</f>
        <v>14.4</v>
      </c>
      <c r="H33" s="537">
        <v>1.0999999999999996</v>
      </c>
      <c r="I33" s="539" t="s">
        <v>148</v>
      </c>
      <c r="J33" s="333">
        <f>10.9+2.4</f>
        <v>13.3</v>
      </c>
      <c r="K33" s="334">
        <f>24+2.4</f>
        <v>26.4</v>
      </c>
      <c r="L33" s="537">
        <v>13.1</v>
      </c>
      <c r="M33" s="539" t="s">
        <v>148</v>
      </c>
      <c r="N33" s="333">
        <f>10.9+3.1</f>
        <v>14</v>
      </c>
      <c r="O33" s="334">
        <f>24+3.1</f>
        <v>27.1</v>
      </c>
      <c r="P33" s="537">
        <v>13.1</v>
      </c>
      <c r="Q33" s="539" t="s">
        <v>148</v>
      </c>
      <c r="R33" s="333">
        <f>10.9+3.1</f>
        <v>14</v>
      </c>
      <c r="S33" s="334">
        <f>22.5+3.1</f>
        <v>25.6</v>
      </c>
      <c r="T33" s="537">
        <v>11.6</v>
      </c>
      <c r="U33" s="539" t="s">
        <v>148</v>
      </c>
      <c r="V33" s="333">
        <f>10.9+3.68</f>
        <v>14.58</v>
      </c>
      <c r="W33" s="334">
        <f>19.5+3.68</f>
        <v>23.18</v>
      </c>
      <c r="X33" s="537">
        <v>8.6</v>
      </c>
      <c r="Y33" s="539" t="s">
        <v>148</v>
      </c>
    </row>
    <row r="34" spans="2:25" ht="16">
      <c r="B34" s="281"/>
      <c r="C34" s="506"/>
      <c r="D34" s="467"/>
      <c r="E34" s="463" t="s">
        <v>104</v>
      </c>
      <c r="F34" s="335">
        <v>0.15</v>
      </c>
      <c r="G34" s="336">
        <v>0.16</v>
      </c>
      <c r="H34" s="538"/>
      <c r="I34" s="540"/>
      <c r="J34" s="335">
        <v>0.15</v>
      </c>
      <c r="K34" s="336">
        <v>0.28999999999999998</v>
      </c>
      <c r="L34" s="538"/>
      <c r="M34" s="540"/>
      <c r="N34" s="335">
        <v>0.16</v>
      </c>
      <c r="O34" s="336">
        <v>0.3</v>
      </c>
      <c r="P34" s="538"/>
      <c r="Q34" s="540"/>
      <c r="R34" s="335">
        <v>0.16</v>
      </c>
      <c r="S34" s="336">
        <v>0.28000000000000003</v>
      </c>
      <c r="T34" s="538"/>
      <c r="U34" s="540"/>
      <c r="V34" s="335">
        <v>0.16</v>
      </c>
      <c r="W34" s="336">
        <v>0.26</v>
      </c>
      <c r="X34" s="538"/>
      <c r="Y34" s="540"/>
    </row>
    <row r="35" spans="2:25" ht="13.5" customHeight="1">
      <c r="B35" s="281"/>
      <c r="C35" s="506"/>
      <c r="D35" s="468"/>
      <c r="E35" s="464"/>
      <c r="F35" s="337">
        <v>43.6</v>
      </c>
      <c r="G35" s="338"/>
      <c r="H35" s="338"/>
      <c r="I35" s="339"/>
      <c r="J35" s="337">
        <v>43.6</v>
      </c>
      <c r="K35" s="338"/>
      <c r="L35" s="338"/>
      <c r="M35" s="339"/>
      <c r="N35" s="337">
        <v>43.6</v>
      </c>
      <c r="O35" s="338"/>
      <c r="P35" s="338"/>
      <c r="Q35" s="339"/>
      <c r="R35" s="337">
        <v>43.6</v>
      </c>
      <c r="S35" s="338"/>
      <c r="T35" s="338"/>
      <c r="U35" s="339"/>
      <c r="V35" s="337">
        <v>43.6</v>
      </c>
      <c r="W35" s="338"/>
      <c r="X35" s="338"/>
      <c r="Y35" s="340"/>
    </row>
    <row r="36" spans="2:25" ht="16">
      <c r="B36" s="281"/>
      <c r="C36" s="506"/>
      <c r="D36" s="468"/>
      <c r="E36" s="465"/>
      <c r="F36" s="341">
        <v>0.24</v>
      </c>
      <c r="G36" s="342"/>
      <c r="H36" s="342"/>
      <c r="I36" s="343"/>
      <c r="J36" s="341">
        <v>0.24</v>
      </c>
      <c r="K36" s="342"/>
      <c r="L36" s="342"/>
      <c r="M36" s="343"/>
      <c r="N36" s="341">
        <v>0.24</v>
      </c>
      <c r="O36" s="342"/>
      <c r="P36" s="342"/>
      <c r="Q36" s="343"/>
      <c r="R36" s="341">
        <v>0.24</v>
      </c>
      <c r="S36" s="342"/>
      <c r="T36" s="342"/>
      <c r="U36" s="343"/>
      <c r="V36" s="341">
        <v>0.24</v>
      </c>
      <c r="W36" s="342"/>
      <c r="X36" s="342"/>
      <c r="Y36" s="344"/>
    </row>
    <row r="37" spans="2:25" ht="16">
      <c r="B37" s="281"/>
      <c r="C37" s="506"/>
      <c r="D37" s="467"/>
      <c r="E37" s="190" t="s">
        <v>103</v>
      </c>
      <c r="F37" s="345">
        <v>10</v>
      </c>
      <c r="G37" s="323">
        <v>0.5</v>
      </c>
      <c r="H37" s="346">
        <v>-9.5</v>
      </c>
      <c r="I37" s="347" t="s">
        <v>147</v>
      </c>
      <c r="J37" s="345">
        <v>10</v>
      </c>
      <c r="K37" s="323">
        <v>0.5</v>
      </c>
      <c r="L37" s="346">
        <v>-9.5</v>
      </c>
      <c r="M37" s="347" t="s">
        <v>147</v>
      </c>
      <c r="N37" s="345">
        <v>10</v>
      </c>
      <c r="O37" s="323">
        <v>0.5</v>
      </c>
      <c r="P37" s="346">
        <v>-9.5</v>
      </c>
      <c r="Q37" s="347" t="s">
        <v>147</v>
      </c>
      <c r="R37" s="345">
        <v>10</v>
      </c>
      <c r="S37" s="323">
        <v>0.5</v>
      </c>
      <c r="T37" s="346">
        <v>-9.5</v>
      </c>
      <c r="U37" s="347" t="s">
        <v>147</v>
      </c>
      <c r="V37" s="345">
        <v>10</v>
      </c>
      <c r="W37" s="323">
        <v>0.6</v>
      </c>
      <c r="X37" s="346">
        <v>-9.4</v>
      </c>
      <c r="Y37" s="34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77.7</v>
      </c>
      <c r="G38" s="187">
        <v>79</v>
      </c>
      <c r="H38" s="187">
        <v>1.2999999999999954</v>
      </c>
      <c r="I38" s="186" t="s">
        <v>81</v>
      </c>
      <c r="J38" s="188">
        <f>75.3+2.4</f>
        <v>77.7</v>
      </c>
      <c r="K38" s="187">
        <f>110.4+2.4</f>
        <v>112.80000000000001</v>
      </c>
      <c r="L38" s="187">
        <v>35.100000000000009</v>
      </c>
      <c r="M38" s="186" t="s">
        <v>81</v>
      </c>
      <c r="N38" s="188">
        <f>75.3+3.1</f>
        <v>78.399999999999991</v>
      </c>
      <c r="O38" s="187">
        <f>94+3.1+0.1</f>
        <v>97.199999999999989</v>
      </c>
      <c r="P38" s="187">
        <v>18.8</v>
      </c>
      <c r="Q38" s="186" t="s">
        <v>81</v>
      </c>
      <c r="R38" s="188">
        <f>75.3+3.1</f>
        <v>78.399999999999991</v>
      </c>
      <c r="S38" s="187">
        <f>77.4+3.1</f>
        <v>80.5</v>
      </c>
      <c r="T38" s="187">
        <v>2.0999999999999996</v>
      </c>
      <c r="U38" s="186" t="s">
        <v>81</v>
      </c>
      <c r="V38" s="188">
        <f>75.3+3.68</f>
        <v>78.98</v>
      </c>
      <c r="W38" s="187">
        <f>74.5+3.68</f>
        <v>78.180000000000007</v>
      </c>
      <c r="X38" s="187">
        <v>-0.80000000000000071</v>
      </c>
      <c r="Y38" s="186" t="s">
        <v>81</v>
      </c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>
        <v>45956</v>
      </c>
      <c r="G40" s="433"/>
      <c r="H40" s="433"/>
      <c r="I40" s="434"/>
      <c r="J40" s="469">
        <v>45957</v>
      </c>
      <c r="K40" s="470"/>
      <c r="L40" s="470"/>
      <c r="M40" s="471"/>
      <c r="N40" s="469">
        <v>45958</v>
      </c>
      <c r="O40" s="470"/>
      <c r="P40" s="470"/>
      <c r="Q40" s="471"/>
      <c r="R40" s="469">
        <v>45959</v>
      </c>
      <c r="S40" s="470"/>
      <c r="T40" s="470"/>
      <c r="U40" s="471"/>
      <c r="V40" s="292">
        <v>45960</v>
      </c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2:25" ht="16.5" customHeight="1">
      <c r="B42" s="281"/>
      <c r="C42" s="500"/>
      <c r="D42" s="445"/>
      <c r="E42" s="476" t="s">
        <v>96</v>
      </c>
      <c r="F42" s="348">
        <v>0</v>
      </c>
      <c r="G42" s="541">
        <v>0</v>
      </c>
      <c r="H42" s="537">
        <v>0</v>
      </c>
      <c r="I42" s="544"/>
      <c r="J42" s="348">
        <v>0</v>
      </c>
      <c r="K42" s="541">
        <v>0</v>
      </c>
      <c r="L42" s="537">
        <v>0</v>
      </c>
      <c r="M42" s="539"/>
      <c r="N42" s="348">
        <v>0</v>
      </c>
      <c r="O42" s="541">
        <v>0</v>
      </c>
      <c r="P42" s="537">
        <v>0</v>
      </c>
      <c r="Q42" s="539"/>
      <c r="R42" s="348">
        <v>0</v>
      </c>
      <c r="S42" s="541">
        <v>0</v>
      </c>
      <c r="T42" s="537">
        <v>0</v>
      </c>
      <c r="U42" s="539"/>
      <c r="V42" s="348">
        <v>0</v>
      </c>
      <c r="W42" s="541">
        <v>0</v>
      </c>
      <c r="X42" s="537">
        <v>0</v>
      </c>
      <c r="Y42" s="548"/>
    </row>
    <row r="43" spans="2:25" ht="16.5" thickBot="1">
      <c r="B43" s="281"/>
      <c r="C43" s="475"/>
      <c r="D43" s="475"/>
      <c r="E43" s="477"/>
      <c r="F43" s="349">
        <v>181</v>
      </c>
      <c r="G43" s="542"/>
      <c r="H43" s="543"/>
      <c r="I43" s="545"/>
      <c r="J43" s="349">
        <v>214.6</v>
      </c>
      <c r="K43" s="542"/>
      <c r="L43" s="546"/>
      <c r="M43" s="547"/>
      <c r="N43" s="349">
        <v>198.3</v>
      </c>
      <c r="O43" s="542"/>
      <c r="P43" s="546"/>
      <c r="Q43" s="547"/>
      <c r="R43" s="349">
        <v>183.1</v>
      </c>
      <c r="S43" s="542"/>
      <c r="T43" s="546"/>
      <c r="U43" s="547"/>
      <c r="V43" s="349">
        <v>179.5</v>
      </c>
      <c r="W43" s="542"/>
      <c r="X43" s="543"/>
      <c r="Y43" s="549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>
        <v>45956</v>
      </c>
      <c r="G45" s="433"/>
      <c r="H45" s="433"/>
      <c r="I45" s="434"/>
      <c r="J45" s="469">
        <v>45957</v>
      </c>
      <c r="K45" s="470"/>
      <c r="L45" s="470"/>
      <c r="M45" s="471"/>
      <c r="N45" s="469">
        <v>45958</v>
      </c>
      <c r="O45" s="470"/>
      <c r="P45" s="470"/>
      <c r="Q45" s="471"/>
      <c r="R45" s="469">
        <v>45959</v>
      </c>
      <c r="S45" s="470"/>
      <c r="T45" s="470"/>
      <c r="U45" s="471"/>
      <c r="V45" s="292">
        <v>45960</v>
      </c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2:25" ht="16">
      <c r="B47" s="281"/>
      <c r="C47" s="500"/>
      <c r="D47" s="483"/>
      <c r="E47" s="488" t="s">
        <v>91</v>
      </c>
      <c r="F47" s="178">
        <v>34.299999999999997</v>
      </c>
      <c r="G47" s="478">
        <v>40.700000000000003</v>
      </c>
      <c r="H47" s="457">
        <v>6.4000000000000057</v>
      </c>
      <c r="I47" s="459" t="s">
        <v>146</v>
      </c>
      <c r="J47" s="178">
        <v>35.700000000000003</v>
      </c>
      <c r="K47" s="478">
        <v>40.200000000000003</v>
      </c>
      <c r="L47" s="457">
        <v>4.5</v>
      </c>
      <c r="M47" s="459" t="s">
        <v>146</v>
      </c>
      <c r="N47" s="178">
        <v>31.3</v>
      </c>
      <c r="O47" s="478">
        <v>34.9</v>
      </c>
      <c r="P47" s="457">
        <v>3.5999999999999979</v>
      </c>
      <c r="Q47" s="459" t="s">
        <v>123</v>
      </c>
      <c r="R47" s="178">
        <v>39.1</v>
      </c>
      <c r="S47" s="478">
        <v>36.4</v>
      </c>
      <c r="T47" s="457">
        <v>-2.7000000000000028</v>
      </c>
      <c r="U47" s="459" t="s">
        <v>146</v>
      </c>
      <c r="V47" s="178">
        <v>34.700000000000003</v>
      </c>
      <c r="W47" s="478">
        <v>37.200000000000003</v>
      </c>
      <c r="X47" s="457">
        <v>2.5</v>
      </c>
      <c r="Y47" s="459" t="s">
        <v>123</v>
      </c>
    </row>
    <row r="48" spans="2:25" ht="16.5" thickBot="1">
      <c r="B48" s="281"/>
      <c r="C48" s="447"/>
      <c r="D48" s="487"/>
      <c r="E48" s="489"/>
      <c r="F48" s="177">
        <v>0.6</v>
      </c>
      <c r="G48" s="479"/>
      <c r="H48" s="480"/>
      <c r="I48" s="481"/>
      <c r="J48" s="177">
        <v>0.6</v>
      </c>
      <c r="K48" s="479"/>
      <c r="L48" s="480"/>
      <c r="M48" s="481"/>
      <c r="N48" s="177">
        <v>0.59</v>
      </c>
      <c r="O48" s="479"/>
      <c r="P48" s="480"/>
      <c r="Q48" s="481"/>
      <c r="R48" s="177">
        <v>0.57999999999999996</v>
      </c>
      <c r="S48" s="479"/>
      <c r="T48" s="480"/>
      <c r="U48" s="481"/>
      <c r="V48" s="177">
        <v>0.57999999999999996</v>
      </c>
      <c r="W48" s="479"/>
      <c r="X48" s="509"/>
      <c r="Y48" s="481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>
        <v>45956</v>
      </c>
      <c r="G50" s="433"/>
      <c r="H50" s="433"/>
      <c r="I50" s="434"/>
      <c r="J50" s="469">
        <v>45957</v>
      </c>
      <c r="K50" s="470"/>
      <c r="L50" s="470"/>
      <c r="M50" s="471"/>
      <c r="N50" s="469">
        <v>45958</v>
      </c>
      <c r="O50" s="470"/>
      <c r="P50" s="470"/>
      <c r="Q50" s="471"/>
      <c r="R50" s="469">
        <v>45959</v>
      </c>
      <c r="S50" s="470"/>
      <c r="T50" s="470"/>
      <c r="U50" s="471"/>
      <c r="V50" s="292">
        <v>45960</v>
      </c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26.1</v>
      </c>
      <c r="H53" s="223" t="s">
        <v>81</v>
      </c>
      <c r="I53" s="260" t="s">
        <v>217</v>
      </c>
      <c r="J53" s="225">
        <v>0</v>
      </c>
      <c r="K53" s="350">
        <v>27.7</v>
      </c>
      <c r="L53" s="223" t="s">
        <v>81</v>
      </c>
      <c r="M53" s="260" t="s">
        <v>217</v>
      </c>
      <c r="N53" s="225">
        <v>0</v>
      </c>
      <c r="O53" s="350">
        <v>27.6</v>
      </c>
      <c r="P53" s="223" t="s">
        <v>81</v>
      </c>
      <c r="Q53" s="260" t="s">
        <v>217</v>
      </c>
      <c r="R53" s="225">
        <v>0</v>
      </c>
      <c r="S53" s="350">
        <v>27.4</v>
      </c>
      <c r="T53" s="223" t="s">
        <v>81</v>
      </c>
      <c r="U53" s="260" t="s">
        <v>217</v>
      </c>
      <c r="V53" s="225">
        <v>0</v>
      </c>
      <c r="W53" s="350">
        <v>28</v>
      </c>
      <c r="X53" s="223" t="s">
        <v>81</v>
      </c>
      <c r="Y53" s="260" t="s">
        <v>217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7">
    <mergeCell ref="C50:E50"/>
    <mergeCell ref="F50:I50"/>
    <mergeCell ref="J50:M50"/>
    <mergeCell ref="N50:Q50"/>
    <mergeCell ref="R50:U50"/>
    <mergeCell ref="C51:D53"/>
    <mergeCell ref="S47:S48"/>
    <mergeCell ref="T47:T48"/>
    <mergeCell ref="U47:U48"/>
    <mergeCell ref="W47:W48"/>
    <mergeCell ref="X47:X48"/>
    <mergeCell ref="Y47:Y48"/>
    <mergeCell ref="K47:K48"/>
    <mergeCell ref="L47:L48"/>
    <mergeCell ref="M47:M48"/>
    <mergeCell ref="O47:O48"/>
    <mergeCell ref="P47:P48"/>
    <mergeCell ref="Q47:Q48"/>
    <mergeCell ref="C45:E45"/>
    <mergeCell ref="F45:I45"/>
    <mergeCell ref="J45:M45"/>
    <mergeCell ref="N45:Q45"/>
    <mergeCell ref="R45:U45"/>
    <mergeCell ref="C46:D48"/>
    <mergeCell ref="E47:E48"/>
    <mergeCell ref="G47:G48"/>
    <mergeCell ref="H47:H48"/>
    <mergeCell ref="I47:I48"/>
    <mergeCell ref="W42:W43"/>
    <mergeCell ref="X42:X43"/>
    <mergeCell ref="Y42:Y43"/>
    <mergeCell ref="K42:K43"/>
    <mergeCell ref="L42:L43"/>
    <mergeCell ref="M42:M43"/>
    <mergeCell ref="O42:O43"/>
    <mergeCell ref="P42:P43"/>
    <mergeCell ref="Q42:Q43"/>
    <mergeCell ref="E31:E32"/>
    <mergeCell ref="G31:G32"/>
    <mergeCell ref="C40:E40"/>
    <mergeCell ref="F40:I40"/>
    <mergeCell ref="J40:M40"/>
    <mergeCell ref="N40:Q40"/>
    <mergeCell ref="R40:U40"/>
    <mergeCell ref="C41:D43"/>
    <mergeCell ref="E42:E43"/>
    <mergeCell ref="G42:G43"/>
    <mergeCell ref="H42:H43"/>
    <mergeCell ref="I42:I43"/>
    <mergeCell ref="S42:S43"/>
    <mergeCell ref="T42:T43"/>
    <mergeCell ref="U42:U43"/>
    <mergeCell ref="U29:U30"/>
    <mergeCell ref="W29:W30"/>
    <mergeCell ref="T33:T34"/>
    <mergeCell ref="U33:U34"/>
    <mergeCell ref="X33:X34"/>
    <mergeCell ref="Y33:Y34"/>
    <mergeCell ref="E34:E36"/>
    <mergeCell ref="D38:E38"/>
    <mergeCell ref="U31:U32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M31:M32"/>
    <mergeCell ref="O31:O32"/>
    <mergeCell ref="P31:P32"/>
    <mergeCell ref="Q31:Q32"/>
    <mergeCell ref="S31:S32"/>
    <mergeCell ref="T31:T32"/>
    <mergeCell ref="X29:X30"/>
    <mergeCell ref="I29:I30"/>
    <mergeCell ref="K29:K30"/>
    <mergeCell ref="L29:L30"/>
    <mergeCell ref="M29:M30"/>
    <mergeCell ref="O29:O30"/>
    <mergeCell ref="P29:P30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H31:H32"/>
    <mergeCell ref="I31:I32"/>
    <mergeCell ref="K31:K32"/>
    <mergeCell ref="L31:L32"/>
    <mergeCell ref="Q29:Q30"/>
    <mergeCell ref="S29:S30"/>
    <mergeCell ref="T29:T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7868-B1C5-4C24-A351-3B60C40FC456}">
  <dimension ref="B1:O64"/>
  <sheetViews>
    <sheetView showGridLines="0" view="pageBreakPreview" zoomScale="55" zoomScaleNormal="70" zoomScaleSheetLayoutView="55" zoomScalePageLayoutView="40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45754</v>
      </c>
      <c r="G3" s="96" t="s">
        <v>67</v>
      </c>
      <c r="H3" s="25">
        <v>45755</v>
      </c>
      <c r="I3" s="96" t="s">
        <v>67</v>
      </c>
      <c r="J3" s="25">
        <v>45756</v>
      </c>
      <c r="K3" s="96" t="s">
        <v>67</v>
      </c>
      <c r="L3" s="25">
        <v>45758</v>
      </c>
      <c r="M3" s="26" t="s">
        <v>48</v>
      </c>
      <c r="N3" s="25">
        <v>45760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75.5</v>
      </c>
      <c r="G5" s="384" t="s">
        <v>45</v>
      </c>
      <c r="H5" s="9">
        <v>75.900000000000006</v>
      </c>
      <c r="I5" s="384" t="s">
        <v>45</v>
      </c>
      <c r="J5" s="9">
        <v>75.7</v>
      </c>
      <c r="K5" s="384" t="s">
        <v>45</v>
      </c>
      <c r="L5" s="9">
        <v>75.7</v>
      </c>
      <c r="M5" s="384" t="s">
        <v>45</v>
      </c>
      <c r="N5" s="9">
        <v>72.900000000000006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60</v>
      </c>
      <c r="G6" s="385"/>
      <c r="H6" s="10">
        <v>59.8</v>
      </c>
      <c r="I6" s="385"/>
      <c r="J6" s="10">
        <v>59</v>
      </c>
      <c r="K6" s="385"/>
      <c r="L6" s="10">
        <v>70.5</v>
      </c>
      <c r="M6" s="385"/>
      <c r="N6" s="10">
        <v>48.2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298.5</v>
      </c>
      <c r="G7" s="385"/>
      <c r="H7" s="28">
        <v>298.5</v>
      </c>
      <c r="I7" s="385"/>
      <c r="J7" s="28">
        <v>298.5</v>
      </c>
      <c r="K7" s="385"/>
      <c r="L7" s="28">
        <v>298.5</v>
      </c>
      <c r="M7" s="385"/>
      <c r="N7" s="28">
        <v>298.3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28.399999999999807</v>
      </c>
      <c r="G8" s="385"/>
      <c r="H8" s="29">
        <v>20.7</v>
      </c>
      <c r="I8" s="385"/>
      <c r="J8" s="29">
        <v>27.6</v>
      </c>
      <c r="K8" s="385"/>
      <c r="L8" s="29">
        <v>25.3</v>
      </c>
      <c r="M8" s="385"/>
      <c r="N8" s="29">
        <v>27.1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16.7</v>
      </c>
      <c r="G9" s="385"/>
      <c r="H9" s="30">
        <v>16.7</v>
      </c>
      <c r="I9" s="385"/>
      <c r="J9" s="30">
        <v>16.7</v>
      </c>
      <c r="K9" s="385"/>
      <c r="L9" s="30">
        <v>16.7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38.700000000000003</v>
      </c>
      <c r="G10" s="385"/>
      <c r="H10" s="11">
        <v>43.1</v>
      </c>
      <c r="I10" s="385"/>
      <c r="J10" s="11">
        <v>41.5</v>
      </c>
      <c r="K10" s="385"/>
      <c r="L10" s="11">
        <v>40.700000000000003</v>
      </c>
      <c r="M10" s="385"/>
      <c r="N10" s="11">
        <v>35.299999999999997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25.6</v>
      </c>
      <c r="G11" s="385"/>
      <c r="H11" s="12">
        <v>26.9</v>
      </c>
      <c r="I11" s="385"/>
      <c r="J11" s="12">
        <v>27.1</v>
      </c>
      <c r="K11" s="385"/>
      <c r="L11" s="12">
        <v>24.7</v>
      </c>
      <c r="M11" s="385"/>
      <c r="N11" s="12">
        <v>25.9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1011.4</v>
      </c>
      <c r="G12" s="385"/>
      <c r="H12" s="13">
        <v>1005.5</v>
      </c>
      <c r="I12" s="385"/>
      <c r="J12" s="13">
        <v>1002.9</v>
      </c>
      <c r="K12" s="385"/>
      <c r="L12" s="13">
        <v>1017.2</v>
      </c>
      <c r="M12" s="385"/>
      <c r="N12" s="13">
        <v>1001.9</v>
      </c>
      <c r="O12" s="385"/>
    </row>
    <row r="13" spans="2:15" ht="16">
      <c r="B13" s="376"/>
      <c r="C13" s="379"/>
      <c r="D13" s="388"/>
      <c r="E13" s="45" t="s">
        <v>27</v>
      </c>
      <c r="F13" s="13">
        <v>8.5</v>
      </c>
      <c r="G13" s="385"/>
      <c r="H13" s="13">
        <v>18</v>
      </c>
      <c r="I13" s="385"/>
      <c r="J13" s="13">
        <v>10</v>
      </c>
      <c r="K13" s="385"/>
      <c r="L13" s="13">
        <v>9.6</v>
      </c>
      <c r="M13" s="385"/>
      <c r="N13" s="13">
        <v>31.5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19</v>
      </c>
      <c r="G14" s="385"/>
      <c r="H14" s="14">
        <v>19</v>
      </c>
      <c r="I14" s="385"/>
      <c r="J14" s="14">
        <v>19</v>
      </c>
      <c r="K14" s="385"/>
      <c r="L14" s="14">
        <v>19</v>
      </c>
      <c r="M14" s="385"/>
      <c r="N14" s="14">
        <v>19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1582.2999999999997</v>
      </c>
      <c r="G15" s="385"/>
      <c r="H15" s="15">
        <v>1584.1</v>
      </c>
      <c r="I15" s="385"/>
      <c r="J15" s="15">
        <v>1578</v>
      </c>
      <c r="K15" s="385"/>
      <c r="L15" s="15">
        <v>1597.9</v>
      </c>
      <c r="M15" s="385"/>
      <c r="N15" s="15">
        <v>1576.8000000000002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855</v>
      </c>
      <c r="G16" s="385"/>
      <c r="H16" s="8">
        <v>875</v>
      </c>
      <c r="I16" s="385"/>
      <c r="J16" s="8">
        <v>865</v>
      </c>
      <c r="K16" s="385"/>
      <c r="L16" s="8">
        <v>865</v>
      </c>
      <c r="M16" s="385"/>
      <c r="N16" s="8">
        <v>725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-193.1</v>
      </c>
      <c r="G17" s="385"/>
      <c r="H17" s="16">
        <v>-193.1</v>
      </c>
      <c r="I17" s="385"/>
      <c r="J17" s="16">
        <v>-159.1</v>
      </c>
      <c r="K17" s="385"/>
      <c r="L17" s="16">
        <v>-193.1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-4.4000000000000004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-141.5</v>
      </c>
      <c r="G19" s="385"/>
      <c r="H19" s="18">
        <v>-141.5</v>
      </c>
      <c r="I19" s="385"/>
      <c r="J19" s="18">
        <v>-141.5</v>
      </c>
      <c r="K19" s="385"/>
      <c r="L19" s="18">
        <v>-142.6</v>
      </c>
      <c r="M19" s="385"/>
      <c r="N19" s="18">
        <v>-144.19999999999999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10.6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1194.0999999999999</v>
      </c>
      <c r="G21" s="386"/>
      <c r="H21" s="27">
        <v>1214.0999999999999</v>
      </c>
      <c r="I21" s="386"/>
      <c r="J21" s="27">
        <v>1170</v>
      </c>
      <c r="K21" s="386"/>
      <c r="L21" s="27">
        <v>1205.1999999999998</v>
      </c>
      <c r="M21" s="386"/>
      <c r="N21" s="27">
        <v>1090.2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1582.2999999999997</v>
      </c>
      <c r="G23" s="400"/>
      <c r="H23" s="20">
        <v>1584.1</v>
      </c>
      <c r="I23" s="400"/>
      <c r="J23" s="20">
        <v>1578</v>
      </c>
      <c r="K23" s="400"/>
      <c r="L23" s="20">
        <v>1597.9</v>
      </c>
      <c r="M23" s="400"/>
      <c r="N23" s="20">
        <v>1576.8000000000002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1194.0999999999999</v>
      </c>
      <c r="G24" s="401"/>
      <c r="H24" s="21">
        <v>1214.0999999999999</v>
      </c>
      <c r="I24" s="401"/>
      <c r="J24" s="21">
        <v>1170</v>
      </c>
      <c r="K24" s="401"/>
      <c r="L24" s="21">
        <v>1205.1999999999998</v>
      </c>
      <c r="M24" s="401"/>
      <c r="N24" s="21">
        <v>1090.2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388.19999999999982</v>
      </c>
      <c r="G25" s="402"/>
      <c r="H25" s="67">
        <v>370</v>
      </c>
      <c r="I25" s="402"/>
      <c r="J25" s="67">
        <v>408</v>
      </c>
      <c r="K25" s="402"/>
      <c r="L25" s="67">
        <v>392.70000000000027</v>
      </c>
      <c r="M25" s="402"/>
      <c r="N25" s="67">
        <v>486.60000000000014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A4A1-C9DF-4571-9326-EE173EDA054D}">
  <dimension ref="B1:O69"/>
  <sheetViews>
    <sheetView showGridLines="0" view="pageBreakPreview" topLeftCell="A2" zoomScale="70" zoomScaleNormal="70" zoomScaleSheetLayoutView="70" zoomScalePageLayoutView="85" workbookViewId="0">
      <selection activeCell="A57" sqref="A57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45962</v>
      </c>
      <c r="G3" s="26" t="s">
        <v>48</v>
      </c>
      <c r="H3" s="25">
        <v>45963</v>
      </c>
      <c r="I3" s="26" t="s">
        <v>56</v>
      </c>
      <c r="J3" s="25">
        <v>45964</v>
      </c>
      <c r="K3" s="26" t="s">
        <v>48</v>
      </c>
      <c r="L3" s="25">
        <v>45967</v>
      </c>
      <c r="M3" s="26" t="s">
        <v>48</v>
      </c>
      <c r="N3" s="25">
        <v>45968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69.5</v>
      </c>
      <c r="G5" s="384" t="s">
        <v>45</v>
      </c>
      <c r="H5" s="9">
        <v>68.5</v>
      </c>
      <c r="I5" s="384" t="s">
        <v>45</v>
      </c>
      <c r="J5" s="9">
        <v>69.3</v>
      </c>
      <c r="K5" s="384" t="s">
        <v>45</v>
      </c>
      <c r="L5" s="9">
        <v>80.2</v>
      </c>
      <c r="M5" s="384" t="s">
        <v>45</v>
      </c>
      <c r="N5" s="9">
        <v>67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68.2</v>
      </c>
      <c r="G6" s="385"/>
      <c r="H6" s="10">
        <v>66.900000000000006</v>
      </c>
      <c r="I6" s="385"/>
      <c r="J6" s="10">
        <v>66.900000000000006</v>
      </c>
      <c r="K6" s="385"/>
      <c r="L6" s="10">
        <v>95.5</v>
      </c>
      <c r="M6" s="385"/>
      <c r="N6" s="10">
        <v>81.8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320.7</v>
      </c>
      <c r="G7" s="385"/>
      <c r="H7" s="28">
        <v>320.8</v>
      </c>
      <c r="I7" s="385"/>
      <c r="J7" s="28">
        <v>320.89999999999998</v>
      </c>
      <c r="K7" s="385"/>
      <c r="L7" s="28">
        <v>321.3</v>
      </c>
      <c r="M7" s="385"/>
      <c r="N7" s="28">
        <v>321.2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25.2</v>
      </c>
      <c r="G8" s="385"/>
      <c r="H8" s="29">
        <v>24.1</v>
      </c>
      <c r="I8" s="385"/>
      <c r="J8" s="29">
        <v>25.5</v>
      </c>
      <c r="K8" s="385"/>
      <c r="L8" s="29">
        <v>24.000000000000369</v>
      </c>
      <c r="M8" s="385"/>
      <c r="N8" s="29">
        <v>24.1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14.4</v>
      </c>
      <c r="G9" s="385"/>
      <c r="H9" s="30">
        <v>14.3</v>
      </c>
      <c r="I9" s="385"/>
      <c r="J9" s="30">
        <v>14.3</v>
      </c>
      <c r="K9" s="385"/>
      <c r="L9" s="30">
        <v>14.3</v>
      </c>
      <c r="M9" s="385"/>
      <c r="N9" s="30">
        <v>14.5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31.4</v>
      </c>
      <c r="G10" s="385"/>
      <c r="H10" s="11">
        <v>31.4</v>
      </c>
      <c r="I10" s="385"/>
      <c r="J10" s="11">
        <v>31.4</v>
      </c>
      <c r="K10" s="385"/>
      <c r="L10" s="11">
        <v>32.799999999999997</v>
      </c>
      <c r="M10" s="385"/>
      <c r="N10" s="11">
        <v>37.799999999999997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29</v>
      </c>
      <c r="G11" s="385"/>
      <c r="H11" s="12">
        <v>29.4</v>
      </c>
      <c r="I11" s="385"/>
      <c r="J11" s="12">
        <v>28.8</v>
      </c>
      <c r="K11" s="385"/>
      <c r="L11" s="12">
        <v>27.9</v>
      </c>
      <c r="M11" s="385"/>
      <c r="N11" s="12">
        <v>26.1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624.5</v>
      </c>
      <c r="G12" s="385"/>
      <c r="H12" s="13">
        <v>587.9</v>
      </c>
      <c r="I12" s="385"/>
      <c r="J12" s="13">
        <v>647.5</v>
      </c>
      <c r="K12" s="385"/>
      <c r="L12" s="13">
        <v>671.3</v>
      </c>
      <c r="M12" s="385"/>
      <c r="N12" s="13">
        <v>691.5</v>
      </c>
      <c r="O12" s="385"/>
    </row>
    <row r="13" spans="2:15" ht="16">
      <c r="B13" s="376"/>
      <c r="C13" s="379"/>
      <c r="D13" s="388"/>
      <c r="E13" s="45" t="s">
        <v>27</v>
      </c>
      <c r="F13" s="13">
        <v>44.2</v>
      </c>
      <c r="G13" s="385"/>
      <c r="H13" s="13">
        <v>36.299999999999997</v>
      </c>
      <c r="I13" s="385"/>
      <c r="J13" s="13">
        <v>35.1</v>
      </c>
      <c r="K13" s="385"/>
      <c r="L13" s="13">
        <v>32.4</v>
      </c>
      <c r="M13" s="385"/>
      <c r="N13" s="13">
        <v>7.5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83</v>
      </c>
      <c r="G14" s="385"/>
      <c r="H14" s="14">
        <v>83</v>
      </c>
      <c r="I14" s="385"/>
      <c r="J14" s="14">
        <v>83</v>
      </c>
      <c r="K14" s="385"/>
      <c r="L14" s="14">
        <v>83</v>
      </c>
      <c r="M14" s="385"/>
      <c r="N14" s="14">
        <v>83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f>SUM(F5:F14)</f>
        <v>1310.1000000000001</v>
      </c>
      <c r="G15" s="385"/>
      <c r="H15" s="15">
        <f>SUM(H5:H14)</f>
        <v>1262.6000000000001</v>
      </c>
      <c r="I15" s="385"/>
      <c r="J15" s="15">
        <f>SUM(J5:J14)</f>
        <v>1322.6999999999998</v>
      </c>
      <c r="K15" s="385"/>
      <c r="L15" s="15">
        <f>SUM(L5:L14)</f>
        <v>1382.7000000000003</v>
      </c>
      <c r="M15" s="385"/>
      <c r="N15" s="15">
        <f>SUM(N5:N14)</f>
        <v>1354.5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785</v>
      </c>
      <c r="G16" s="385"/>
      <c r="H16" s="8">
        <v>739.1</v>
      </c>
      <c r="I16" s="385"/>
      <c r="J16" s="8">
        <v>775</v>
      </c>
      <c r="K16" s="385"/>
      <c r="L16" s="8">
        <v>885</v>
      </c>
      <c r="M16" s="385"/>
      <c r="N16" s="8">
        <v>845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-201</v>
      </c>
      <c r="I17" s="385"/>
      <c r="J17" s="16">
        <v>-201</v>
      </c>
      <c r="K17" s="385"/>
      <c r="L17" s="16">
        <v>-201</v>
      </c>
      <c r="M17" s="385"/>
      <c r="N17" s="16">
        <v>-201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-3.9</v>
      </c>
      <c r="G18" s="385"/>
      <c r="H18" s="17">
        <v>-3.9</v>
      </c>
      <c r="I18" s="385"/>
      <c r="J18" s="17">
        <v>-3.9</v>
      </c>
      <c r="K18" s="385"/>
      <c r="L18" s="17">
        <v>-3.9</v>
      </c>
      <c r="M18" s="385"/>
      <c r="N18" s="17">
        <v>-3.9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-167.9</v>
      </c>
      <c r="G19" s="385"/>
      <c r="H19" s="18">
        <v>-130</v>
      </c>
      <c r="I19" s="385"/>
      <c r="J19" s="18">
        <v>-165.9</v>
      </c>
      <c r="K19" s="385"/>
      <c r="L19" s="18">
        <v>-175.9</v>
      </c>
      <c r="M19" s="385"/>
      <c r="N19" s="18">
        <v>-163.5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f>F16-(F17+F18+F19+F20)</f>
        <v>1157.8</v>
      </c>
      <c r="G21" s="386"/>
      <c r="H21" s="27">
        <f>H16-(H17+H18+H19+H20)</f>
        <v>1074</v>
      </c>
      <c r="I21" s="386"/>
      <c r="J21" s="27">
        <f>J16-(J17+J18+J19+J20)</f>
        <v>1145.8</v>
      </c>
      <c r="K21" s="386"/>
      <c r="L21" s="27">
        <f>L16-(L17+L18+L19+L20)</f>
        <v>1265.8</v>
      </c>
      <c r="M21" s="386"/>
      <c r="N21" s="27">
        <f>N16-(N17+N18+N19+N20)</f>
        <v>1213.4000000000001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f>F15</f>
        <v>1310.1000000000001</v>
      </c>
      <c r="G23" s="400"/>
      <c r="H23" s="20">
        <f>H15</f>
        <v>1262.6000000000001</v>
      </c>
      <c r="I23" s="400"/>
      <c r="J23" s="20">
        <f>J15</f>
        <v>1322.6999999999998</v>
      </c>
      <c r="K23" s="400"/>
      <c r="L23" s="20">
        <f>L15</f>
        <v>1382.7000000000003</v>
      </c>
      <c r="M23" s="400"/>
      <c r="N23" s="20">
        <f>N15</f>
        <v>1354.5</v>
      </c>
      <c r="O23" s="400"/>
    </row>
    <row r="24" spans="2:15" ht="16">
      <c r="B24" s="409"/>
      <c r="C24" s="403" t="s">
        <v>37</v>
      </c>
      <c r="D24" s="404"/>
      <c r="E24" s="405"/>
      <c r="F24" s="21">
        <f>F21</f>
        <v>1157.8</v>
      </c>
      <c r="G24" s="401"/>
      <c r="H24" s="21">
        <f>H21</f>
        <v>1074</v>
      </c>
      <c r="I24" s="401"/>
      <c r="J24" s="21">
        <f>J21</f>
        <v>1145.8</v>
      </c>
      <c r="K24" s="401"/>
      <c r="L24" s="21">
        <f>L21</f>
        <v>1265.8</v>
      </c>
      <c r="M24" s="401"/>
      <c r="N24" s="21">
        <f>N21</f>
        <v>1213.4000000000001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f>F23-F24</f>
        <v>152.30000000000018</v>
      </c>
      <c r="G25" s="402"/>
      <c r="H25" s="67">
        <f>H23-H24</f>
        <v>188.60000000000014</v>
      </c>
      <c r="I25" s="402"/>
      <c r="J25" s="67">
        <f>J23-J24</f>
        <v>176.89999999999986</v>
      </c>
      <c r="K25" s="402"/>
      <c r="L25" s="67">
        <f>L23-L24</f>
        <v>116.90000000000032</v>
      </c>
      <c r="M25" s="402"/>
      <c r="N25" s="67">
        <f>N23-N24</f>
        <v>141.09999999999991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日別の需給状況・再エネ出力抑制の必要性（2025年11月）</oddHeader>
    <oddFooter>&amp;R&amp;"メイリオ,レギュラー"&amp;14九州電力送配電株式会社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3C0E-3C81-4310-83ED-E6043E11AEB9}">
  <dimension ref="B1:O69"/>
  <sheetViews>
    <sheetView showGridLines="0" view="pageBreakPreview" zoomScale="70" zoomScaleNormal="70" zoomScaleSheetLayoutView="70" zoomScalePageLayoutView="85" workbookViewId="0">
      <selection activeCell="A57" sqref="A57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45969</v>
      </c>
      <c r="G3" s="26" t="s">
        <v>48</v>
      </c>
      <c r="H3" s="25">
        <v>45971</v>
      </c>
      <c r="I3" s="26" t="s">
        <v>48</v>
      </c>
      <c r="J3" s="25">
        <v>45975</v>
      </c>
      <c r="K3" s="26" t="s">
        <v>48</v>
      </c>
      <c r="L3" s="25">
        <v>45976</v>
      </c>
      <c r="M3" s="26" t="s">
        <v>222</v>
      </c>
      <c r="N3" s="25">
        <v>45977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59.7</v>
      </c>
      <c r="G5" s="384" t="s">
        <v>45</v>
      </c>
      <c r="H5" s="9">
        <v>78.8</v>
      </c>
      <c r="I5" s="384" t="s">
        <v>45</v>
      </c>
      <c r="J5" s="9">
        <v>89.3</v>
      </c>
      <c r="K5" s="384" t="s">
        <v>45</v>
      </c>
      <c r="L5" s="9">
        <v>74.3</v>
      </c>
      <c r="M5" s="384" t="s">
        <v>45</v>
      </c>
      <c r="N5" s="9">
        <v>72.400000000000006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66.3</v>
      </c>
      <c r="G6" s="385"/>
      <c r="H6" s="10">
        <v>84.2</v>
      </c>
      <c r="I6" s="385"/>
      <c r="J6" s="10">
        <v>88.9</v>
      </c>
      <c r="K6" s="385"/>
      <c r="L6" s="10">
        <v>71.2</v>
      </c>
      <c r="M6" s="385"/>
      <c r="N6" s="10">
        <v>81.3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321.10000000000002</v>
      </c>
      <c r="G7" s="385"/>
      <c r="H7" s="28">
        <v>321.60000000000002</v>
      </c>
      <c r="I7" s="385"/>
      <c r="J7" s="28">
        <v>322</v>
      </c>
      <c r="K7" s="385"/>
      <c r="L7" s="28">
        <v>322</v>
      </c>
      <c r="M7" s="385"/>
      <c r="N7" s="28">
        <v>322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23.5</v>
      </c>
      <c r="G8" s="385"/>
      <c r="H8" s="29">
        <v>23.600000000000279</v>
      </c>
      <c r="I8" s="385"/>
      <c r="J8" s="29">
        <v>23.400000000000137</v>
      </c>
      <c r="K8" s="385"/>
      <c r="L8" s="29">
        <v>27.300000000000004</v>
      </c>
      <c r="M8" s="385"/>
      <c r="N8" s="29">
        <v>26.799999999999777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14.5</v>
      </c>
      <c r="G9" s="385"/>
      <c r="H9" s="30">
        <v>13.9</v>
      </c>
      <c r="I9" s="385"/>
      <c r="J9" s="30">
        <v>14.3</v>
      </c>
      <c r="K9" s="385"/>
      <c r="L9" s="30">
        <v>14.3</v>
      </c>
      <c r="M9" s="385"/>
      <c r="N9" s="30">
        <v>14.2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32.6</v>
      </c>
      <c r="G10" s="385"/>
      <c r="H10" s="11">
        <v>32.799999999999997</v>
      </c>
      <c r="I10" s="385"/>
      <c r="J10" s="11">
        <v>28</v>
      </c>
      <c r="K10" s="385"/>
      <c r="L10" s="11">
        <v>27.7</v>
      </c>
      <c r="M10" s="385"/>
      <c r="N10" s="11">
        <v>27.7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25.9</v>
      </c>
      <c r="G11" s="385"/>
      <c r="H11" s="12">
        <v>24.6</v>
      </c>
      <c r="I11" s="385"/>
      <c r="J11" s="12">
        <v>26.7</v>
      </c>
      <c r="K11" s="385"/>
      <c r="L11" s="12">
        <v>26.5</v>
      </c>
      <c r="M11" s="385"/>
      <c r="N11" s="12">
        <v>26.4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636.20000000000005</v>
      </c>
      <c r="G12" s="385"/>
      <c r="H12" s="13">
        <v>661.3</v>
      </c>
      <c r="I12" s="385"/>
      <c r="J12" s="13">
        <v>712.6</v>
      </c>
      <c r="K12" s="385"/>
      <c r="L12" s="13">
        <v>733.5</v>
      </c>
      <c r="M12" s="385"/>
      <c r="N12" s="13">
        <v>705</v>
      </c>
      <c r="O12" s="385"/>
    </row>
    <row r="13" spans="2:15" ht="16">
      <c r="B13" s="376"/>
      <c r="C13" s="379"/>
      <c r="D13" s="388"/>
      <c r="E13" s="45" t="s">
        <v>27</v>
      </c>
      <c r="F13" s="13">
        <v>19.899999999999999</v>
      </c>
      <c r="G13" s="385"/>
      <c r="H13" s="13">
        <v>34.6</v>
      </c>
      <c r="I13" s="385"/>
      <c r="J13" s="13">
        <v>17.2</v>
      </c>
      <c r="K13" s="385"/>
      <c r="L13" s="13">
        <v>5.0999999999999996</v>
      </c>
      <c r="M13" s="385"/>
      <c r="N13" s="13">
        <v>0.2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83</v>
      </c>
      <c r="G14" s="385"/>
      <c r="H14" s="14">
        <v>83</v>
      </c>
      <c r="I14" s="385"/>
      <c r="J14" s="14">
        <v>83</v>
      </c>
      <c r="K14" s="385"/>
      <c r="L14" s="14">
        <v>83</v>
      </c>
      <c r="M14" s="385"/>
      <c r="N14" s="14">
        <v>13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f>SUM(F5:F14)</f>
        <v>1282.7000000000003</v>
      </c>
      <c r="G15" s="385"/>
      <c r="H15" s="15">
        <f>SUM(H5:H14)</f>
        <v>1358.4</v>
      </c>
      <c r="I15" s="385"/>
      <c r="J15" s="15">
        <f>SUM(J5:J14)</f>
        <v>1405.4000000000003</v>
      </c>
      <c r="K15" s="385"/>
      <c r="L15" s="15">
        <v>1384.9</v>
      </c>
      <c r="M15" s="385"/>
      <c r="N15" s="15">
        <f>SUM(N5:N14)</f>
        <v>1288.9999999999998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775</v>
      </c>
      <c r="G16" s="385"/>
      <c r="H16" s="8">
        <v>815</v>
      </c>
      <c r="I16" s="385"/>
      <c r="J16" s="8">
        <v>855</v>
      </c>
      <c r="K16" s="385"/>
      <c r="L16" s="8">
        <v>779</v>
      </c>
      <c r="M16" s="385"/>
      <c r="N16" s="8">
        <v>705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-201</v>
      </c>
      <c r="I17" s="385"/>
      <c r="J17" s="16">
        <v>-201</v>
      </c>
      <c r="K17" s="385"/>
      <c r="L17" s="16">
        <v>-201</v>
      </c>
      <c r="M17" s="385"/>
      <c r="N17" s="16">
        <v>-201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-3.9</v>
      </c>
      <c r="G18" s="385"/>
      <c r="H18" s="17">
        <v>-1.5</v>
      </c>
      <c r="I18" s="385"/>
      <c r="J18" s="17">
        <v>-1.5</v>
      </c>
      <c r="K18" s="385"/>
      <c r="L18" s="17">
        <v>-1.6</v>
      </c>
      <c r="M18" s="385"/>
      <c r="N18" s="17">
        <v>-1.5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-153.5</v>
      </c>
      <c r="G19" s="385"/>
      <c r="H19" s="18">
        <v>-163.5</v>
      </c>
      <c r="I19" s="385"/>
      <c r="J19" s="18">
        <v>-175.9</v>
      </c>
      <c r="K19" s="385"/>
      <c r="L19" s="18">
        <v>-166.9</v>
      </c>
      <c r="M19" s="385"/>
      <c r="N19" s="18">
        <v>-177.6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f>F16-(F17+F18+F19+F20)</f>
        <v>1133.4000000000001</v>
      </c>
      <c r="G21" s="386"/>
      <c r="H21" s="27">
        <f>H16-(H17+H18+H19+H20)</f>
        <v>1181</v>
      </c>
      <c r="I21" s="386"/>
      <c r="J21" s="27">
        <f>J16-(J17+J18+J19+J20)</f>
        <v>1233.4000000000001</v>
      </c>
      <c r="K21" s="386"/>
      <c r="L21" s="27">
        <v>1148.5</v>
      </c>
      <c r="M21" s="386"/>
      <c r="N21" s="27">
        <f>N16-(N17+N18+N19+N20)</f>
        <v>1085.0999999999999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69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f>F15</f>
        <v>1282.7000000000003</v>
      </c>
      <c r="G23" s="400"/>
      <c r="H23" s="20">
        <f>H15</f>
        <v>1358.4</v>
      </c>
      <c r="I23" s="400"/>
      <c r="J23" s="20">
        <f>J15</f>
        <v>1405.4000000000003</v>
      </c>
      <c r="K23" s="400"/>
      <c r="L23" s="20">
        <v>1384.9</v>
      </c>
      <c r="M23" s="400"/>
      <c r="N23" s="20">
        <f>N15</f>
        <v>1288.9999999999998</v>
      </c>
      <c r="O23" s="400"/>
    </row>
    <row r="24" spans="2:15" ht="16">
      <c r="B24" s="409"/>
      <c r="C24" s="403" t="s">
        <v>37</v>
      </c>
      <c r="D24" s="404"/>
      <c r="E24" s="405"/>
      <c r="F24" s="21">
        <f>F21</f>
        <v>1133.4000000000001</v>
      </c>
      <c r="G24" s="401"/>
      <c r="H24" s="21">
        <f>H21</f>
        <v>1181</v>
      </c>
      <c r="I24" s="401"/>
      <c r="J24" s="21">
        <f>J21</f>
        <v>1233.4000000000001</v>
      </c>
      <c r="K24" s="401"/>
      <c r="L24" s="21">
        <v>1148.5</v>
      </c>
      <c r="M24" s="401"/>
      <c r="N24" s="21">
        <f>N21</f>
        <v>1085.0999999999999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f>F23-F24</f>
        <v>149.30000000000018</v>
      </c>
      <c r="G25" s="402"/>
      <c r="H25" s="67">
        <f>H23-H24</f>
        <v>177.40000000000009</v>
      </c>
      <c r="I25" s="402"/>
      <c r="J25" s="67">
        <f>J23-J24</f>
        <v>172.00000000000023</v>
      </c>
      <c r="K25" s="402"/>
      <c r="L25" s="67">
        <v>236.40000000000009</v>
      </c>
      <c r="M25" s="402"/>
      <c r="N25" s="67">
        <f>N23-N24</f>
        <v>203.89999999999986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日別の需給状況・再エネ出力抑制の必要性（2025年11月）</oddHeader>
    <oddFooter>&amp;R&amp;"メイリオ,レギュラー"&amp;14九州電力送配電株式会社</oddFooter>
  </headerFooter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B7F6-DFEC-4B3D-80CE-8E37A14E0949}">
  <dimension ref="B1:O69"/>
  <sheetViews>
    <sheetView showGridLines="0" view="pageBreakPreview" zoomScale="70" zoomScaleNormal="70" zoomScaleSheetLayoutView="70" zoomScalePageLayoutView="85" workbookViewId="0">
      <selection activeCell="A57" sqref="A57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550" t="s">
        <v>42</v>
      </c>
      <c r="I2" s="366"/>
      <c r="J2" s="550" t="s">
        <v>42</v>
      </c>
      <c r="K2" s="366"/>
      <c r="L2" s="365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45982</v>
      </c>
      <c r="G3" s="26" t="s">
        <v>49</v>
      </c>
      <c r="H3" s="115">
        <v>45983</v>
      </c>
      <c r="I3" s="26" t="s">
        <v>49</v>
      </c>
      <c r="J3" s="25">
        <v>45984</v>
      </c>
      <c r="K3" s="26" t="s">
        <v>49</v>
      </c>
      <c r="L3" s="25">
        <v>45987</v>
      </c>
      <c r="M3" s="26" t="s">
        <v>48</v>
      </c>
      <c r="N3" s="115">
        <v>45989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93</v>
      </c>
      <c r="G5" s="384" t="s">
        <v>45</v>
      </c>
      <c r="H5" s="9">
        <v>94.9</v>
      </c>
      <c r="I5" s="384" t="s">
        <v>45</v>
      </c>
      <c r="J5" s="9">
        <v>73.599999999999994</v>
      </c>
      <c r="K5" s="384" t="s">
        <v>45</v>
      </c>
      <c r="L5" s="9">
        <v>92.4</v>
      </c>
      <c r="M5" s="384" t="s">
        <v>45</v>
      </c>
      <c r="N5" s="120">
        <v>97.4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137.6</v>
      </c>
      <c r="G6" s="385"/>
      <c r="H6" s="10">
        <v>72.099999999999994</v>
      </c>
      <c r="I6" s="385"/>
      <c r="J6" s="10">
        <v>71.099999999999994</v>
      </c>
      <c r="K6" s="385"/>
      <c r="L6" s="10">
        <v>116.7</v>
      </c>
      <c r="M6" s="385"/>
      <c r="N6" s="123">
        <v>136.4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322.2</v>
      </c>
      <c r="G7" s="385"/>
      <c r="H7" s="28">
        <v>322.2</v>
      </c>
      <c r="I7" s="385"/>
      <c r="J7" s="28">
        <v>322.5</v>
      </c>
      <c r="K7" s="385"/>
      <c r="L7" s="28">
        <v>322.39999999999998</v>
      </c>
      <c r="M7" s="385"/>
      <c r="N7" s="126">
        <v>322.60000000000002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23.300000000000143</v>
      </c>
      <c r="G8" s="385"/>
      <c r="H8" s="29">
        <v>23.500000000000192</v>
      </c>
      <c r="I8" s="385"/>
      <c r="J8" s="29">
        <v>23.800000000000175</v>
      </c>
      <c r="K8" s="385"/>
      <c r="L8" s="29">
        <v>23.3</v>
      </c>
      <c r="M8" s="385"/>
      <c r="N8" s="129">
        <v>22.599999999999721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14.3</v>
      </c>
      <c r="G9" s="385"/>
      <c r="H9" s="30">
        <v>14.2</v>
      </c>
      <c r="I9" s="385"/>
      <c r="J9" s="30">
        <v>14.2</v>
      </c>
      <c r="K9" s="385"/>
      <c r="L9" s="30">
        <v>14.2</v>
      </c>
      <c r="M9" s="385"/>
      <c r="N9" s="131">
        <v>13.9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33.9</v>
      </c>
      <c r="G10" s="385"/>
      <c r="H10" s="11">
        <v>29.1</v>
      </c>
      <c r="I10" s="385"/>
      <c r="J10" s="11">
        <v>28.1</v>
      </c>
      <c r="K10" s="385"/>
      <c r="L10" s="11">
        <v>37.5</v>
      </c>
      <c r="M10" s="385"/>
      <c r="N10" s="133">
        <v>35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25.2</v>
      </c>
      <c r="G11" s="385"/>
      <c r="H11" s="12">
        <v>25.9</v>
      </c>
      <c r="I11" s="385"/>
      <c r="J11" s="12">
        <v>25.8</v>
      </c>
      <c r="K11" s="385"/>
      <c r="L11" s="12">
        <v>26.2</v>
      </c>
      <c r="M11" s="385"/>
      <c r="N11" s="135">
        <v>26.2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636.79999999999995</v>
      </c>
      <c r="G12" s="385"/>
      <c r="H12" s="13">
        <v>772.2</v>
      </c>
      <c r="I12" s="385"/>
      <c r="J12" s="13">
        <v>778</v>
      </c>
      <c r="K12" s="385"/>
      <c r="L12" s="13">
        <v>581.70000000000005</v>
      </c>
      <c r="M12" s="385"/>
      <c r="N12" s="137">
        <v>693.5</v>
      </c>
      <c r="O12" s="385"/>
    </row>
    <row r="13" spans="2:15" ht="16">
      <c r="B13" s="376"/>
      <c r="C13" s="379"/>
      <c r="D13" s="388"/>
      <c r="E13" s="45" t="s">
        <v>27</v>
      </c>
      <c r="F13" s="13">
        <v>32.700000000000003</v>
      </c>
      <c r="G13" s="385"/>
      <c r="H13" s="13">
        <v>4.2</v>
      </c>
      <c r="I13" s="385"/>
      <c r="J13" s="13">
        <v>1.9</v>
      </c>
      <c r="K13" s="385"/>
      <c r="L13" s="13">
        <v>12</v>
      </c>
      <c r="M13" s="385"/>
      <c r="N13" s="137">
        <v>32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125</v>
      </c>
      <c r="G14" s="385"/>
      <c r="H14" s="14">
        <v>10.8</v>
      </c>
      <c r="I14" s="385"/>
      <c r="J14" s="14">
        <v>10</v>
      </c>
      <c r="K14" s="385"/>
      <c r="L14" s="14">
        <v>125</v>
      </c>
      <c r="M14" s="385"/>
      <c r="N14" s="139">
        <v>110.5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f>SUM(F5:F14)</f>
        <v>1444.0000000000002</v>
      </c>
      <c r="G15" s="385"/>
      <c r="H15" s="15">
        <f>SUM(H5:H14)</f>
        <v>1369.1000000000004</v>
      </c>
      <c r="I15" s="385"/>
      <c r="J15" s="15">
        <f>SUM(J5:J14)</f>
        <v>1349.0000000000002</v>
      </c>
      <c r="K15" s="385"/>
      <c r="L15" s="15">
        <f>SUM(L5:L14)</f>
        <v>1351.4</v>
      </c>
      <c r="M15" s="385"/>
      <c r="N15" s="15">
        <f>SUM(N5:N14)</f>
        <v>1490.1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951</v>
      </c>
      <c r="G16" s="385"/>
      <c r="H16" s="8">
        <v>814.1</v>
      </c>
      <c r="I16" s="385"/>
      <c r="J16" s="8">
        <v>765</v>
      </c>
      <c r="K16" s="385"/>
      <c r="L16" s="8">
        <v>895</v>
      </c>
      <c r="M16" s="385"/>
      <c r="N16" s="320">
        <v>989.4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-91.1</v>
      </c>
      <c r="M17" s="385"/>
      <c r="N17" s="145">
        <v>-91.1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-2.4</v>
      </c>
      <c r="G18" s="385"/>
      <c r="H18" s="17">
        <v>-2.4</v>
      </c>
      <c r="I18" s="385"/>
      <c r="J18" s="17">
        <v>-2.4</v>
      </c>
      <c r="K18" s="385"/>
      <c r="L18" s="17">
        <v>-2.5</v>
      </c>
      <c r="M18" s="385"/>
      <c r="N18" s="111">
        <v>-2.5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-148.1</v>
      </c>
      <c r="G19" s="385"/>
      <c r="H19" s="18">
        <v>-188.2</v>
      </c>
      <c r="I19" s="385"/>
      <c r="J19" s="18">
        <v>-167.9</v>
      </c>
      <c r="K19" s="385"/>
      <c r="L19" s="18">
        <f>-208.3+3.6</f>
        <v>-204.70000000000002</v>
      </c>
      <c r="M19" s="385"/>
      <c r="N19" s="148">
        <v>-234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-3.6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f>F16-(F17+F18+F19+F20)</f>
        <v>1328.6</v>
      </c>
      <c r="G21" s="386"/>
      <c r="H21" s="27">
        <f>H16-(H17+H18+H19+H20)</f>
        <v>1231.8</v>
      </c>
      <c r="I21" s="386"/>
      <c r="J21" s="27">
        <f>J16-(J17+J18+J19+J20)</f>
        <v>1162.4000000000001</v>
      </c>
      <c r="K21" s="386"/>
      <c r="L21" s="27">
        <f>L16-(L17+L18+L19+L20)</f>
        <v>1196.9000000000001</v>
      </c>
      <c r="M21" s="386"/>
      <c r="N21" s="27">
        <f>N16-(N17+N18+N19+N20)</f>
        <v>1317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f>F15</f>
        <v>1444.0000000000002</v>
      </c>
      <c r="G23" s="400"/>
      <c r="H23" s="20">
        <f>H15</f>
        <v>1369.1000000000004</v>
      </c>
      <c r="I23" s="400"/>
      <c r="J23" s="20">
        <f>J15</f>
        <v>1349.0000000000002</v>
      </c>
      <c r="K23" s="400"/>
      <c r="L23" s="20">
        <f>L15</f>
        <v>1351.4</v>
      </c>
      <c r="M23" s="400"/>
      <c r="N23" s="20">
        <f>N15</f>
        <v>1490.1</v>
      </c>
      <c r="O23" s="400"/>
    </row>
    <row r="24" spans="2:15" ht="16">
      <c r="B24" s="409"/>
      <c r="C24" s="403" t="s">
        <v>37</v>
      </c>
      <c r="D24" s="404"/>
      <c r="E24" s="405"/>
      <c r="F24" s="21">
        <f>F21</f>
        <v>1328.6</v>
      </c>
      <c r="G24" s="401"/>
      <c r="H24" s="21">
        <f>H21</f>
        <v>1231.8</v>
      </c>
      <c r="I24" s="401"/>
      <c r="J24" s="21">
        <f>J21</f>
        <v>1162.4000000000001</v>
      </c>
      <c r="K24" s="401"/>
      <c r="L24" s="21">
        <f>L21</f>
        <v>1196.9000000000001</v>
      </c>
      <c r="M24" s="401"/>
      <c r="N24" s="21">
        <f>N21</f>
        <v>1317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f>F23-F24</f>
        <v>115.40000000000032</v>
      </c>
      <c r="G25" s="402"/>
      <c r="H25" s="67">
        <f>H23-H24</f>
        <v>137.30000000000041</v>
      </c>
      <c r="I25" s="402"/>
      <c r="J25" s="67">
        <f>J23-J24</f>
        <v>186.60000000000014</v>
      </c>
      <c r="K25" s="402"/>
      <c r="L25" s="67">
        <f>L23-L24</f>
        <v>154.5</v>
      </c>
      <c r="M25" s="402"/>
      <c r="N25" s="67">
        <f>N23-N24</f>
        <v>173.09999999999991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日別の需給状況・再エネ出力抑制の必要性（2025年11月）</oddHeader>
    <oddFooter>&amp;R&amp;"メイリオ,レギュラー"&amp;14九州電力送配電株式会社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F2CB-8A15-43DC-882D-CE0AFAA55D51}">
  <dimension ref="B1:O69"/>
  <sheetViews>
    <sheetView showGridLines="0" view="pageBreakPreview" zoomScale="70" zoomScaleNormal="70" zoomScaleSheetLayoutView="70" zoomScalePageLayoutView="85" workbookViewId="0">
      <selection activeCell="A57" sqref="A57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 t="s">
        <v>57</v>
      </c>
      <c r="K1" s="32"/>
      <c r="O1" s="32"/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365" t="s">
        <v>42</v>
      </c>
      <c r="I2" s="366"/>
    </row>
    <row r="3" spans="2:15" ht="16.5" thickBot="1">
      <c r="B3" s="3"/>
      <c r="C3" s="372" t="s">
        <v>3</v>
      </c>
      <c r="D3" s="373"/>
      <c r="E3" s="374"/>
      <c r="F3" s="115">
        <v>45990</v>
      </c>
      <c r="G3" s="26" t="s">
        <v>48</v>
      </c>
      <c r="H3" s="25">
        <v>45991</v>
      </c>
      <c r="I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93.5</v>
      </c>
      <c r="G5" s="384" t="s">
        <v>45</v>
      </c>
      <c r="H5" s="9">
        <v>93.1</v>
      </c>
      <c r="I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72.099999999999994</v>
      </c>
      <c r="G6" s="385"/>
      <c r="H6" s="10">
        <v>71.5</v>
      </c>
      <c r="I6" s="385"/>
    </row>
    <row r="7" spans="2:15" ht="16">
      <c r="B7" s="376"/>
      <c r="C7" s="379"/>
      <c r="D7" s="35" t="s">
        <v>13</v>
      </c>
      <c r="E7" s="36" t="s">
        <v>5</v>
      </c>
      <c r="F7" s="28">
        <v>322.39999999999998</v>
      </c>
      <c r="G7" s="385"/>
      <c r="H7" s="28">
        <v>322.60000000000002</v>
      </c>
      <c r="I7" s="385"/>
    </row>
    <row r="8" spans="2:15" ht="16">
      <c r="B8" s="376"/>
      <c r="C8" s="379"/>
      <c r="D8" s="37" t="s">
        <v>14</v>
      </c>
      <c r="E8" s="38" t="s">
        <v>6</v>
      </c>
      <c r="F8" s="29">
        <v>22.000000000000206</v>
      </c>
      <c r="G8" s="385"/>
      <c r="H8" s="29">
        <v>22.39999999999992</v>
      </c>
      <c r="I8" s="385"/>
    </row>
    <row r="9" spans="2:15" ht="16">
      <c r="B9" s="376"/>
      <c r="C9" s="379"/>
      <c r="D9" s="39" t="s">
        <v>15</v>
      </c>
      <c r="E9" s="40" t="s">
        <v>7</v>
      </c>
      <c r="F9" s="30">
        <v>16.100000000000001</v>
      </c>
      <c r="G9" s="385"/>
      <c r="H9" s="30">
        <v>16</v>
      </c>
      <c r="I9" s="385"/>
    </row>
    <row r="10" spans="2:15" ht="16">
      <c r="B10" s="376"/>
      <c r="C10" s="379"/>
      <c r="D10" s="41" t="s">
        <v>17</v>
      </c>
      <c r="E10" s="42" t="s">
        <v>1</v>
      </c>
      <c r="F10" s="11">
        <v>33.6</v>
      </c>
      <c r="G10" s="385"/>
      <c r="H10" s="11">
        <v>33.4</v>
      </c>
      <c r="I10" s="385"/>
    </row>
    <row r="11" spans="2:15" ht="16">
      <c r="B11" s="376"/>
      <c r="C11" s="379"/>
      <c r="D11" s="43" t="s">
        <v>16</v>
      </c>
      <c r="E11" s="44" t="s">
        <v>2</v>
      </c>
      <c r="F11" s="12">
        <v>28.3</v>
      </c>
      <c r="G11" s="385"/>
      <c r="H11" s="12">
        <v>28.2</v>
      </c>
      <c r="I11" s="385"/>
    </row>
    <row r="12" spans="2:15" ht="16">
      <c r="B12" s="376"/>
      <c r="C12" s="379"/>
      <c r="D12" s="387" t="s">
        <v>18</v>
      </c>
      <c r="E12" s="45" t="s">
        <v>26</v>
      </c>
      <c r="F12" s="13">
        <v>765.9</v>
      </c>
      <c r="G12" s="385"/>
      <c r="H12" s="13">
        <v>724</v>
      </c>
      <c r="I12" s="385"/>
    </row>
    <row r="13" spans="2:15" ht="16">
      <c r="B13" s="376"/>
      <c r="C13" s="379"/>
      <c r="D13" s="388"/>
      <c r="E13" s="45" t="s">
        <v>27</v>
      </c>
      <c r="F13" s="13">
        <v>0.8</v>
      </c>
      <c r="G13" s="385"/>
      <c r="H13" s="13">
        <v>13</v>
      </c>
      <c r="I13" s="385"/>
    </row>
    <row r="14" spans="2:15" ht="16">
      <c r="B14" s="376"/>
      <c r="C14" s="379"/>
      <c r="D14" s="46" t="s">
        <v>19</v>
      </c>
      <c r="E14" s="47" t="s">
        <v>4</v>
      </c>
      <c r="F14" s="14">
        <v>10</v>
      </c>
      <c r="G14" s="385"/>
      <c r="H14" s="14">
        <v>13</v>
      </c>
      <c r="I14" s="385"/>
    </row>
    <row r="15" spans="2:15" ht="16.5" thickBot="1">
      <c r="B15" s="376"/>
      <c r="C15" s="380"/>
      <c r="D15" s="389" t="s">
        <v>28</v>
      </c>
      <c r="E15" s="390"/>
      <c r="F15" s="15">
        <f>SUM(F5:F14)</f>
        <v>1364.7</v>
      </c>
      <c r="G15" s="385"/>
      <c r="H15" s="15">
        <f>SUM(H5:H14)</f>
        <v>1337.1999999999998</v>
      </c>
      <c r="I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795</v>
      </c>
      <c r="G16" s="385"/>
      <c r="H16" s="8">
        <v>775</v>
      </c>
      <c r="I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-91.1</v>
      </c>
      <c r="G17" s="385"/>
      <c r="H17" s="16">
        <v>-91.1</v>
      </c>
      <c r="I17" s="385"/>
    </row>
    <row r="18" spans="2:15" ht="16.5" thickBot="1">
      <c r="B18" s="376"/>
      <c r="C18" s="392"/>
      <c r="D18" s="395"/>
      <c r="E18" s="51" t="s">
        <v>31</v>
      </c>
      <c r="F18" s="17">
        <v>-2.5</v>
      </c>
      <c r="G18" s="385"/>
      <c r="H18" s="17">
        <v>-4.2</v>
      </c>
      <c r="I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-180.5</v>
      </c>
      <c r="G19" s="385"/>
      <c r="H19" s="18">
        <v>-184.1</v>
      </c>
      <c r="I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</row>
    <row r="21" spans="2:15" ht="16.5" thickBot="1">
      <c r="B21" s="377"/>
      <c r="C21" s="393"/>
      <c r="D21" s="398" t="s">
        <v>34</v>
      </c>
      <c r="E21" s="399"/>
      <c r="F21" s="27">
        <f>F16-(F17+F18+F19+F20)</f>
        <v>1069.0999999999999</v>
      </c>
      <c r="G21" s="386"/>
      <c r="H21" s="27">
        <f>H16-(H17+H18+H19+H20)</f>
        <v>1054.4000000000001</v>
      </c>
      <c r="I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f>F15</f>
        <v>1364.7</v>
      </c>
      <c r="G23" s="400"/>
      <c r="H23" s="20">
        <f>H15</f>
        <v>1337.1999999999998</v>
      </c>
      <c r="I23" s="400"/>
    </row>
    <row r="24" spans="2:15" ht="16">
      <c r="B24" s="409"/>
      <c r="C24" s="403" t="s">
        <v>37</v>
      </c>
      <c r="D24" s="404"/>
      <c r="E24" s="405"/>
      <c r="F24" s="21">
        <f>F21</f>
        <v>1069.0999999999999</v>
      </c>
      <c r="G24" s="401"/>
      <c r="H24" s="21">
        <f>H21</f>
        <v>1054.4000000000001</v>
      </c>
      <c r="I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f>F23-F24</f>
        <v>295.60000000000014</v>
      </c>
      <c r="G25" s="402"/>
      <c r="H25" s="67">
        <f>H23-H24</f>
        <v>282.79999999999973</v>
      </c>
      <c r="I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0">
    <mergeCell ref="C16:C21"/>
    <mergeCell ref="D17:D18"/>
    <mergeCell ref="D19:D20"/>
    <mergeCell ref="D21:E21"/>
    <mergeCell ref="B23:B25"/>
    <mergeCell ref="C23:E23"/>
    <mergeCell ref="C2:E2"/>
    <mergeCell ref="F2:G2"/>
    <mergeCell ref="H2:I2"/>
    <mergeCell ref="C3:E3"/>
    <mergeCell ref="B5:B21"/>
    <mergeCell ref="C5:C15"/>
    <mergeCell ref="G5:G21"/>
    <mergeCell ref="I5:I21"/>
    <mergeCell ref="D12:D13"/>
    <mergeCell ref="D15:E15"/>
    <mergeCell ref="G23:G25"/>
    <mergeCell ref="I23:I25"/>
    <mergeCell ref="C24:E24"/>
    <mergeCell ref="D25:E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日別の需給状況・再エネ出力抑制の必要性（2025年11月）</oddHeader>
    <oddFooter>&amp;R&amp;"メイリオ,レギュラー"&amp;14九州電力送配電株式会社</oddFooter>
  </headerFooter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A156-34F9-416C-922E-213D5BBD5C95}">
  <dimension ref="A1:Y57"/>
  <sheetViews>
    <sheetView showGridLines="0" view="pageBreakPreview" topLeftCell="A8" zoomScale="70" zoomScaleNormal="55" zoomScaleSheetLayoutView="70" zoomScalePageLayoutView="55" workbookViewId="0">
      <selection sqref="A1:L29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45962</v>
      </c>
      <c r="G3" s="491"/>
      <c r="H3" s="491"/>
      <c r="I3" s="492"/>
      <c r="J3" s="490">
        <v>45963</v>
      </c>
      <c r="K3" s="491"/>
      <c r="L3" s="491"/>
      <c r="M3" s="492"/>
      <c r="N3" s="490">
        <v>45964</v>
      </c>
      <c r="O3" s="491"/>
      <c r="P3" s="491"/>
      <c r="Q3" s="492"/>
      <c r="R3" s="490">
        <v>45967</v>
      </c>
      <c r="S3" s="491"/>
      <c r="T3" s="491"/>
      <c r="U3" s="492"/>
      <c r="V3" s="490">
        <v>45968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0</v>
      </c>
      <c r="W5" s="165">
        <v>0</v>
      </c>
      <c r="X5" s="164"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8.8000000000000007</v>
      </c>
      <c r="O6" s="165">
        <v>8.8000000000000007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2:25" ht="16">
      <c r="B8" s="281"/>
      <c r="C8" s="496"/>
      <c r="D8" s="426"/>
      <c r="E8" s="218" t="s">
        <v>133</v>
      </c>
      <c r="F8" s="217">
        <v>34</v>
      </c>
      <c r="G8" s="216">
        <v>48.3</v>
      </c>
      <c r="H8" s="215">
        <v>14.299999999999997</v>
      </c>
      <c r="I8" s="326" t="s">
        <v>223</v>
      </c>
      <c r="J8" s="217">
        <v>33.1</v>
      </c>
      <c r="K8" s="216">
        <v>47.3</v>
      </c>
      <c r="L8" s="215">
        <v>14.300000000000004</v>
      </c>
      <c r="M8" s="326" t="s">
        <v>223</v>
      </c>
      <c r="N8" s="217">
        <v>33.799999999999997</v>
      </c>
      <c r="O8" s="216">
        <v>48.1</v>
      </c>
      <c r="P8" s="215">
        <v>14.300000000000004</v>
      </c>
      <c r="Q8" s="326" t="s">
        <v>223</v>
      </c>
      <c r="R8" s="217">
        <v>36</v>
      </c>
      <c r="S8" s="216">
        <v>50.3</v>
      </c>
      <c r="T8" s="215">
        <v>14.299999999999997</v>
      </c>
      <c r="U8" s="326" t="s">
        <v>223</v>
      </c>
      <c r="V8" s="217">
        <v>35.200000000000003</v>
      </c>
      <c r="W8" s="216">
        <v>49.5</v>
      </c>
      <c r="X8" s="215">
        <v>14.299999999999997</v>
      </c>
      <c r="Y8" s="326" t="s">
        <v>223</v>
      </c>
    </row>
    <row r="9" spans="2:25" ht="16.5" thickBot="1">
      <c r="B9" s="281"/>
      <c r="C9" s="497"/>
      <c r="D9" s="427" t="s">
        <v>101</v>
      </c>
      <c r="E9" s="428"/>
      <c r="F9" s="188">
        <v>55.2</v>
      </c>
      <c r="G9" s="187">
        <v>69.5</v>
      </c>
      <c r="H9" s="187">
        <v>14.299999999999997</v>
      </c>
      <c r="I9" s="213" t="s">
        <v>81</v>
      </c>
      <c r="J9" s="188">
        <v>54.300000000000004</v>
      </c>
      <c r="K9" s="187">
        <v>68.5</v>
      </c>
      <c r="L9" s="187">
        <v>14.300000000000004</v>
      </c>
      <c r="M9" s="213" t="s">
        <v>81</v>
      </c>
      <c r="N9" s="188">
        <v>55</v>
      </c>
      <c r="O9" s="187">
        <v>69.300000000000011</v>
      </c>
      <c r="P9" s="187">
        <v>14.300000000000004</v>
      </c>
      <c r="Q9" s="213" t="s">
        <v>81</v>
      </c>
      <c r="R9" s="188">
        <v>65.900000000000006</v>
      </c>
      <c r="S9" s="187">
        <v>80.199999999999989</v>
      </c>
      <c r="T9" s="187">
        <v>14.299999999999997</v>
      </c>
      <c r="U9" s="213" t="s">
        <v>81</v>
      </c>
      <c r="V9" s="188">
        <v>52.7</v>
      </c>
      <c r="W9" s="187">
        <v>67</v>
      </c>
      <c r="X9" s="187">
        <v>14.299999999999997</v>
      </c>
      <c r="Y9" s="265" t="s">
        <v>81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>
        <v>45962</v>
      </c>
      <c r="G11" s="433"/>
      <c r="H11" s="433"/>
      <c r="I11" s="434"/>
      <c r="J11" s="432">
        <v>45963</v>
      </c>
      <c r="K11" s="433"/>
      <c r="L11" s="433"/>
      <c r="M11" s="434"/>
      <c r="N11" s="432">
        <v>45964</v>
      </c>
      <c r="O11" s="433"/>
      <c r="P11" s="433"/>
      <c r="Q11" s="434"/>
      <c r="R11" s="432">
        <v>45967</v>
      </c>
      <c r="S11" s="433"/>
      <c r="T11" s="433"/>
      <c r="U11" s="434"/>
      <c r="V11" s="432">
        <v>45968</v>
      </c>
      <c r="W11" s="433"/>
      <c r="X11" s="433"/>
      <c r="Y11" s="438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212" t="s">
        <v>123</v>
      </c>
      <c r="J13" s="166">
        <v>-26.1</v>
      </c>
      <c r="K13" s="165">
        <v>0</v>
      </c>
      <c r="L13" s="164">
        <v>26.1</v>
      </c>
      <c r="M13" s="212" t="s">
        <v>123</v>
      </c>
      <c r="N13" s="166">
        <v>-26.1</v>
      </c>
      <c r="O13" s="165">
        <v>0</v>
      </c>
      <c r="P13" s="164">
        <v>26.1</v>
      </c>
      <c r="Q13" s="212" t="s">
        <v>123</v>
      </c>
      <c r="R13" s="166">
        <v>-26.1</v>
      </c>
      <c r="S13" s="165">
        <v>0</v>
      </c>
      <c r="T13" s="164">
        <v>26.1</v>
      </c>
      <c r="U13" s="212" t="s">
        <v>123</v>
      </c>
      <c r="V13" s="166">
        <v>-26.1</v>
      </c>
      <c r="W13" s="165">
        <v>0</v>
      </c>
      <c r="X13" s="164">
        <v>26.1</v>
      </c>
      <c r="Y13" s="212" t="s">
        <v>123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N14" s="166">
        <v>-26.1</v>
      </c>
      <c r="O14" s="165">
        <v>0</v>
      </c>
      <c r="P14" s="164">
        <v>26.1</v>
      </c>
      <c r="Q14" s="212" t="s">
        <v>123</v>
      </c>
      <c r="R14" s="166">
        <v>-26.1</v>
      </c>
      <c r="S14" s="165">
        <v>0</v>
      </c>
      <c r="T14" s="164">
        <v>26.1</v>
      </c>
      <c r="U14" s="212" t="s">
        <v>123</v>
      </c>
      <c r="V14" s="166">
        <v>-26.1</v>
      </c>
      <c r="W14" s="165">
        <v>0</v>
      </c>
      <c r="X14" s="164">
        <v>26.1</v>
      </c>
      <c r="Y14" s="212" t="s">
        <v>123</v>
      </c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212"/>
      <c r="J15" s="166">
        <v>-32.5</v>
      </c>
      <c r="K15" s="165">
        <v>-32.5</v>
      </c>
      <c r="L15" s="164">
        <v>0</v>
      </c>
      <c r="M15" s="212"/>
      <c r="N15" s="166">
        <v>-32.5</v>
      </c>
      <c r="O15" s="165">
        <v>-32.5</v>
      </c>
      <c r="P15" s="164">
        <v>0</v>
      </c>
      <c r="Q15" s="212"/>
      <c r="R15" s="166">
        <v>-32.5</v>
      </c>
      <c r="S15" s="165">
        <v>-32.5</v>
      </c>
      <c r="T15" s="164">
        <v>0</v>
      </c>
      <c r="U15" s="212"/>
      <c r="V15" s="166">
        <v>-32.5</v>
      </c>
      <c r="W15" s="165">
        <v>-32.5</v>
      </c>
      <c r="X15" s="164">
        <v>0</v>
      </c>
      <c r="Y15" s="286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212"/>
      <c r="J16" s="166">
        <v>-32.5</v>
      </c>
      <c r="K16" s="165">
        <v>-32.5</v>
      </c>
      <c r="L16" s="164">
        <v>0</v>
      </c>
      <c r="M16" s="212"/>
      <c r="N16" s="166">
        <v>-32.5</v>
      </c>
      <c r="O16" s="165">
        <v>-32.5</v>
      </c>
      <c r="P16" s="164">
        <v>0</v>
      </c>
      <c r="Q16" s="212"/>
      <c r="R16" s="166">
        <v>-32.5</v>
      </c>
      <c r="S16" s="165">
        <v>-32.5</v>
      </c>
      <c r="T16" s="164">
        <v>0</v>
      </c>
      <c r="U16" s="212"/>
      <c r="V16" s="166">
        <v>-32.5</v>
      </c>
      <c r="W16" s="165">
        <v>-32.5</v>
      </c>
      <c r="X16" s="164">
        <v>0</v>
      </c>
      <c r="Y16" s="286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212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212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212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-201</v>
      </c>
      <c r="H21" s="187">
        <v>52.2</v>
      </c>
      <c r="I21" s="186" t="s">
        <v>81</v>
      </c>
      <c r="J21" s="188">
        <v>-253.2</v>
      </c>
      <c r="K21" s="187">
        <v>-201</v>
      </c>
      <c r="L21" s="187">
        <v>52.2</v>
      </c>
      <c r="M21" s="186" t="s">
        <v>81</v>
      </c>
      <c r="N21" s="188">
        <v>-253.2</v>
      </c>
      <c r="O21" s="187">
        <v>-201</v>
      </c>
      <c r="P21" s="187">
        <v>52.2</v>
      </c>
      <c r="Q21" s="186" t="s">
        <v>81</v>
      </c>
      <c r="R21" s="188">
        <v>-253.2</v>
      </c>
      <c r="S21" s="187">
        <v>-201</v>
      </c>
      <c r="T21" s="187">
        <v>52.2</v>
      </c>
      <c r="U21" s="186" t="s">
        <v>81</v>
      </c>
      <c r="V21" s="188">
        <v>-253.2</v>
      </c>
      <c r="W21" s="187">
        <v>-201</v>
      </c>
      <c r="X21" s="187">
        <v>52.2</v>
      </c>
      <c r="Y21" s="268" t="s">
        <v>81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>
        <v>45962</v>
      </c>
      <c r="G23" s="433"/>
      <c r="H23" s="433"/>
      <c r="I23" s="434"/>
      <c r="J23" s="432">
        <v>45963</v>
      </c>
      <c r="K23" s="433"/>
      <c r="L23" s="433"/>
      <c r="M23" s="434"/>
      <c r="N23" s="432">
        <v>45964</v>
      </c>
      <c r="O23" s="433"/>
      <c r="P23" s="433"/>
      <c r="Q23" s="434"/>
      <c r="R23" s="432">
        <v>45967</v>
      </c>
      <c r="S23" s="433"/>
      <c r="T23" s="433"/>
      <c r="U23" s="434"/>
      <c r="V23" s="432">
        <v>45968</v>
      </c>
      <c r="W23" s="433"/>
      <c r="X23" s="433"/>
      <c r="Y23" s="438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-3.9</v>
      </c>
      <c r="H25" s="207">
        <v>1.1000000000000001</v>
      </c>
      <c r="I25" s="212" t="s">
        <v>221</v>
      </c>
      <c r="J25" s="209">
        <v>-5</v>
      </c>
      <c r="K25" s="208">
        <v>-3.9</v>
      </c>
      <c r="L25" s="207">
        <v>1.1000000000000001</v>
      </c>
      <c r="M25" s="212" t="s">
        <v>221</v>
      </c>
      <c r="N25" s="209">
        <v>-5</v>
      </c>
      <c r="O25" s="208">
        <v>-3.9</v>
      </c>
      <c r="P25" s="207">
        <v>1.1000000000000001</v>
      </c>
      <c r="Q25" s="212" t="s">
        <v>221</v>
      </c>
      <c r="R25" s="209">
        <v>-5</v>
      </c>
      <c r="S25" s="208">
        <v>-3.9</v>
      </c>
      <c r="T25" s="207">
        <v>1.1000000000000001</v>
      </c>
      <c r="U25" s="212" t="s">
        <v>221</v>
      </c>
      <c r="V25" s="209">
        <v>-5</v>
      </c>
      <c r="W25" s="208">
        <v>-3.9</v>
      </c>
      <c r="X25" s="207">
        <v>1.1000000000000001</v>
      </c>
      <c r="Y25" s="212" t="s">
        <v>221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>
        <v>45962</v>
      </c>
      <c r="G27" s="433"/>
      <c r="H27" s="433"/>
      <c r="I27" s="434"/>
      <c r="J27" s="432">
        <v>45963</v>
      </c>
      <c r="K27" s="433"/>
      <c r="L27" s="433"/>
      <c r="M27" s="434"/>
      <c r="N27" s="432">
        <v>45964</v>
      </c>
      <c r="O27" s="433"/>
      <c r="P27" s="433"/>
      <c r="Q27" s="434"/>
      <c r="R27" s="432">
        <v>45967</v>
      </c>
      <c r="S27" s="433"/>
      <c r="T27" s="433"/>
      <c r="U27" s="434"/>
      <c r="V27" s="432">
        <v>45968</v>
      </c>
      <c r="W27" s="433"/>
      <c r="X27" s="433"/>
      <c r="Y27" s="438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333">
        <f>10.9+4.2</f>
        <v>15.100000000000001</v>
      </c>
      <c r="G33" s="334">
        <f>9+4.2</f>
        <v>13.2</v>
      </c>
      <c r="H33" s="537">
        <f>G33-F33</f>
        <v>-1.9000000000000021</v>
      </c>
      <c r="I33" s="539" t="s">
        <v>148</v>
      </c>
      <c r="J33" s="333">
        <f>10.9+3.2</f>
        <v>14.100000000000001</v>
      </c>
      <c r="K33" s="334">
        <f>9+3.2</f>
        <v>12.2</v>
      </c>
      <c r="L33" s="537">
        <f>K33-J33</f>
        <v>-1.9000000000000021</v>
      </c>
      <c r="M33" s="539" t="s">
        <v>148</v>
      </c>
      <c r="N33" s="333">
        <f>10.9+3.1</f>
        <v>14</v>
      </c>
      <c r="O33" s="334">
        <f>9+3.1</f>
        <v>12.1</v>
      </c>
      <c r="P33" s="537">
        <f>O33-N33</f>
        <v>-1.9000000000000004</v>
      </c>
      <c r="Q33" s="539" t="s">
        <v>148</v>
      </c>
      <c r="R33" s="333">
        <f>10.9+3.4</f>
        <v>14.3</v>
      </c>
      <c r="S33" s="334">
        <f>37.3+3.4</f>
        <v>40.699999999999996</v>
      </c>
      <c r="T33" s="537">
        <f>S33-R33</f>
        <v>26.399999999999995</v>
      </c>
      <c r="U33" s="539" t="s">
        <v>148</v>
      </c>
      <c r="V33" s="333">
        <f>10.9+3.5</f>
        <v>14.4</v>
      </c>
      <c r="W33" s="334">
        <f>23.6+3.5</f>
        <v>27.1</v>
      </c>
      <c r="X33" s="537">
        <f>W33-V33</f>
        <v>12.700000000000001</v>
      </c>
      <c r="Y33" s="539" t="s">
        <v>148</v>
      </c>
    </row>
    <row r="34" spans="2:25" ht="16">
      <c r="B34" s="281"/>
      <c r="C34" s="506"/>
      <c r="D34" s="467"/>
      <c r="E34" s="463" t="s">
        <v>104</v>
      </c>
      <c r="F34" s="335">
        <v>0.17</v>
      </c>
      <c r="G34" s="336">
        <v>0.15</v>
      </c>
      <c r="H34" s="538"/>
      <c r="I34" s="540"/>
      <c r="J34" s="335">
        <v>0.15620842572062082</v>
      </c>
      <c r="K34" s="336">
        <v>0.13514412416851443</v>
      </c>
      <c r="L34" s="538"/>
      <c r="M34" s="540"/>
      <c r="N34" s="335">
        <v>0.15565410199556542</v>
      </c>
      <c r="O34" s="336">
        <v>0.13458980044345897</v>
      </c>
      <c r="P34" s="538"/>
      <c r="Q34" s="540"/>
      <c r="R34" s="335">
        <v>0.15898004434589799</v>
      </c>
      <c r="S34" s="336">
        <v>0.45166297117516624</v>
      </c>
      <c r="T34" s="538"/>
      <c r="U34" s="540"/>
      <c r="V34" s="335">
        <v>0.15920177383592016</v>
      </c>
      <c r="W34" s="336">
        <v>0.3</v>
      </c>
      <c r="X34" s="538"/>
      <c r="Y34" s="540"/>
    </row>
    <row r="35" spans="2:25" ht="13.5" customHeight="1">
      <c r="B35" s="281"/>
      <c r="C35" s="506"/>
      <c r="D35" s="468"/>
      <c r="E35" s="464"/>
      <c r="F35" s="337">
        <v>43.6</v>
      </c>
      <c r="G35" s="338"/>
      <c r="H35" s="338"/>
      <c r="I35" s="339"/>
      <c r="J35" s="337">
        <v>43.6</v>
      </c>
      <c r="K35" s="338"/>
      <c r="L35" s="338"/>
      <c r="M35" s="339"/>
      <c r="N35" s="337">
        <v>43.6</v>
      </c>
      <c r="O35" s="338"/>
      <c r="P35" s="338"/>
      <c r="Q35" s="339"/>
      <c r="R35" s="337">
        <v>43.6</v>
      </c>
      <c r="S35" s="338"/>
      <c r="T35" s="338"/>
      <c r="U35" s="339"/>
      <c r="V35" s="337">
        <v>43.6</v>
      </c>
      <c r="W35" s="338"/>
      <c r="X35" s="338"/>
      <c r="Y35" s="340"/>
    </row>
    <row r="36" spans="2:25" ht="16">
      <c r="B36" s="281"/>
      <c r="C36" s="506"/>
      <c r="D36" s="468"/>
      <c r="E36" s="465"/>
      <c r="F36" s="341">
        <v>0.24</v>
      </c>
      <c r="G36" s="342"/>
      <c r="H36" s="342"/>
      <c r="I36" s="343"/>
      <c r="J36" s="341">
        <v>0.24</v>
      </c>
      <c r="K36" s="342"/>
      <c r="L36" s="342"/>
      <c r="M36" s="343"/>
      <c r="N36" s="341">
        <v>0.24</v>
      </c>
      <c r="O36" s="342"/>
      <c r="P36" s="342"/>
      <c r="Q36" s="343"/>
      <c r="R36" s="341">
        <v>0.24</v>
      </c>
      <c r="S36" s="342"/>
      <c r="T36" s="342"/>
      <c r="U36" s="343"/>
      <c r="V36" s="341">
        <v>0.24</v>
      </c>
      <c r="W36" s="342"/>
      <c r="X36" s="342"/>
      <c r="Y36" s="344"/>
    </row>
    <row r="37" spans="2:25" ht="16">
      <c r="B37" s="281"/>
      <c r="C37" s="506"/>
      <c r="D37" s="467"/>
      <c r="E37" s="190" t="s">
        <v>103</v>
      </c>
      <c r="F37" s="345">
        <v>10</v>
      </c>
      <c r="G37" s="323">
        <v>0.6</v>
      </c>
      <c r="H37" s="346">
        <v>-9.4</v>
      </c>
      <c r="I37" s="347" t="s">
        <v>147</v>
      </c>
      <c r="J37" s="345">
        <v>10</v>
      </c>
      <c r="K37" s="323">
        <v>0.3</v>
      </c>
      <c r="L37" s="346">
        <v>-9.6999999999999993</v>
      </c>
      <c r="M37" s="347" t="s">
        <v>147</v>
      </c>
      <c r="N37" s="345">
        <v>10</v>
      </c>
      <c r="O37" s="323">
        <v>0.4</v>
      </c>
      <c r="P37" s="346">
        <f>O37-N37</f>
        <v>-9.6</v>
      </c>
      <c r="Q37" s="347" t="s">
        <v>147</v>
      </c>
      <c r="R37" s="345">
        <v>10</v>
      </c>
      <c r="S37" s="323">
        <v>0.4</v>
      </c>
      <c r="T37" s="346">
        <v>-9.6</v>
      </c>
      <c r="U37" s="347" t="s">
        <v>147</v>
      </c>
      <c r="V37" s="345">
        <v>10</v>
      </c>
      <c r="W37" s="323">
        <v>0.3</v>
      </c>
      <c r="X37" s="346">
        <v>-9.6</v>
      </c>
      <c r="Y37" s="34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f>F29+F31+F33+F37</f>
        <v>79.5</v>
      </c>
      <c r="G38" s="187">
        <f>G31+G33+G37</f>
        <v>68.199999999999989</v>
      </c>
      <c r="H38" s="187">
        <f>SUM(H29:H37)</f>
        <v>-11.300000000000002</v>
      </c>
      <c r="I38" s="186"/>
      <c r="J38" s="188">
        <f>J29+J31+J33+J37</f>
        <v>78.5</v>
      </c>
      <c r="K38" s="187">
        <f>K31+K33+K37</f>
        <v>66.899999999999991</v>
      </c>
      <c r="L38" s="187">
        <f>SUM(L29:L37)</f>
        <v>-11.600000000000001</v>
      </c>
      <c r="M38" s="186"/>
      <c r="N38" s="188">
        <f>N29+N31+N33+N37</f>
        <v>78.400000000000006</v>
      </c>
      <c r="O38" s="187">
        <f>O31+O33+O37</f>
        <v>66.900000000000006</v>
      </c>
      <c r="P38" s="187">
        <f>SUM(P29:P37)</f>
        <v>-11.5</v>
      </c>
      <c r="Q38" s="186"/>
      <c r="R38" s="188">
        <f>R29+R31+R33+R37</f>
        <v>78.7</v>
      </c>
      <c r="S38" s="187">
        <f>S31+S33+S37</f>
        <v>95.5</v>
      </c>
      <c r="T38" s="187">
        <f>SUM(T29:T37)</f>
        <v>16.799999999999997</v>
      </c>
      <c r="U38" s="186"/>
      <c r="V38" s="188">
        <f>V29+V31+V33+V37</f>
        <v>78.8</v>
      </c>
      <c r="W38" s="187">
        <f>W31+W33+W37</f>
        <v>81.8</v>
      </c>
      <c r="X38" s="187">
        <f>SUM(X29:X37)</f>
        <v>3.1000000000000014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>
        <v>45962</v>
      </c>
      <c r="G40" s="433"/>
      <c r="H40" s="433"/>
      <c r="I40" s="434"/>
      <c r="J40" s="469">
        <v>45963</v>
      </c>
      <c r="K40" s="470"/>
      <c r="L40" s="470"/>
      <c r="M40" s="471"/>
      <c r="N40" s="469">
        <v>45964</v>
      </c>
      <c r="O40" s="470"/>
      <c r="P40" s="470"/>
      <c r="Q40" s="471"/>
      <c r="R40" s="469">
        <v>45967</v>
      </c>
      <c r="S40" s="470"/>
      <c r="T40" s="470"/>
      <c r="U40" s="471"/>
      <c r="V40" s="432">
        <v>45968</v>
      </c>
      <c r="W40" s="433"/>
      <c r="X40" s="433"/>
      <c r="Y40" s="438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2:25" ht="16.5" customHeight="1">
      <c r="B42" s="281"/>
      <c r="C42" s="500"/>
      <c r="D42" s="445"/>
      <c r="E42" s="476" t="s">
        <v>96</v>
      </c>
      <c r="F42" s="348">
        <v>0</v>
      </c>
      <c r="G42" s="541">
        <v>0</v>
      </c>
      <c r="H42" s="537">
        <v>0</v>
      </c>
      <c r="I42" s="544"/>
      <c r="J42" s="348">
        <v>36.9</v>
      </c>
      <c r="K42" s="541">
        <v>0</v>
      </c>
      <c r="L42" s="537">
        <v>-36.9</v>
      </c>
      <c r="M42" s="539" t="s">
        <v>151</v>
      </c>
      <c r="N42" s="348">
        <v>0</v>
      </c>
      <c r="O42" s="541">
        <v>0</v>
      </c>
      <c r="P42" s="537">
        <v>0</v>
      </c>
      <c r="Q42" s="539"/>
      <c r="R42" s="348">
        <v>0</v>
      </c>
      <c r="S42" s="541">
        <v>0</v>
      </c>
      <c r="T42" s="537">
        <v>0</v>
      </c>
      <c r="U42" s="539"/>
      <c r="V42" s="348">
        <v>0</v>
      </c>
      <c r="W42" s="541">
        <v>0</v>
      </c>
      <c r="X42" s="537">
        <v>0</v>
      </c>
      <c r="Y42" s="548"/>
    </row>
    <row r="43" spans="2:25" ht="16.5" thickBot="1">
      <c r="B43" s="281"/>
      <c r="C43" s="475"/>
      <c r="D43" s="475"/>
      <c r="E43" s="477"/>
      <c r="F43" s="349">
        <v>167.9</v>
      </c>
      <c r="G43" s="542"/>
      <c r="H43" s="543"/>
      <c r="I43" s="545"/>
      <c r="J43" s="349">
        <v>166.9</v>
      </c>
      <c r="K43" s="542"/>
      <c r="L43" s="546"/>
      <c r="M43" s="547"/>
      <c r="N43" s="349">
        <v>165.9</v>
      </c>
      <c r="O43" s="542"/>
      <c r="P43" s="546"/>
      <c r="Q43" s="547"/>
      <c r="R43" s="349">
        <v>175.9</v>
      </c>
      <c r="S43" s="542"/>
      <c r="T43" s="546"/>
      <c r="U43" s="547"/>
      <c r="V43" s="349">
        <v>163.5</v>
      </c>
      <c r="W43" s="542"/>
      <c r="X43" s="543"/>
      <c r="Y43" s="549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>
        <v>45962</v>
      </c>
      <c r="G45" s="433"/>
      <c r="H45" s="433"/>
      <c r="I45" s="434"/>
      <c r="J45" s="469">
        <v>45963</v>
      </c>
      <c r="K45" s="470"/>
      <c r="L45" s="470"/>
      <c r="M45" s="471"/>
      <c r="N45" s="469">
        <v>45964</v>
      </c>
      <c r="O45" s="470"/>
      <c r="P45" s="470"/>
      <c r="Q45" s="471"/>
      <c r="R45" s="469">
        <v>45967</v>
      </c>
      <c r="S45" s="470"/>
      <c r="T45" s="470"/>
      <c r="U45" s="471"/>
      <c r="V45" s="292">
        <v>45968</v>
      </c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2:25" ht="16">
      <c r="B47" s="281"/>
      <c r="C47" s="500"/>
      <c r="D47" s="483"/>
      <c r="E47" s="488" t="s">
        <v>91</v>
      </c>
      <c r="F47" s="178">
        <v>32.4</v>
      </c>
      <c r="G47" s="478">
        <v>31.4</v>
      </c>
      <c r="H47" s="457">
        <v>-1</v>
      </c>
      <c r="I47" s="459" t="s">
        <v>123</v>
      </c>
      <c r="J47" s="178">
        <v>30.1</v>
      </c>
      <c r="K47" s="478">
        <v>31.4</v>
      </c>
      <c r="L47" s="457">
        <v>1.2999999999999972</v>
      </c>
      <c r="M47" s="539" t="s">
        <v>148</v>
      </c>
      <c r="N47" s="178">
        <v>30.1</v>
      </c>
      <c r="O47" s="478">
        <v>31.4</v>
      </c>
      <c r="P47" s="457">
        <v>1.2999999999999972</v>
      </c>
      <c r="Q47" s="539" t="s">
        <v>148</v>
      </c>
      <c r="R47" s="178">
        <v>30.1</v>
      </c>
      <c r="S47" s="478">
        <v>32.799999999999997</v>
      </c>
      <c r="T47" s="457">
        <v>2.6999999999999957</v>
      </c>
      <c r="U47" s="459" t="s">
        <v>123</v>
      </c>
      <c r="V47" s="178">
        <v>34.5</v>
      </c>
      <c r="W47" s="478">
        <v>37.799999999999997</v>
      </c>
      <c r="X47" s="457">
        <v>3.2999999999999972</v>
      </c>
      <c r="Y47" s="459" t="s">
        <v>123</v>
      </c>
    </row>
    <row r="48" spans="2:25" ht="16.5" thickBot="1">
      <c r="B48" s="281"/>
      <c r="C48" s="447"/>
      <c r="D48" s="487"/>
      <c r="E48" s="489"/>
      <c r="F48" s="177">
        <v>0.57999999999999996</v>
      </c>
      <c r="G48" s="479"/>
      <c r="H48" s="480"/>
      <c r="I48" s="481"/>
      <c r="J48" s="177">
        <v>0.6</v>
      </c>
      <c r="K48" s="479"/>
      <c r="L48" s="480"/>
      <c r="M48" s="540"/>
      <c r="N48" s="177">
        <v>0.6</v>
      </c>
      <c r="O48" s="479"/>
      <c r="P48" s="480"/>
      <c r="Q48" s="540"/>
      <c r="R48" s="177">
        <v>0.6</v>
      </c>
      <c r="S48" s="479"/>
      <c r="T48" s="480"/>
      <c r="U48" s="481"/>
      <c r="V48" s="177">
        <v>0.6</v>
      </c>
      <c r="W48" s="479"/>
      <c r="X48" s="509"/>
      <c r="Y48" s="481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>
        <v>45962</v>
      </c>
      <c r="G50" s="433"/>
      <c r="H50" s="433"/>
      <c r="I50" s="434"/>
      <c r="J50" s="469">
        <v>45963</v>
      </c>
      <c r="K50" s="470"/>
      <c r="L50" s="470"/>
      <c r="M50" s="471"/>
      <c r="N50" s="469">
        <v>45964</v>
      </c>
      <c r="O50" s="470"/>
      <c r="P50" s="470"/>
      <c r="Q50" s="471"/>
      <c r="R50" s="469">
        <v>45967</v>
      </c>
      <c r="S50" s="470"/>
      <c r="T50" s="470"/>
      <c r="U50" s="471"/>
      <c r="V50" s="432">
        <v>45968</v>
      </c>
      <c r="W50" s="433"/>
      <c r="X50" s="433"/>
      <c r="Y50" s="438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29</v>
      </c>
      <c r="H53" s="223" t="s">
        <v>81</v>
      </c>
      <c r="I53" s="351" t="s">
        <v>224</v>
      </c>
      <c r="J53" s="225">
        <v>0</v>
      </c>
      <c r="K53" s="350">
        <v>29.4</v>
      </c>
      <c r="L53" s="223" t="s">
        <v>81</v>
      </c>
      <c r="M53" s="351" t="s">
        <v>224</v>
      </c>
      <c r="N53" s="225">
        <v>0</v>
      </c>
      <c r="O53" s="350">
        <v>28.8</v>
      </c>
      <c r="P53" s="223" t="s">
        <v>81</v>
      </c>
      <c r="Q53" s="351" t="s">
        <v>224</v>
      </c>
      <c r="R53" s="225">
        <v>0</v>
      </c>
      <c r="S53" s="350">
        <v>27.9</v>
      </c>
      <c r="T53" s="223" t="s">
        <v>81</v>
      </c>
      <c r="U53" s="351" t="s">
        <v>224</v>
      </c>
      <c r="V53" s="225">
        <v>0</v>
      </c>
      <c r="W53" s="350">
        <v>26.1</v>
      </c>
      <c r="X53" s="223" t="s">
        <v>81</v>
      </c>
      <c r="Y53" s="351" t="s">
        <v>224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2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X42:X43"/>
    <mergeCell ref="Y42:Y43"/>
    <mergeCell ref="C45:E45"/>
    <mergeCell ref="F45:I45"/>
    <mergeCell ref="J45:M45"/>
    <mergeCell ref="N45:Q45"/>
    <mergeCell ref="R45:U45"/>
    <mergeCell ref="P42:P43"/>
    <mergeCell ref="Q42:Q43"/>
    <mergeCell ref="S42:S43"/>
    <mergeCell ref="T42:T43"/>
    <mergeCell ref="U42:U43"/>
    <mergeCell ref="W42:W43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Y33:Y34"/>
    <mergeCell ref="E34:E36"/>
    <mergeCell ref="D38:E38"/>
    <mergeCell ref="C40:E40"/>
    <mergeCell ref="F40:I40"/>
    <mergeCell ref="J40:M40"/>
    <mergeCell ref="N40:Q40"/>
    <mergeCell ref="R40:U40"/>
    <mergeCell ref="V40:Y40"/>
    <mergeCell ref="S29:S30"/>
    <mergeCell ref="T29:T30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T33:T34"/>
    <mergeCell ref="O31:O32"/>
    <mergeCell ref="P31:P32"/>
    <mergeCell ref="Q31:Q32"/>
    <mergeCell ref="S31:S32"/>
    <mergeCell ref="T31:T32"/>
    <mergeCell ref="U31:U32"/>
    <mergeCell ref="U33:U34"/>
    <mergeCell ref="X33:X34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E31:E32"/>
    <mergeCell ref="G31:G32"/>
    <mergeCell ref="H31:H32"/>
    <mergeCell ref="I31:I32"/>
    <mergeCell ref="K31:K32"/>
    <mergeCell ref="L31:L32"/>
    <mergeCell ref="M31:M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1410-660D-4F8A-AED3-6B8C2C9C59CD}">
  <dimension ref="A1:Y57"/>
  <sheetViews>
    <sheetView showGridLines="0" view="pageBreakPreview" topLeftCell="A8" zoomScale="70" zoomScaleNormal="55" zoomScaleSheetLayoutView="70" zoomScalePageLayoutView="55" workbookViewId="0">
      <selection sqref="A1:L29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45969</v>
      </c>
      <c r="G3" s="491"/>
      <c r="H3" s="491"/>
      <c r="I3" s="492"/>
      <c r="J3" s="490">
        <v>45971</v>
      </c>
      <c r="K3" s="491"/>
      <c r="L3" s="491"/>
      <c r="M3" s="492"/>
      <c r="N3" s="490">
        <v>45975</v>
      </c>
      <c r="O3" s="491"/>
      <c r="P3" s="491"/>
      <c r="Q3" s="492"/>
      <c r="R3" s="490">
        <v>45976</v>
      </c>
      <c r="S3" s="491"/>
      <c r="T3" s="491"/>
      <c r="U3" s="492"/>
      <c r="V3" s="490">
        <v>45977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2:25" ht="16">
      <c r="B5" s="281"/>
      <c r="C5" s="495"/>
      <c r="D5" s="425" t="s">
        <v>138</v>
      </c>
      <c r="E5" s="211" t="s">
        <v>137</v>
      </c>
      <c r="F5" s="166">
        <v>0</v>
      </c>
      <c r="G5" s="165">
        <v>0</v>
      </c>
      <c r="H5" s="164">
        <v>0</v>
      </c>
      <c r="I5" s="219"/>
      <c r="J5" s="166">
        <v>0</v>
      </c>
      <c r="K5" s="165">
        <v>0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63"/>
    </row>
    <row r="6" spans="2:25" ht="16">
      <c r="B6" s="281"/>
      <c r="C6" s="495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2:25" ht="16">
      <c r="B8" s="281"/>
      <c r="C8" s="496"/>
      <c r="D8" s="426"/>
      <c r="E8" s="218" t="s">
        <v>133</v>
      </c>
      <c r="F8" s="217">
        <v>42.2</v>
      </c>
      <c r="G8" s="216">
        <v>42.2</v>
      </c>
      <c r="H8" s="215">
        <v>0</v>
      </c>
      <c r="I8" s="326"/>
      <c r="J8" s="217">
        <v>53.5</v>
      </c>
      <c r="K8" s="216">
        <v>61.3</v>
      </c>
      <c r="L8" s="215">
        <v>7.7999999999999972</v>
      </c>
      <c r="M8" s="352" t="s">
        <v>223</v>
      </c>
      <c r="N8" s="217">
        <v>54.300000000000004</v>
      </c>
      <c r="O8" s="216">
        <v>59.4</v>
      </c>
      <c r="P8" s="215">
        <v>5.0999999999999943</v>
      </c>
      <c r="Q8" s="352" t="s">
        <v>223</v>
      </c>
      <c r="R8" s="217">
        <v>53.2</v>
      </c>
      <c r="S8" s="216">
        <v>53.2</v>
      </c>
      <c r="T8" s="215">
        <v>0</v>
      </c>
      <c r="U8" s="326"/>
      <c r="V8" s="217">
        <v>51.300000000000004</v>
      </c>
      <c r="W8" s="216">
        <v>51.300000000000004</v>
      </c>
      <c r="X8" s="215">
        <v>0</v>
      </c>
      <c r="Y8" s="326"/>
    </row>
    <row r="9" spans="2:25" ht="16.5" thickBot="1">
      <c r="B9" s="281"/>
      <c r="C9" s="497"/>
      <c r="D9" s="427" t="s">
        <v>101</v>
      </c>
      <c r="E9" s="428"/>
      <c r="F9" s="188">
        <v>59.7</v>
      </c>
      <c r="G9" s="187">
        <v>59.7</v>
      </c>
      <c r="H9" s="187">
        <v>0</v>
      </c>
      <c r="I9" s="213" t="s">
        <v>81</v>
      </c>
      <c r="J9" s="188">
        <v>71</v>
      </c>
      <c r="K9" s="187">
        <v>78.8</v>
      </c>
      <c r="L9" s="187">
        <v>7.7999999999999972</v>
      </c>
      <c r="M9" s="213" t="s">
        <v>81</v>
      </c>
      <c r="N9" s="188">
        <v>84.2</v>
      </c>
      <c r="O9" s="187">
        <v>89.3</v>
      </c>
      <c r="P9" s="187">
        <v>5.0999999999999943</v>
      </c>
      <c r="Q9" s="213" t="s">
        <v>81</v>
      </c>
      <c r="R9" s="188">
        <v>74.3</v>
      </c>
      <c r="S9" s="187">
        <v>74.3</v>
      </c>
      <c r="T9" s="187">
        <v>0</v>
      </c>
      <c r="U9" s="213" t="s">
        <v>81</v>
      </c>
      <c r="V9" s="188">
        <v>72.400000000000006</v>
      </c>
      <c r="W9" s="187">
        <v>72.400000000000006</v>
      </c>
      <c r="X9" s="187">
        <v>0</v>
      </c>
      <c r="Y9" s="265" t="s">
        <v>81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>
        <v>45969</v>
      </c>
      <c r="G11" s="433"/>
      <c r="H11" s="433"/>
      <c r="I11" s="434"/>
      <c r="J11" s="432">
        <v>45971</v>
      </c>
      <c r="K11" s="433"/>
      <c r="L11" s="433"/>
      <c r="M11" s="434"/>
      <c r="N11" s="432">
        <v>45975</v>
      </c>
      <c r="O11" s="433"/>
      <c r="P11" s="433"/>
      <c r="Q11" s="434"/>
      <c r="R11" s="432">
        <v>45976</v>
      </c>
      <c r="S11" s="433"/>
      <c r="T11" s="433"/>
      <c r="U11" s="434"/>
      <c r="V11" s="282">
        <v>45977</v>
      </c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212" t="s">
        <v>123</v>
      </c>
      <c r="J13" s="166">
        <v>-26.1</v>
      </c>
      <c r="K13" s="165">
        <v>0</v>
      </c>
      <c r="L13" s="164">
        <v>26.1</v>
      </c>
      <c r="M13" s="212" t="s">
        <v>123</v>
      </c>
      <c r="N13" s="166">
        <v>-26.1</v>
      </c>
      <c r="O13" s="165">
        <v>0</v>
      </c>
      <c r="P13" s="164">
        <v>26.1</v>
      </c>
      <c r="Q13" s="212" t="s">
        <v>123</v>
      </c>
      <c r="R13" s="166">
        <v>-26.1</v>
      </c>
      <c r="S13" s="165">
        <v>0</v>
      </c>
      <c r="T13" s="164">
        <v>26.1</v>
      </c>
      <c r="U13" s="212" t="s">
        <v>123</v>
      </c>
      <c r="V13" s="166">
        <v>-26.1</v>
      </c>
      <c r="W13" s="165">
        <v>0</v>
      </c>
      <c r="X13" s="164">
        <v>26.1</v>
      </c>
      <c r="Y13" s="212" t="s">
        <v>123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N14" s="166">
        <v>-26.1</v>
      </c>
      <c r="O14" s="165">
        <v>0</v>
      </c>
      <c r="P14" s="164">
        <v>26.1</v>
      </c>
      <c r="Q14" s="212" t="s">
        <v>123</v>
      </c>
      <c r="R14" s="166">
        <v>-26.1</v>
      </c>
      <c r="S14" s="165">
        <v>0</v>
      </c>
      <c r="T14" s="164">
        <v>26.1</v>
      </c>
      <c r="U14" s="212" t="s">
        <v>123</v>
      </c>
      <c r="V14" s="166">
        <v>-26.1</v>
      </c>
      <c r="W14" s="165">
        <v>0</v>
      </c>
      <c r="X14" s="164">
        <v>26.1</v>
      </c>
      <c r="Y14" s="212" t="s">
        <v>123</v>
      </c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212"/>
      <c r="J15" s="166">
        <v>-32.5</v>
      </c>
      <c r="K15" s="165">
        <v>-32.5</v>
      </c>
      <c r="L15" s="164">
        <v>0</v>
      </c>
      <c r="M15" s="212"/>
      <c r="N15" s="166">
        <v>-32.5</v>
      </c>
      <c r="O15" s="165">
        <v>-32.5</v>
      </c>
      <c r="P15" s="164">
        <v>0</v>
      </c>
      <c r="Q15" s="212"/>
      <c r="R15" s="166">
        <v>-32.5</v>
      </c>
      <c r="S15" s="165">
        <v>-32.5</v>
      </c>
      <c r="T15" s="164">
        <v>0</v>
      </c>
      <c r="U15" s="212"/>
      <c r="V15" s="166">
        <v>-32.5</v>
      </c>
      <c r="W15" s="165">
        <v>-32.5</v>
      </c>
      <c r="X15" s="164">
        <v>0</v>
      </c>
      <c r="Y15" s="286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212"/>
      <c r="J16" s="166">
        <v>-32.5</v>
      </c>
      <c r="K16" s="165">
        <v>-32.5</v>
      </c>
      <c r="L16" s="164">
        <v>0</v>
      </c>
      <c r="M16" s="212"/>
      <c r="N16" s="166">
        <v>-32.5</v>
      </c>
      <c r="O16" s="165">
        <v>-32.5</v>
      </c>
      <c r="P16" s="164">
        <v>0</v>
      </c>
      <c r="Q16" s="212"/>
      <c r="R16" s="166">
        <v>-32.5</v>
      </c>
      <c r="S16" s="165">
        <v>-32.5</v>
      </c>
      <c r="T16" s="164">
        <v>0</v>
      </c>
      <c r="U16" s="212"/>
      <c r="V16" s="166">
        <v>-32.5</v>
      </c>
      <c r="W16" s="165">
        <v>-32.5</v>
      </c>
      <c r="X16" s="164">
        <v>0</v>
      </c>
      <c r="Y16" s="286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212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212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212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-201</v>
      </c>
      <c r="H21" s="187">
        <v>52.2</v>
      </c>
      <c r="I21" s="186" t="s">
        <v>81</v>
      </c>
      <c r="J21" s="188">
        <v>-253.2</v>
      </c>
      <c r="K21" s="187">
        <v>-201</v>
      </c>
      <c r="L21" s="187">
        <v>52.2</v>
      </c>
      <c r="M21" s="186" t="s">
        <v>81</v>
      </c>
      <c r="N21" s="188">
        <v>-253.2</v>
      </c>
      <c r="O21" s="187">
        <v>-201</v>
      </c>
      <c r="P21" s="187">
        <v>52.2</v>
      </c>
      <c r="Q21" s="186" t="s">
        <v>81</v>
      </c>
      <c r="R21" s="188">
        <v>-253.2</v>
      </c>
      <c r="S21" s="187">
        <v>-201</v>
      </c>
      <c r="T21" s="187">
        <v>52.2</v>
      </c>
      <c r="U21" s="186" t="s">
        <v>81</v>
      </c>
      <c r="V21" s="188">
        <v>-253.2</v>
      </c>
      <c r="W21" s="187">
        <v>-201</v>
      </c>
      <c r="X21" s="187">
        <v>52.2</v>
      </c>
      <c r="Y21" s="268" t="s">
        <v>81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>
        <v>45969</v>
      </c>
      <c r="G23" s="433"/>
      <c r="H23" s="433"/>
      <c r="I23" s="434"/>
      <c r="J23" s="432">
        <v>45971</v>
      </c>
      <c r="K23" s="433"/>
      <c r="L23" s="433"/>
      <c r="M23" s="434"/>
      <c r="N23" s="432">
        <v>45975</v>
      </c>
      <c r="O23" s="433"/>
      <c r="P23" s="433"/>
      <c r="Q23" s="434"/>
      <c r="R23" s="432">
        <v>45976</v>
      </c>
      <c r="S23" s="433"/>
      <c r="T23" s="433"/>
      <c r="U23" s="434"/>
      <c r="V23" s="432">
        <v>45977</v>
      </c>
      <c r="W23" s="433"/>
      <c r="X23" s="433"/>
      <c r="Y23" s="438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-3.9</v>
      </c>
      <c r="H25" s="207">
        <v>1.1000000000000001</v>
      </c>
      <c r="I25" s="212" t="s">
        <v>221</v>
      </c>
      <c r="J25" s="209">
        <v>-5</v>
      </c>
      <c r="K25" s="208">
        <v>-1.5</v>
      </c>
      <c r="L25" s="207">
        <v>3.5</v>
      </c>
      <c r="M25" s="212" t="s">
        <v>223</v>
      </c>
      <c r="N25" s="209">
        <v>-5</v>
      </c>
      <c r="O25" s="208">
        <v>-1.5</v>
      </c>
      <c r="P25" s="207">
        <v>3.5</v>
      </c>
      <c r="Q25" s="212" t="s">
        <v>223</v>
      </c>
      <c r="R25" s="209">
        <v>-5</v>
      </c>
      <c r="S25" s="353">
        <v>-1.58</v>
      </c>
      <c r="T25" s="207">
        <v>3.42</v>
      </c>
      <c r="U25" s="212" t="s">
        <v>223</v>
      </c>
      <c r="V25" s="209">
        <v>-5</v>
      </c>
      <c r="W25" s="353">
        <v>-1.5</v>
      </c>
      <c r="X25" s="207">
        <v>3.5</v>
      </c>
      <c r="Y25" s="212" t="s">
        <v>223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>
        <v>45969</v>
      </c>
      <c r="G27" s="433"/>
      <c r="H27" s="433"/>
      <c r="I27" s="434"/>
      <c r="J27" s="432">
        <v>45971</v>
      </c>
      <c r="K27" s="433"/>
      <c r="L27" s="433"/>
      <c r="M27" s="434"/>
      <c r="N27" s="432">
        <v>45975</v>
      </c>
      <c r="O27" s="433"/>
      <c r="P27" s="433"/>
      <c r="Q27" s="434"/>
      <c r="R27" s="432">
        <v>45976</v>
      </c>
      <c r="S27" s="433"/>
      <c r="T27" s="433"/>
      <c r="U27" s="434"/>
      <c r="V27" s="282">
        <v>45977</v>
      </c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64.099999999999994</v>
      </c>
      <c r="X31" s="457">
        <v>9.6999999999999957</v>
      </c>
      <c r="Y31" s="459" t="s">
        <v>151</v>
      </c>
    </row>
    <row r="32" spans="2:25" ht="16">
      <c r="B32" s="281"/>
      <c r="C32" s="506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2:25" ht="16">
      <c r="B33" s="281"/>
      <c r="C33" s="506"/>
      <c r="D33" s="466" t="s">
        <v>107</v>
      </c>
      <c r="E33" s="201" t="s">
        <v>106</v>
      </c>
      <c r="F33" s="333">
        <f>10.9+4.2</f>
        <v>15.100000000000001</v>
      </c>
      <c r="G33" s="334">
        <f>7.3+4.2</f>
        <v>11.5</v>
      </c>
      <c r="H33" s="537">
        <v>-3.6000000000000005</v>
      </c>
      <c r="I33" s="539" t="s">
        <v>148</v>
      </c>
      <c r="J33" s="333">
        <f>4.2+10.9</f>
        <v>15.100000000000001</v>
      </c>
      <c r="K33" s="334">
        <f>25.2+4.2</f>
        <v>29.4</v>
      </c>
      <c r="L33" s="537">
        <v>14.299999999999999</v>
      </c>
      <c r="M33" s="539" t="s">
        <v>148</v>
      </c>
      <c r="N33" s="333">
        <f>3.8+15.9</f>
        <v>19.7</v>
      </c>
      <c r="O33" s="334">
        <f>3.8+30.3</f>
        <v>34.1</v>
      </c>
      <c r="P33" s="537">
        <v>14.4</v>
      </c>
      <c r="Q33" s="539" t="s">
        <v>148</v>
      </c>
      <c r="R33" s="333">
        <f>15.9+3.3</f>
        <v>19.2</v>
      </c>
      <c r="S33" s="334">
        <f>13.2+3.3</f>
        <v>16.5</v>
      </c>
      <c r="T33" s="537">
        <v>-2.7000000000000011</v>
      </c>
      <c r="U33" s="539" t="s">
        <v>148</v>
      </c>
      <c r="V33" s="333">
        <f>15.9+3.6</f>
        <v>19.5</v>
      </c>
      <c r="W33" s="334">
        <f>13.2+3.6</f>
        <v>16.8</v>
      </c>
      <c r="X33" s="537">
        <v>-2.7000000000000011</v>
      </c>
      <c r="Y33" s="539" t="s">
        <v>148</v>
      </c>
    </row>
    <row r="34" spans="2:25" ht="16">
      <c r="B34" s="281"/>
      <c r="C34" s="506"/>
      <c r="D34" s="467"/>
      <c r="E34" s="463" t="s">
        <v>104</v>
      </c>
      <c r="F34" s="335">
        <v>0.16762749445676273</v>
      </c>
      <c r="G34" s="336">
        <v>0.12771618625277162</v>
      </c>
      <c r="H34" s="538"/>
      <c r="I34" s="540"/>
      <c r="J34" s="335">
        <v>0.16762749445676273</v>
      </c>
      <c r="K34" s="336">
        <v>0.32616407982261636</v>
      </c>
      <c r="L34" s="538"/>
      <c r="M34" s="540"/>
      <c r="N34" s="335">
        <v>0.19442800788954634</v>
      </c>
      <c r="O34" s="336">
        <v>0.33643984220907291</v>
      </c>
      <c r="P34" s="538"/>
      <c r="Q34" s="540"/>
      <c r="R34" s="335">
        <v>0.1891025641025641</v>
      </c>
      <c r="S34" s="336">
        <v>0.16232741617357002</v>
      </c>
      <c r="T34" s="538"/>
      <c r="U34" s="540"/>
      <c r="V34" s="335">
        <v>0.19245562130177515</v>
      </c>
      <c r="W34" s="336">
        <v>0.16568047337278105</v>
      </c>
      <c r="X34" s="538"/>
      <c r="Y34" s="540"/>
    </row>
    <row r="35" spans="2:25" ht="13.5" customHeight="1">
      <c r="B35" s="281"/>
      <c r="C35" s="506"/>
      <c r="D35" s="468"/>
      <c r="E35" s="464"/>
      <c r="F35" s="337">
        <v>43.6</v>
      </c>
      <c r="G35" s="338"/>
      <c r="H35" s="338"/>
      <c r="I35" s="339"/>
      <c r="J35" s="337">
        <v>43.6</v>
      </c>
      <c r="K35" s="338"/>
      <c r="L35" s="338"/>
      <c r="M35" s="339"/>
      <c r="N35" s="337">
        <v>43</v>
      </c>
      <c r="O35" s="338"/>
      <c r="P35" s="338"/>
      <c r="Q35" s="339"/>
      <c r="R35" s="337">
        <v>43</v>
      </c>
      <c r="S35" s="338"/>
      <c r="T35" s="338"/>
      <c r="U35" s="339"/>
      <c r="V35" s="337">
        <v>43</v>
      </c>
      <c r="W35" s="338"/>
      <c r="X35" s="338"/>
      <c r="Y35" s="340"/>
    </row>
    <row r="36" spans="2:25" ht="16">
      <c r="B36" s="281"/>
      <c r="C36" s="506"/>
      <c r="D36" s="468"/>
      <c r="E36" s="465"/>
      <c r="F36" s="341">
        <v>0.24</v>
      </c>
      <c r="G36" s="342"/>
      <c r="H36" s="342"/>
      <c r="I36" s="343"/>
      <c r="J36" s="341">
        <v>0.24</v>
      </c>
      <c r="K36" s="342"/>
      <c r="L36" s="342"/>
      <c r="M36" s="343"/>
      <c r="N36" s="341">
        <v>0.24</v>
      </c>
      <c r="O36" s="342"/>
      <c r="P36" s="342"/>
      <c r="Q36" s="343"/>
      <c r="R36" s="341">
        <v>0.24</v>
      </c>
      <c r="S36" s="342"/>
      <c r="T36" s="342"/>
      <c r="U36" s="343"/>
      <c r="V36" s="341">
        <v>0.24</v>
      </c>
      <c r="W36" s="342"/>
      <c r="X36" s="342"/>
      <c r="Y36" s="344"/>
    </row>
    <row r="37" spans="2:25" ht="16">
      <c r="B37" s="281"/>
      <c r="C37" s="506"/>
      <c r="D37" s="467"/>
      <c r="E37" s="190" t="s">
        <v>103</v>
      </c>
      <c r="F37" s="345">
        <v>10</v>
      </c>
      <c r="G37" s="323">
        <v>0.4</v>
      </c>
      <c r="H37" s="346">
        <v>-9.6</v>
      </c>
      <c r="I37" s="347" t="s">
        <v>147</v>
      </c>
      <c r="J37" s="345">
        <v>10</v>
      </c>
      <c r="K37" s="323">
        <v>0.4</v>
      </c>
      <c r="L37" s="346">
        <v>-9.6</v>
      </c>
      <c r="M37" s="347" t="s">
        <v>147</v>
      </c>
      <c r="N37" s="345">
        <v>10</v>
      </c>
      <c r="O37" s="323">
        <v>0.4</v>
      </c>
      <c r="P37" s="346">
        <f>O37-N37</f>
        <v>-9.6</v>
      </c>
      <c r="Q37" s="347" t="s">
        <v>147</v>
      </c>
      <c r="R37" s="345">
        <v>10</v>
      </c>
      <c r="S37" s="323">
        <v>0.3</v>
      </c>
      <c r="T37" s="346">
        <v>-9.6999999999999993</v>
      </c>
      <c r="U37" s="347" t="s">
        <v>147</v>
      </c>
      <c r="V37" s="345">
        <v>10</v>
      </c>
      <c r="W37" s="323">
        <f>0.3+0.1</f>
        <v>0.4</v>
      </c>
      <c r="X37" s="346">
        <v>-9.6999999999999993</v>
      </c>
      <c r="Y37" s="34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f>F29+F31+F33+F37</f>
        <v>79.5</v>
      </c>
      <c r="G38" s="187">
        <f>G31+G33+G37</f>
        <v>66.300000000000011</v>
      </c>
      <c r="H38" s="187">
        <f>SUM(H29:H37)</f>
        <v>-13.2</v>
      </c>
      <c r="I38" s="186"/>
      <c r="J38" s="188">
        <f>J29+J31+J33+J37</f>
        <v>79.5</v>
      </c>
      <c r="K38" s="187">
        <f>K31+K33+K37</f>
        <v>84.2</v>
      </c>
      <c r="L38" s="187">
        <f>SUM(L29:L37)</f>
        <v>4.6999999999999993</v>
      </c>
      <c r="M38" s="186"/>
      <c r="N38" s="188">
        <f>N29+N31+N33+N37</f>
        <v>84.1</v>
      </c>
      <c r="O38" s="187">
        <f>O31+O33+O37</f>
        <v>88.9</v>
      </c>
      <c r="P38" s="187">
        <f>SUM(P29:P37)</f>
        <v>4.8000000000000007</v>
      </c>
      <c r="Q38" s="186"/>
      <c r="R38" s="188">
        <f>R29+R31+R33+R37</f>
        <v>83.6</v>
      </c>
      <c r="S38" s="187">
        <f>S31+S33+S37</f>
        <v>71.2</v>
      </c>
      <c r="T38" s="187">
        <f>SUM(T29:T37)</f>
        <v>-12.4</v>
      </c>
      <c r="U38" s="186"/>
      <c r="V38" s="188">
        <f>V29+V31+V33+V37</f>
        <v>83.9</v>
      </c>
      <c r="W38" s="187">
        <f>W31+W33+W37</f>
        <v>81.3</v>
      </c>
      <c r="X38" s="187">
        <f>SUM(X29:X37)</f>
        <v>-2.7000000000000046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>
        <v>45969</v>
      </c>
      <c r="G40" s="433"/>
      <c r="H40" s="433"/>
      <c r="I40" s="434"/>
      <c r="J40" s="469">
        <v>45971</v>
      </c>
      <c r="K40" s="470"/>
      <c r="L40" s="470"/>
      <c r="M40" s="471"/>
      <c r="N40" s="469">
        <v>45975</v>
      </c>
      <c r="O40" s="470"/>
      <c r="P40" s="470"/>
      <c r="Q40" s="471"/>
      <c r="R40" s="469">
        <v>45976</v>
      </c>
      <c r="S40" s="470"/>
      <c r="T40" s="470"/>
      <c r="U40" s="471"/>
      <c r="V40" s="432">
        <v>45977</v>
      </c>
      <c r="W40" s="433"/>
      <c r="X40" s="433"/>
      <c r="Y40" s="438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2:25" ht="16.5" customHeight="1">
      <c r="B42" s="281"/>
      <c r="C42" s="500"/>
      <c r="D42" s="445"/>
      <c r="E42" s="476" t="s">
        <v>96</v>
      </c>
      <c r="F42" s="348">
        <v>0</v>
      </c>
      <c r="G42" s="541">
        <v>0</v>
      </c>
      <c r="H42" s="537">
        <v>0</v>
      </c>
      <c r="I42" s="544"/>
      <c r="J42" s="348">
        <v>0</v>
      </c>
      <c r="K42" s="541">
        <v>0</v>
      </c>
      <c r="L42" s="537">
        <v>0</v>
      </c>
      <c r="M42" s="539"/>
      <c r="N42" s="348">
        <v>0</v>
      </c>
      <c r="O42" s="541">
        <v>0</v>
      </c>
      <c r="P42" s="537">
        <v>0</v>
      </c>
      <c r="Q42" s="539"/>
      <c r="R42" s="348">
        <v>0</v>
      </c>
      <c r="S42" s="541">
        <v>0</v>
      </c>
      <c r="T42" s="537">
        <v>0</v>
      </c>
      <c r="U42" s="539"/>
      <c r="V42" s="348">
        <v>0</v>
      </c>
      <c r="W42" s="541">
        <v>0</v>
      </c>
      <c r="X42" s="537">
        <v>0</v>
      </c>
      <c r="Y42" s="548"/>
    </row>
    <row r="43" spans="2:25" ht="16.5" thickBot="1">
      <c r="B43" s="281"/>
      <c r="C43" s="475"/>
      <c r="D43" s="475"/>
      <c r="E43" s="477"/>
      <c r="F43" s="349">
        <v>153.5</v>
      </c>
      <c r="G43" s="542"/>
      <c r="H43" s="543"/>
      <c r="I43" s="545"/>
      <c r="J43" s="349">
        <v>163.5</v>
      </c>
      <c r="K43" s="542"/>
      <c r="L43" s="546"/>
      <c r="M43" s="547"/>
      <c r="N43" s="349">
        <v>175.9</v>
      </c>
      <c r="O43" s="542"/>
      <c r="P43" s="546"/>
      <c r="Q43" s="547"/>
      <c r="R43" s="349">
        <v>166.9</v>
      </c>
      <c r="S43" s="542"/>
      <c r="T43" s="546"/>
      <c r="U43" s="547"/>
      <c r="V43" s="349">
        <v>177.6</v>
      </c>
      <c r="W43" s="542"/>
      <c r="X43" s="543"/>
      <c r="Y43" s="549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>
        <v>45969</v>
      </c>
      <c r="G45" s="433"/>
      <c r="H45" s="433"/>
      <c r="I45" s="434"/>
      <c r="J45" s="469">
        <v>45971</v>
      </c>
      <c r="K45" s="470"/>
      <c r="L45" s="470"/>
      <c r="M45" s="471"/>
      <c r="N45" s="469">
        <v>45975</v>
      </c>
      <c r="O45" s="470"/>
      <c r="P45" s="470"/>
      <c r="Q45" s="471"/>
      <c r="R45" s="469">
        <v>45976</v>
      </c>
      <c r="S45" s="470"/>
      <c r="T45" s="470"/>
      <c r="U45" s="471"/>
      <c r="V45" s="292">
        <v>45977</v>
      </c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2:25" ht="16">
      <c r="B47" s="281"/>
      <c r="C47" s="500"/>
      <c r="D47" s="483"/>
      <c r="E47" s="488" t="s">
        <v>91</v>
      </c>
      <c r="F47" s="178">
        <v>34.5</v>
      </c>
      <c r="G47" s="478">
        <v>32.6</v>
      </c>
      <c r="H47" s="457">
        <v>-1.8999999999999986</v>
      </c>
      <c r="I47" s="459" t="s">
        <v>150</v>
      </c>
      <c r="J47" s="178">
        <v>30.1</v>
      </c>
      <c r="K47" s="478">
        <v>32.799999999999997</v>
      </c>
      <c r="L47" s="457">
        <v>2.6999999999999957</v>
      </c>
      <c r="M47" s="459" t="s">
        <v>123</v>
      </c>
      <c r="N47" s="178">
        <v>26.1</v>
      </c>
      <c r="O47" s="478">
        <v>28</v>
      </c>
      <c r="P47" s="457">
        <v>1.8999999999999986</v>
      </c>
      <c r="Q47" s="459" t="s">
        <v>123</v>
      </c>
      <c r="R47" s="178">
        <v>26.1</v>
      </c>
      <c r="S47" s="478">
        <v>27.7</v>
      </c>
      <c r="T47" s="457">
        <v>1.5999999999999979</v>
      </c>
      <c r="U47" s="459" t="s">
        <v>123</v>
      </c>
      <c r="V47" s="178">
        <v>26.1</v>
      </c>
      <c r="W47" s="478">
        <v>27.7</v>
      </c>
      <c r="X47" s="457">
        <v>1.5999999999999979</v>
      </c>
      <c r="Y47" s="459" t="s">
        <v>123</v>
      </c>
    </row>
    <row r="48" spans="2:25" ht="16.5" thickBot="1">
      <c r="B48" s="281"/>
      <c r="C48" s="447"/>
      <c r="D48" s="487"/>
      <c r="E48" s="489"/>
      <c r="F48" s="177">
        <v>0.6</v>
      </c>
      <c r="G48" s="479"/>
      <c r="H48" s="480"/>
      <c r="I48" s="481"/>
      <c r="J48" s="177">
        <v>0.6</v>
      </c>
      <c r="K48" s="479"/>
      <c r="L48" s="480"/>
      <c r="M48" s="481"/>
      <c r="N48" s="177">
        <v>0.56999999999999995</v>
      </c>
      <c r="O48" s="479"/>
      <c r="P48" s="480"/>
      <c r="Q48" s="481"/>
      <c r="R48" s="177">
        <v>0.56999999999999995</v>
      </c>
      <c r="S48" s="479"/>
      <c r="T48" s="480"/>
      <c r="U48" s="481"/>
      <c r="V48" s="177">
        <v>0.56999999999999995</v>
      </c>
      <c r="W48" s="479"/>
      <c r="X48" s="509"/>
      <c r="Y48" s="481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>
        <v>45969</v>
      </c>
      <c r="G50" s="433"/>
      <c r="H50" s="433"/>
      <c r="I50" s="434"/>
      <c r="J50" s="469">
        <v>45971</v>
      </c>
      <c r="K50" s="470"/>
      <c r="L50" s="470"/>
      <c r="M50" s="471"/>
      <c r="N50" s="469">
        <v>45975</v>
      </c>
      <c r="O50" s="470"/>
      <c r="P50" s="470"/>
      <c r="Q50" s="471"/>
      <c r="R50" s="469">
        <v>45976</v>
      </c>
      <c r="S50" s="470"/>
      <c r="T50" s="470"/>
      <c r="U50" s="471"/>
      <c r="V50" s="292">
        <v>45977</v>
      </c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25.9</v>
      </c>
      <c r="H53" s="223" t="s">
        <v>81</v>
      </c>
      <c r="I53" s="351" t="s">
        <v>224</v>
      </c>
      <c r="J53" s="225">
        <v>0</v>
      </c>
      <c r="K53" s="350">
        <v>24.6</v>
      </c>
      <c r="L53" s="223" t="s">
        <v>81</v>
      </c>
      <c r="M53" s="351" t="s">
        <v>224</v>
      </c>
      <c r="N53" s="225">
        <v>0</v>
      </c>
      <c r="O53" s="350">
        <v>26.7</v>
      </c>
      <c r="P53" s="223" t="s">
        <v>81</v>
      </c>
      <c r="Q53" s="351" t="s">
        <v>224</v>
      </c>
      <c r="R53" s="225">
        <v>0</v>
      </c>
      <c r="S53" s="350">
        <v>26.5</v>
      </c>
      <c r="T53" s="223" t="s">
        <v>81</v>
      </c>
      <c r="U53" s="351" t="s">
        <v>224</v>
      </c>
      <c r="V53" s="225">
        <v>0</v>
      </c>
      <c r="W53" s="350">
        <v>26.4</v>
      </c>
      <c r="X53" s="223" t="s">
        <v>81</v>
      </c>
      <c r="Y53" s="351" t="s">
        <v>224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0"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P42:P43"/>
    <mergeCell ref="Q42:Q43"/>
    <mergeCell ref="S42:S43"/>
    <mergeCell ref="T42:T43"/>
    <mergeCell ref="U42:U43"/>
    <mergeCell ref="C40:E40"/>
    <mergeCell ref="F40:I40"/>
    <mergeCell ref="J40:M40"/>
    <mergeCell ref="N40:Q40"/>
    <mergeCell ref="R40:U40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W42:W43"/>
    <mergeCell ref="Y31:Y32"/>
    <mergeCell ref="D33:D37"/>
    <mergeCell ref="H33:H34"/>
    <mergeCell ref="I33:I34"/>
    <mergeCell ref="L33:L34"/>
    <mergeCell ref="M33:M34"/>
    <mergeCell ref="P33:P34"/>
    <mergeCell ref="Q33:Q34"/>
    <mergeCell ref="T33:T34"/>
    <mergeCell ref="P31:P32"/>
    <mergeCell ref="Q31:Q32"/>
    <mergeCell ref="S31:S32"/>
    <mergeCell ref="T31:T32"/>
    <mergeCell ref="U31:U32"/>
    <mergeCell ref="W31:W32"/>
    <mergeCell ref="U33:U34"/>
    <mergeCell ref="X33:X34"/>
    <mergeCell ref="Y33:Y34"/>
    <mergeCell ref="E34:E36"/>
    <mergeCell ref="W29:W30"/>
    <mergeCell ref="X29:X30"/>
    <mergeCell ref="E31:E32"/>
    <mergeCell ref="G31:G32"/>
    <mergeCell ref="H31:H32"/>
    <mergeCell ref="I31:I32"/>
    <mergeCell ref="K31:K32"/>
    <mergeCell ref="L31:L32"/>
    <mergeCell ref="M31:M32"/>
    <mergeCell ref="O31:O32"/>
    <mergeCell ref="O29:O30"/>
    <mergeCell ref="P29:P30"/>
    <mergeCell ref="Q29:Q30"/>
    <mergeCell ref="S29:S30"/>
    <mergeCell ref="T29:T30"/>
    <mergeCell ref="U29:U30"/>
    <mergeCell ref="X31:X32"/>
    <mergeCell ref="R27:U27"/>
    <mergeCell ref="C28:C38"/>
    <mergeCell ref="D29:D32"/>
    <mergeCell ref="E29:E30"/>
    <mergeCell ref="G29:G30"/>
    <mergeCell ref="H29:H30"/>
    <mergeCell ref="I29:I30"/>
    <mergeCell ref="K29:K30"/>
    <mergeCell ref="L29:L30"/>
    <mergeCell ref="M29:M30"/>
    <mergeCell ref="D38:E38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307F-322C-43DA-83CF-0EDA72C5BC75}">
  <dimension ref="A1:Y57"/>
  <sheetViews>
    <sheetView showGridLines="0" view="pageBreakPreview" topLeftCell="A8" zoomScale="70" zoomScaleNormal="55" zoomScaleSheetLayoutView="70" zoomScalePageLayoutView="55" workbookViewId="0">
      <selection sqref="A1:L29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45982</v>
      </c>
      <c r="G3" s="491"/>
      <c r="H3" s="491"/>
      <c r="I3" s="492"/>
      <c r="J3" s="490">
        <v>45983</v>
      </c>
      <c r="K3" s="491"/>
      <c r="L3" s="491"/>
      <c r="M3" s="492"/>
      <c r="N3" s="490">
        <v>45984</v>
      </c>
      <c r="O3" s="491"/>
      <c r="P3" s="491"/>
      <c r="Q3" s="492"/>
      <c r="R3" s="490">
        <v>45987</v>
      </c>
      <c r="S3" s="491"/>
      <c r="T3" s="491"/>
      <c r="U3" s="492"/>
      <c r="V3" s="490">
        <v>45989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262" t="s">
        <v>92</v>
      </c>
    </row>
    <row r="5" spans="2:25" ht="16">
      <c r="B5" s="281"/>
      <c r="C5" s="495"/>
      <c r="D5" s="425" t="s">
        <v>138</v>
      </c>
      <c r="E5" s="211" t="s">
        <v>137</v>
      </c>
      <c r="F5" s="166">
        <v>28.1</v>
      </c>
      <c r="G5" s="165">
        <v>28.1</v>
      </c>
      <c r="H5" s="164">
        <v>0</v>
      </c>
      <c r="I5" s="219"/>
      <c r="J5" s="166">
        <v>12.4</v>
      </c>
      <c r="K5" s="165">
        <v>32.700000000000003</v>
      </c>
      <c r="L5" s="164">
        <v>20.300000000000004</v>
      </c>
      <c r="M5" s="219" t="s">
        <v>183</v>
      </c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56.2</v>
      </c>
      <c r="G8" s="216">
        <v>56.2</v>
      </c>
      <c r="H8" s="215">
        <v>0</v>
      </c>
      <c r="I8" s="326"/>
      <c r="J8" s="217">
        <v>53.5</v>
      </c>
      <c r="K8" s="216">
        <v>53.5</v>
      </c>
      <c r="L8" s="215">
        <v>0</v>
      </c>
      <c r="M8" s="326"/>
      <c r="N8" s="217">
        <v>52.5</v>
      </c>
      <c r="O8" s="216">
        <v>52.5</v>
      </c>
      <c r="P8" s="215">
        <v>0</v>
      </c>
      <c r="Q8" s="326"/>
      <c r="R8" s="217">
        <v>55.1</v>
      </c>
      <c r="S8" s="216">
        <v>62.499999999999993</v>
      </c>
      <c r="T8" s="215">
        <v>7.3999999999999915</v>
      </c>
      <c r="U8" s="352" t="s">
        <v>223</v>
      </c>
      <c r="V8" s="217">
        <v>57</v>
      </c>
      <c r="W8" s="216">
        <v>67.5</v>
      </c>
      <c r="X8" s="215">
        <v>10.5</v>
      </c>
      <c r="Y8" s="352" t="s">
        <v>154</v>
      </c>
    </row>
    <row r="9" spans="2:25" ht="16.5" thickBot="1">
      <c r="B9" s="281"/>
      <c r="C9" s="497"/>
      <c r="D9" s="427" t="s">
        <v>101</v>
      </c>
      <c r="E9" s="428"/>
      <c r="F9" s="188">
        <v>97.600000000000009</v>
      </c>
      <c r="G9" s="187">
        <v>93</v>
      </c>
      <c r="H9" s="187">
        <v>0</v>
      </c>
      <c r="I9" s="213" t="s">
        <v>81</v>
      </c>
      <c r="J9" s="188">
        <v>74.599999999999994</v>
      </c>
      <c r="K9" s="187">
        <v>94.9</v>
      </c>
      <c r="L9" s="187">
        <v>20.300000000000004</v>
      </c>
      <c r="M9" s="213" t="s">
        <v>81</v>
      </c>
      <c r="N9" s="188">
        <v>73.599999999999994</v>
      </c>
      <c r="O9" s="187">
        <v>73.599999999999994</v>
      </c>
      <c r="P9" s="187">
        <v>0</v>
      </c>
      <c r="Q9" s="213" t="s">
        <v>81</v>
      </c>
      <c r="R9" s="188">
        <v>85</v>
      </c>
      <c r="S9" s="187">
        <v>92.399999999999991</v>
      </c>
      <c r="T9" s="187">
        <v>7.3999999999999915</v>
      </c>
      <c r="U9" s="213" t="s">
        <v>81</v>
      </c>
      <c r="V9" s="188">
        <v>86.9</v>
      </c>
      <c r="W9" s="187">
        <v>97.4</v>
      </c>
      <c r="X9" s="187">
        <v>10.5</v>
      </c>
      <c r="Y9" s="265" t="s">
        <v>81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>
        <v>45982</v>
      </c>
      <c r="G11" s="433"/>
      <c r="H11" s="433"/>
      <c r="I11" s="434"/>
      <c r="J11" s="432">
        <v>45983</v>
      </c>
      <c r="K11" s="433"/>
      <c r="L11" s="433"/>
      <c r="M11" s="434"/>
      <c r="N11" s="432">
        <v>45984</v>
      </c>
      <c r="O11" s="433"/>
      <c r="P11" s="433"/>
      <c r="Q11" s="434"/>
      <c r="R11" s="432">
        <v>45987</v>
      </c>
      <c r="S11" s="433"/>
      <c r="T11" s="433"/>
      <c r="U11" s="434"/>
      <c r="V11" s="282">
        <v>45989</v>
      </c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262" t="s">
        <v>92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212"/>
      <c r="J13" s="166">
        <v>-26.1</v>
      </c>
      <c r="K13" s="165">
        <v>-26.1</v>
      </c>
      <c r="L13" s="164">
        <v>0</v>
      </c>
      <c r="M13" s="212"/>
      <c r="N13" s="166">
        <v>-26.1</v>
      </c>
      <c r="O13" s="165">
        <v>-26.1</v>
      </c>
      <c r="P13" s="164">
        <v>0</v>
      </c>
      <c r="Q13" s="212"/>
      <c r="R13" s="166">
        <v>-26.1</v>
      </c>
      <c r="S13" s="165">
        <v>-26.1</v>
      </c>
      <c r="T13" s="164">
        <v>0</v>
      </c>
      <c r="U13" s="212"/>
      <c r="V13" s="166">
        <v>-26.1</v>
      </c>
      <c r="W13" s="165">
        <v>-26.1</v>
      </c>
      <c r="X13" s="164">
        <v>0</v>
      </c>
      <c r="Y13" s="212"/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N14" s="166">
        <v>-26.1</v>
      </c>
      <c r="O14" s="165">
        <v>0</v>
      </c>
      <c r="P14" s="164">
        <v>26.1</v>
      </c>
      <c r="Q14" s="212" t="s">
        <v>123</v>
      </c>
      <c r="R14" s="166">
        <v>-26.1</v>
      </c>
      <c r="S14" s="165">
        <v>0</v>
      </c>
      <c r="T14" s="164">
        <v>26.1</v>
      </c>
      <c r="U14" s="212" t="s">
        <v>123</v>
      </c>
      <c r="V14" s="166">
        <v>-26.1</v>
      </c>
      <c r="W14" s="165">
        <v>0</v>
      </c>
      <c r="X14" s="164">
        <v>26.1</v>
      </c>
      <c r="Y14" s="212" t="s">
        <v>123</v>
      </c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212"/>
      <c r="J15" s="166">
        <v>-32.5</v>
      </c>
      <c r="K15" s="165">
        <v>-32.5</v>
      </c>
      <c r="L15" s="164">
        <v>0</v>
      </c>
      <c r="M15" s="212"/>
      <c r="N15" s="166">
        <v>-32.5</v>
      </c>
      <c r="O15" s="165">
        <v>-32.5</v>
      </c>
      <c r="P15" s="164">
        <v>0</v>
      </c>
      <c r="Q15" s="212"/>
      <c r="R15" s="166">
        <v>-32.5</v>
      </c>
      <c r="S15" s="165">
        <v>-32.5</v>
      </c>
      <c r="T15" s="164">
        <v>0</v>
      </c>
      <c r="U15" s="212"/>
      <c r="V15" s="166">
        <v>-32.5</v>
      </c>
      <c r="W15" s="165">
        <v>-32.5</v>
      </c>
      <c r="X15" s="164">
        <v>0</v>
      </c>
      <c r="Y15" s="286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212"/>
      <c r="J16" s="166">
        <v>-32.5</v>
      </c>
      <c r="K16" s="165">
        <v>-32.5</v>
      </c>
      <c r="L16" s="164">
        <v>0</v>
      </c>
      <c r="M16" s="212"/>
      <c r="N16" s="166">
        <v>-32.5</v>
      </c>
      <c r="O16" s="165">
        <v>-32.5</v>
      </c>
      <c r="P16" s="164">
        <v>0</v>
      </c>
      <c r="Q16" s="212"/>
      <c r="R16" s="166">
        <v>-32.5</v>
      </c>
      <c r="S16" s="165">
        <v>-32.5</v>
      </c>
      <c r="T16" s="164">
        <v>0</v>
      </c>
      <c r="U16" s="212"/>
      <c r="V16" s="166">
        <v>-32.5</v>
      </c>
      <c r="W16" s="165">
        <v>-32.5</v>
      </c>
      <c r="X16" s="164">
        <v>0</v>
      </c>
      <c r="Y16" s="286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0</v>
      </c>
      <c r="T17" s="164">
        <v>34</v>
      </c>
      <c r="U17" s="212" t="s">
        <v>223</v>
      </c>
      <c r="V17" s="166">
        <v>-34</v>
      </c>
      <c r="W17" s="165">
        <v>0</v>
      </c>
      <c r="X17" s="164">
        <v>34</v>
      </c>
      <c r="Y17" s="286" t="s">
        <v>223</v>
      </c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212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0</v>
      </c>
      <c r="T18" s="164">
        <v>34</v>
      </c>
      <c r="U18" s="189" t="s">
        <v>223</v>
      </c>
      <c r="V18" s="166">
        <v>-34</v>
      </c>
      <c r="W18" s="165">
        <v>0</v>
      </c>
      <c r="X18" s="164">
        <v>34</v>
      </c>
      <c r="Y18" s="267" t="s">
        <v>223</v>
      </c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212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0</v>
      </c>
      <c r="T19" s="164">
        <v>34</v>
      </c>
      <c r="U19" s="189" t="s">
        <v>223</v>
      </c>
      <c r="V19" s="166">
        <v>-34</v>
      </c>
      <c r="W19" s="165">
        <v>0</v>
      </c>
      <c r="X19" s="164">
        <v>34</v>
      </c>
      <c r="Y19" s="267" t="s">
        <v>223</v>
      </c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212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0</v>
      </c>
      <c r="T20" s="164">
        <v>34</v>
      </c>
      <c r="U20" s="189" t="s">
        <v>223</v>
      </c>
      <c r="V20" s="166">
        <v>-34</v>
      </c>
      <c r="W20" s="165">
        <v>0</v>
      </c>
      <c r="X20" s="164">
        <v>34</v>
      </c>
      <c r="Y20" s="267" t="s">
        <v>223</v>
      </c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-91.1</v>
      </c>
      <c r="T21" s="187">
        <v>162.1</v>
      </c>
      <c r="U21" s="186" t="s">
        <v>81</v>
      </c>
      <c r="V21" s="188">
        <v>-253.2</v>
      </c>
      <c r="W21" s="187">
        <v>-91.1</v>
      </c>
      <c r="X21" s="187">
        <v>162.1</v>
      </c>
      <c r="Y21" s="268" t="s">
        <v>81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>
        <v>45982</v>
      </c>
      <c r="G23" s="433"/>
      <c r="H23" s="433"/>
      <c r="I23" s="434"/>
      <c r="J23" s="432">
        <v>45983</v>
      </c>
      <c r="K23" s="433"/>
      <c r="L23" s="433"/>
      <c r="M23" s="434"/>
      <c r="N23" s="432">
        <v>45984</v>
      </c>
      <c r="O23" s="433"/>
      <c r="P23" s="433"/>
      <c r="Q23" s="434"/>
      <c r="R23" s="432">
        <v>45987</v>
      </c>
      <c r="S23" s="433"/>
      <c r="T23" s="433"/>
      <c r="U23" s="434"/>
      <c r="V23" s="432">
        <v>45989</v>
      </c>
      <c r="W23" s="433"/>
      <c r="X23" s="433"/>
      <c r="Y23" s="438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262" t="s">
        <v>92</v>
      </c>
    </row>
    <row r="25" spans="2:25" ht="16.5" thickBot="1">
      <c r="B25" s="281"/>
      <c r="C25" s="501"/>
      <c r="D25" s="447"/>
      <c r="E25" s="449"/>
      <c r="F25" s="209">
        <v>-5</v>
      </c>
      <c r="G25" s="208">
        <v>-2.4</v>
      </c>
      <c r="H25" s="207">
        <v>2.6</v>
      </c>
      <c r="I25" s="212" t="s">
        <v>223</v>
      </c>
      <c r="J25" s="209">
        <v>-5</v>
      </c>
      <c r="K25" s="208">
        <v>-2.4</v>
      </c>
      <c r="L25" s="207">
        <v>2.6</v>
      </c>
      <c r="M25" s="212" t="s">
        <v>223</v>
      </c>
      <c r="N25" s="209">
        <v>-5</v>
      </c>
      <c r="O25" s="208">
        <v>-2.4</v>
      </c>
      <c r="P25" s="207">
        <v>2.6</v>
      </c>
      <c r="Q25" s="212" t="s">
        <v>223</v>
      </c>
      <c r="R25" s="209">
        <v>-5</v>
      </c>
      <c r="S25" s="208">
        <v>-2.48</v>
      </c>
      <c r="T25" s="207">
        <v>2.52</v>
      </c>
      <c r="U25" s="212" t="s">
        <v>223</v>
      </c>
      <c r="V25" s="209">
        <v>-5</v>
      </c>
      <c r="W25" s="208">
        <v>-2.48</v>
      </c>
      <c r="X25" s="207">
        <v>2.52</v>
      </c>
      <c r="Y25" s="212" t="s">
        <v>223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>
        <v>45982</v>
      </c>
      <c r="G27" s="433"/>
      <c r="H27" s="433"/>
      <c r="I27" s="434"/>
      <c r="J27" s="432">
        <v>45983</v>
      </c>
      <c r="K27" s="433"/>
      <c r="L27" s="433"/>
      <c r="M27" s="434"/>
      <c r="N27" s="432">
        <v>45984</v>
      </c>
      <c r="O27" s="433"/>
      <c r="P27" s="433"/>
      <c r="Q27" s="434"/>
      <c r="R27" s="432">
        <v>45987</v>
      </c>
      <c r="S27" s="433"/>
      <c r="T27" s="433"/>
      <c r="U27" s="434"/>
      <c r="V27" s="432">
        <v>45989</v>
      </c>
      <c r="W27" s="433"/>
      <c r="X27" s="433"/>
      <c r="Y27" s="438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262" t="s">
        <v>92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54.4</v>
      </c>
      <c r="G31" s="455">
        <v>95.6</v>
      </c>
      <c r="H31" s="457">
        <v>41.199999999999996</v>
      </c>
      <c r="I31" s="459" t="s">
        <v>151</v>
      </c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73.2</v>
      </c>
      <c r="T31" s="457">
        <v>18.800000000000004</v>
      </c>
      <c r="U31" s="459" t="s">
        <v>151</v>
      </c>
      <c r="V31" s="333">
        <f>54.4</f>
        <v>54.4</v>
      </c>
      <c r="W31" s="551">
        <f>99</f>
        <v>99</v>
      </c>
      <c r="X31" s="537">
        <f>44.6</f>
        <v>44.6</v>
      </c>
      <c r="Y31" s="459" t="s">
        <v>151</v>
      </c>
    </row>
    <row r="32" spans="2:25" ht="16">
      <c r="B32" s="281"/>
      <c r="C32" s="506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354">
        <v>0.28999999999999998</v>
      </c>
      <c r="W32" s="552"/>
      <c r="X32" s="538"/>
      <c r="Y32" s="460"/>
    </row>
    <row r="33" spans="2:25" ht="16">
      <c r="B33" s="281"/>
      <c r="C33" s="506"/>
      <c r="D33" s="466" t="s">
        <v>107</v>
      </c>
      <c r="E33" s="201" t="s">
        <v>106</v>
      </c>
      <c r="F33" s="333">
        <f>15.9+3.2</f>
        <v>19.100000000000001</v>
      </c>
      <c r="G33" s="334">
        <f>38.3+3.2</f>
        <v>41.5</v>
      </c>
      <c r="H33" s="537">
        <v>22.4</v>
      </c>
      <c r="I33" s="539" t="s">
        <v>148</v>
      </c>
      <c r="J33" s="333">
        <f>15.9+3.3</f>
        <v>19.2</v>
      </c>
      <c r="K33" s="334">
        <f>14+3.3</f>
        <v>17.3</v>
      </c>
      <c r="L33" s="537">
        <v>-1.9000000000000004</v>
      </c>
      <c r="M33" s="539" t="s">
        <v>148</v>
      </c>
      <c r="N33" s="333">
        <f>15.9+3.1</f>
        <v>19</v>
      </c>
      <c r="O33" s="334">
        <f>13.2+3.1</f>
        <v>16.3</v>
      </c>
      <c r="P33" s="537">
        <v>-2.7000000000000011</v>
      </c>
      <c r="Q33" s="539" t="s">
        <v>148</v>
      </c>
      <c r="R33" s="333">
        <f>24.9+0.8</f>
        <v>25.7</v>
      </c>
      <c r="S33" s="334">
        <f>42.2+0.8</f>
        <v>43</v>
      </c>
      <c r="T33" s="537">
        <f>S33-R33</f>
        <v>17.3</v>
      </c>
      <c r="U33" s="539" t="s">
        <v>148</v>
      </c>
      <c r="V33" s="333">
        <f>24.9+0.9</f>
        <v>25.799999999999997</v>
      </c>
      <c r="W33" s="334">
        <f>36.2+0.9</f>
        <v>37.1</v>
      </c>
      <c r="X33" s="537">
        <f>W33-V33</f>
        <v>11.300000000000004</v>
      </c>
      <c r="Y33" s="539" t="s">
        <v>148</v>
      </c>
    </row>
    <row r="34" spans="2:25" ht="16">
      <c r="B34" s="281"/>
      <c r="C34" s="506"/>
      <c r="D34" s="467"/>
      <c r="E34" s="463" t="s">
        <v>104</v>
      </c>
      <c r="F34" s="335">
        <v>0.18811637080867849</v>
      </c>
      <c r="G34" s="336">
        <v>0.40902366863905326</v>
      </c>
      <c r="H34" s="538"/>
      <c r="I34" s="540"/>
      <c r="J34" s="335">
        <v>0.1891025641025641</v>
      </c>
      <c r="K34" s="336">
        <v>0.17036489151873765</v>
      </c>
      <c r="L34" s="538"/>
      <c r="M34" s="540"/>
      <c r="N34" s="335">
        <v>0.18693293885601578</v>
      </c>
      <c r="O34" s="336">
        <v>0.1601577909270217</v>
      </c>
      <c r="P34" s="538"/>
      <c r="Q34" s="540"/>
      <c r="R34" s="335">
        <v>0.19562404870624051</v>
      </c>
      <c r="S34" s="336">
        <v>0.32716894977168948</v>
      </c>
      <c r="T34" s="538"/>
      <c r="U34" s="540"/>
      <c r="V34" s="335">
        <v>0.19585235920852362</v>
      </c>
      <c r="W34" s="336">
        <v>0.28219178082191776</v>
      </c>
      <c r="X34" s="538"/>
      <c r="Y34" s="540"/>
    </row>
    <row r="35" spans="2:25" ht="13.5" customHeight="1">
      <c r="B35" s="281"/>
      <c r="C35" s="506"/>
      <c r="D35" s="468"/>
      <c r="E35" s="464"/>
      <c r="F35" s="337">
        <v>43</v>
      </c>
      <c r="G35" s="338"/>
      <c r="H35" s="338"/>
      <c r="I35" s="339"/>
      <c r="J35" s="337">
        <v>43</v>
      </c>
      <c r="K35" s="338"/>
      <c r="L35" s="338"/>
      <c r="M35" s="339"/>
      <c r="N35" s="337">
        <v>43</v>
      </c>
      <c r="O35" s="338"/>
      <c r="P35" s="338"/>
      <c r="Q35" s="339"/>
      <c r="R35" s="337">
        <v>43</v>
      </c>
      <c r="S35" s="338"/>
      <c r="T35" s="338"/>
      <c r="U35" s="339"/>
      <c r="V35" s="337">
        <v>43</v>
      </c>
      <c r="W35" s="338"/>
      <c r="X35" s="338"/>
      <c r="Y35" s="340"/>
    </row>
    <row r="36" spans="2:25" ht="16">
      <c r="B36" s="281"/>
      <c r="C36" s="506"/>
      <c r="D36" s="468"/>
      <c r="E36" s="465"/>
      <c r="F36" s="341">
        <v>0.24</v>
      </c>
      <c r="G36" s="342"/>
      <c r="H36" s="342"/>
      <c r="I36" s="343"/>
      <c r="J36" s="341">
        <v>0.24</v>
      </c>
      <c r="K36" s="342"/>
      <c r="L36" s="342"/>
      <c r="M36" s="343"/>
      <c r="N36" s="341">
        <v>0.24</v>
      </c>
      <c r="O36" s="342"/>
      <c r="P36" s="342"/>
      <c r="Q36" s="343"/>
      <c r="R36" s="341">
        <v>0.24</v>
      </c>
      <c r="S36" s="342"/>
      <c r="T36" s="342"/>
      <c r="U36" s="343"/>
      <c r="V36" s="341">
        <v>0.24</v>
      </c>
      <c r="W36" s="342"/>
      <c r="X36" s="342"/>
      <c r="Y36" s="344"/>
    </row>
    <row r="37" spans="2:25" ht="16">
      <c r="B37" s="281"/>
      <c r="C37" s="506"/>
      <c r="D37" s="467"/>
      <c r="E37" s="190" t="s">
        <v>103</v>
      </c>
      <c r="F37" s="345">
        <v>10</v>
      </c>
      <c r="G37" s="323">
        <v>0.5</v>
      </c>
      <c r="H37" s="346">
        <v>-9.5</v>
      </c>
      <c r="I37" s="347" t="s">
        <v>147</v>
      </c>
      <c r="J37" s="345">
        <v>10</v>
      </c>
      <c r="K37" s="323">
        <v>0.4</v>
      </c>
      <c r="L37" s="346">
        <v>-9.6</v>
      </c>
      <c r="M37" s="347" t="s">
        <v>147</v>
      </c>
      <c r="N37" s="345">
        <v>10</v>
      </c>
      <c r="O37" s="323">
        <v>0.4</v>
      </c>
      <c r="P37" s="346">
        <v>-9.6</v>
      </c>
      <c r="Q37" s="347" t="s">
        <v>147</v>
      </c>
      <c r="R37" s="345">
        <v>10</v>
      </c>
      <c r="S37" s="323">
        <v>0.39999999999999858</v>
      </c>
      <c r="T37" s="346">
        <v>-9.6000000000000014</v>
      </c>
      <c r="U37" s="347" t="s">
        <v>147</v>
      </c>
      <c r="V37" s="345">
        <v>10</v>
      </c>
      <c r="W37" s="323">
        <v>0.3</v>
      </c>
      <c r="X37" s="346">
        <v>-9.6999999999999993</v>
      </c>
      <c r="Y37" s="34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f>F29+F31+F33+F37</f>
        <v>83.5</v>
      </c>
      <c r="G38" s="187">
        <f>G31+G33+G37</f>
        <v>137.6</v>
      </c>
      <c r="H38" s="187">
        <f>SUM(H29:H37)</f>
        <v>54.099999999999994</v>
      </c>
      <c r="I38" s="186"/>
      <c r="J38" s="188">
        <f>J29+J31+J33+J37</f>
        <v>83.6</v>
      </c>
      <c r="K38" s="187">
        <f>K31+K33+K37</f>
        <v>72.100000000000009</v>
      </c>
      <c r="L38" s="187">
        <f>SUM(L29:L37)</f>
        <v>-11.5</v>
      </c>
      <c r="M38" s="186"/>
      <c r="N38" s="188">
        <f>N29+N31+N33+N37</f>
        <v>83.4</v>
      </c>
      <c r="O38" s="187">
        <f>O31+O33+O37</f>
        <v>71.100000000000009</v>
      </c>
      <c r="P38" s="187">
        <f>SUM(P29:P37)</f>
        <v>-12.3</v>
      </c>
      <c r="Q38" s="186"/>
      <c r="R38" s="188">
        <f>89.3+0.9</f>
        <v>90.2</v>
      </c>
      <c r="S38" s="187">
        <f>115.8+0.9</f>
        <v>116.7</v>
      </c>
      <c r="T38" s="187">
        <f>26.5+0.9</f>
        <v>27.4</v>
      </c>
      <c r="U38" s="186"/>
      <c r="V38" s="188">
        <f>89.3+0.9</f>
        <v>90.2</v>
      </c>
      <c r="W38" s="187">
        <f>135.5+0.9</f>
        <v>136.4</v>
      </c>
      <c r="X38" s="187">
        <f>46.2+0.9</f>
        <v>47.1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>
        <v>45982</v>
      </c>
      <c r="G40" s="433"/>
      <c r="H40" s="433"/>
      <c r="I40" s="434"/>
      <c r="J40" s="469">
        <v>45983</v>
      </c>
      <c r="K40" s="470"/>
      <c r="L40" s="470"/>
      <c r="M40" s="471"/>
      <c r="N40" s="469">
        <v>45984</v>
      </c>
      <c r="O40" s="470"/>
      <c r="P40" s="470"/>
      <c r="Q40" s="471"/>
      <c r="R40" s="469">
        <v>45987</v>
      </c>
      <c r="S40" s="470"/>
      <c r="T40" s="470"/>
      <c r="U40" s="471"/>
      <c r="V40" s="432">
        <v>45989</v>
      </c>
      <c r="W40" s="433"/>
      <c r="X40" s="433"/>
      <c r="Y40" s="438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262" t="s">
        <v>92</v>
      </c>
    </row>
    <row r="42" spans="2:25" ht="16.5" customHeight="1">
      <c r="B42" s="281"/>
      <c r="C42" s="500"/>
      <c r="D42" s="445"/>
      <c r="E42" s="476" t="s">
        <v>96</v>
      </c>
      <c r="F42" s="348">
        <v>85.9</v>
      </c>
      <c r="G42" s="541">
        <v>0</v>
      </c>
      <c r="H42" s="537">
        <v>-85.9</v>
      </c>
      <c r="I42" s="539" t="s">
        <v>151</v>
      </c>
      <c r="J42" s="348">
        <v>0</v>
      </c>
      <c r="K42" s="541">
        <v>0</v>
      </c>
      <c r="L42" s="537">
        <v>0</v>
      </c>
      <c r="M42" s="539"/>
      <c r="N42" s="348">
        <v>0</v>
      </c>
      <c r="O42" s="541">
        <v>0</v>
      </c>
      <c r="P42" s="537">
        <v>0</v>
      </c>
      <c r="Q42" s="539"/>
      <c r="R42" s="348">
        <v>3.6</v>
      </c>
      <c r="S42" s="541">
        <v>3.6</v>
      </c>
      <c r="T42" s="537">
        <v>0</v>
      </c>
      <c r="U42" s="539"/>
      <c r="V42" s="348">
        <v>0</v>
      </c>
      <c r="W42" s="541">
        <v>0</v>
      </c>
      <c r="X42" s="537">
        <v>0</v>
      </c>
      <c r="Y42" s="548"/>
    </row>
    <row r="43" spans="2:25" ht="16.5" thickBot="1">
      <c r="B43" s="281"/>
      <c r="C43" s="475"/>
      <c r="D43" s="475"/>
      <c r="E43" s="477"/>
      <c r="F43" s="349">
        <v>234</v>
      </c>
      <c r="G43" s="542"/>
      <c r="H43" s="543"/>
      <c r="I43" s="547"/>
      <c r="J43" s="349">
        <v>188.2</v>
      </c>
      <c r="K43" s="542"/>
      <c r="L43" s="546"/>
      <c r="M43" s="547"/>
      <c r="N43" s="349">
        <v>167.9</v>
      </c>
      <c r="O43" s="542"/>
      <c r="P43" s="546"/>
      <c r="Q43" s="547"/>
      <c r="R43" s="349">
        <v>208.3</v>
      </c>
      <c r="S43" s="542"/>
      <c r="T43" s="546"/>
      <c r="U43" s="547"/>
      <c r="V43" s="349">
        <v>234</v>
      </c>
      <c r="W43" s="542"/>
      <c r="X43" s="543"/>
      <c r="Y43" s="549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>
        <v>45982</v>
      </c>
      <c r="G45" s="433"/>
      <c r="H45" s="433"/>
      <c r="I45" s="434"/>
      <c r="J45" s="469">
        <v>45983</v>
      </c>
      <c r="K45" s="470"/>
      <c r="L45" s="470"/>
      <c r="M45" s="471"/>
      <c r="N45" s="469">
        <v>45984</v>
      </c>
      <c r="O45" s="470"/>
      <c r="P45" s="470"/>
      <c r="Q45" s="471"/>
      <c r="R45" s="469">
        <v>45987</v>
      </c>
      <c r="S45" s="470"/>
      <c r="T45" s="470"/>
      <c r="U45" s="471"/>
      <c r="V45" s="432">
        <v>45989</v>
      </c>
      <c r="W45" s="433"/>
      <c r="X45" s="433"/>
      <c r="Y45" s="438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262" t="s">
        <v>92</v>
      </c>
    </row>
    <row r="47" spans="2:25" ht="16">
      <c r="B47" s="281"/>
      <c r="C47" s="500"/>
      <c r="D47" s="483"/>
      <c r="E47" s="488" t="s">
        <v>91</v>
      </c>
      <c r="F47" s="178">
        <v>30.1</v>
      </c>
      <c r="G47" s="478">
        <v>33.9</v>
      </c>
      <c r="H47" s="457">
        <v>3.7999999999999972</v>
      </c>
      <c r="I47" s="459" t="s">
        <v>123</v>
      </c>
      <c r="J47" s="178">
        <v>30.1</v>
      </c>
      <c r="K47" s="478">
        <v>29.1</v>
      </c>
      <c r="L47" s="457">
        <v>-1</v>
      </c>
      <c r="M47" s="459" t="s">
        <v>123</v>
      </c>
      <c r="N47" s="178">
        <v>30.1</v>
      </c>
      <c r="O47" s="478">
        <v>28.1</v>
      </c>
      <c r="P47" s="457">
        <v>-2</v>
      </c>
      <c r="Q47" s="459" t="s">
        <v>123</v>
      </c>
      <c r="R47" s="178">
        <v>34.700000000000003</v>
      </c>
      <c r="S47" s="478">
        <v>37.5</v>
      </c>
      <c r="T47" s="457">
        <v>2.7999999999999972</v>
      </c>
      <c r="U47" s="459" t="s">
        <v>123</v>
      </c>
      <c r="V47" s="178">
        <v>34.700000000000003</v>
      </c>
      <c r="W47" s="478">
        <v>35</v>
      </c>
      <c r="X47" s="457">
        <v>0.29999999999999716</v>
      </c>
      <c r="Y47" s="459" t="s">
        <v>123</v>
      </c>
    </row>
    <row r="48" spans="2:25" ht="16.5" thickBot="1">
      <c r="B48" s="281"/>
      <c r="C48" s="447"/>
      <c r="D48" s="487"/>
      <c r="E48" s="489"/>
      <c r="F48" s="177">
        <v>0.6</v>
      </c>
      <c r="G48" s="479"/>
      <c r="H48" s="480"/>
      <c r="I48" s="481"/>
      <c r="J48" s="177">
        <v>0.6</v>
      </c>
      <c r="K48" s="479"/>
      <c r="L48" s="480"/>
      <c r="M48" s="481"/>
      <c r="N48" s="177">
        <v>0.6</v>
      </c>
      <c r="O48" s="479"/>
      <c r="P48" s="480"/>
      <c r="Q48" s="481"/>
      <c r="R48" s="177">
        <v>0.57999999999999996</v>
      </c>
      <c r="S48" s="479"/>
      <c r="T48" s="480"/>
      <c r="U48" s="481"/>
      <c r="V48" s="177">
        <v>0.57999999999999996</v>
      </c>
      <c r="W48" s="479"/>
      <c r="X48" s="509"/>
      <c r="Y48" s="481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>
        <v>45982</v>
      </c>
      <c r="G50" s="433"/>
      <c r="H50" s="433"/>
      <c r="I50" s="434"/>
      <c r="J50" s="469">
        <v>45983</v>
      </c>
      <c r="K50" s="470"/>
      <c r="L50" s="470"/>
      <c r="M50" s="471"/>
      <c r="N50" s="469">
        <v>45984</v>
      </c>
      <c r="O50" s="470"/>
      <c r="P50" s="470"/>
      <c r="Q50" s="471"/>
      <c r="R50" s="469">
        <v>45987</v>
      </c>
      <c r="S50" s="470"/>
      <c r="T50" s="470"/>
      <c r="U50" s="471"/>
      <c r="V50" s="432">
        <v>45989</v>
      </c>
      <c r="W50" s="433"/>
      <c r="X50" s="433"/>
      <c r="Y50" s="438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272" t="s">
        <v>84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273" t="s">
        <v>81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25.2</v>
      </c>
      <c r="H53" s="223" t="s">
        <v>81</v>
      </c>
      <c r="I53" s="351" t="s">
        <v>224</v>
      </c>
      <c r="J53" s="225">
        <v>0</v>
      </c>
      <c r="K53" s="350">
        <v>25.9</v>
      </c>
      <c r="L53" s="223" t="s">
        <v>81</v>
      </c>
      <c r="M53" s="351" t="s">
        <v>224</v>
      </c>
      <c r="N53" s="225">
        <v>0</v>
      </c>
      <c r="O53" s="350">
        <v>25.8</v>
      </c>
      <c r="P53" s="223" t="s">
        <v>81</v>
      </c>
      <c r="Q53" s="351" t="s">
        <v>224</v>
      </c>
      <c r="R53" s="225">
        <v>0</v>
      </c>
      <c r="S53" s="350">
        <v>26.2</v>
      </c>
      <c r="T53" s="223" t="s">
        <v>81</v>
      </c>
      <c r="U53" s="351" t="s">
        <v>224</v>
      </c>
      <c r="V53" s="225">
        <v>0</v>
      </c>
      <c r="W53" s="350">
        <v>26.2</v>
      </c>
      <c r="X53" s="223" t="s">
        <v>81</v>
      </c>
      <c r="Y53" s="351" t="s">
        <v>224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3">
    <mergeCell ref="C51:D53"/>
    <mergeCell ref="X47:X48"/>
    <mergeCell ref="Y47:Y48"/>
    <mergeCell ref="C50:E50"/>
    <mergeCell ref="F50:I50"/>
    <mergeCell ref="J50:M50"/>
    <mergeCell ref="N50:Q50"/>
    <mergeCell ref="R50:U50"/>
    <mergeCell ref="V50:Y50"/>
    <mergeCell ref="P47:P48"/>
    <mergeCell ref="Q47:Q48"/>
    <mergeCell ref="S47:S48"/>
    <mergeCell ref="T47:T48"/>
    <mergeCell ref="U47:U48"/>
    <mergeCell ref="W47:W48"/>
    <mergeCell ref="C46:D48"/>
    <mergeCell ref="E47:E48"/>
    <mergeCell ref="G47:G48"/>
    <mergeCell ref="H47:H48"/>
    <mergeCell ref="I47:I48"/>
    <mergeCell ref="K47:K48"/>
    <mergeCell ref="L47:L48"/>
    <mergeCell ref="M47:M48"/>
    <mergeCell ref="O47:O48"/>
    <mergeCell ref="T42:T43"/>
    <mergeCell ref="U42:U43"/>
    <mergeCell ref="W42:W43"/>
    <mergeCell ref="X42:X43"/>
    <mergeCell ref="Y42:Y43"/>
    <mergeCell ref="C45:E45"/>
    <mergeCell ref="F45:I45"/>
    <mergeCell ref="J45:M45"/>
    <mergeCell ref="N45:Q45"/>
    <mergeCell ref="R45:U45"/>
    <mergeCell ref="L42:L43"/>
    <mergeCell ref="M42:M43"/>
    <mergeCell ref="O42:O43"/>
    <mergeCell ref="P42:P43"/>
    <mergeCell ref="Q42:Q43"/>
    <mergeCell ref="S42:S43"/>
    <mergeCell ref="C41:D43"/>
    <mergeCell ref="E42:E43"/>
    <mergeCell ref="G42:G43"/>
    <mergeCell ref="H42:H43"/>
    <mergeCell ref="I42:I43"/>
    <mergeCell ref="K42:K43"/>
    <mergeCell ref="V45:Y45"/>
    <mergeCell ref="C40:E40"/>
    <mergeCell ref="F40:I40"/>
    <mergeCell ref="J40:M40"/>
    <mergeCell ref="N40:Q40"/>
    <mergeCell ref="R40:U40"/>
    <mergeCell ref="V40:Y40"/>
    <mergeCell ref="T33:T34"/>
    <mergeCell ref="U33:U34"/>
    <mergeCell ref="X33:X34"/>
    <mergeCell ref="Y33:Y34"/>
    <mergeCell ref="E34:E36"/>
    <mergeCell ref="D38:E38"/>
    <mergeCell ref="S29:S30"/>
    <mergeCell ref="T29:T30"/>
    <mergeCell ref="W31:W32"/>
    <mergeCell ref="X31:X32"/>
    <mergeCell ref="Y31:Y32"/>
    <mergeCell ref="D33:D37"/>
    <mergeCell ref="H33:H34"/>
    <mergeCell ref="I33:I34"/>
    <mergeCell ref="L33:L34"/>
    <mergeCell ref="M33:M34"/>
    <mergeCell ref="P33:P34"/>
    <mergeCell ref="Q33:Q34"/>
    <mergeCell ref="O31:O32"/>
    <mergeCell ref="P31:P32"/>
    <mergeCell ref="Q31:Q32"/>
    <mergeCell ref="S31:S32"/>
    <mergeCell ref="T31:T32"/>
    <mergeCell ref="U31:U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E31:E32"/>
    <mergeCell ref="G31:G32"/>
    <mergeCell ref="H31:H32"/>
    <mergeCell ref="I31:I32"/>
    <mergeCell ref="K31:K32"/>
    <mergeCell ref="L31:L32"/>
    <mergeCell ref="M31:M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8B5E-5BF4-4A44-A41A-33D956F2DDC9}">
  <dimension ref="A1:Y57"/>
  <sheetViews>
    <sheetView showGridLines="0" view="pageBreakPreview" topLeftCell="A10" zoomScale="70" zoomScaleNormal="55" zoomScaleSheetLayoutView="70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 t="s">
        <v>143</v>
      </c>
      <c r="N2" s="23"/>
      <c r="O2" s="23"/>
      <c r="P2" s="23"/>
      <c r="Q2" s="22"/>
      <c r="U2" s="220"/>
      <c r="Y2" s="220"/>
    </row>
    <row r="3" spans="2:25" ht="17" thickTop="1" thickBot="1">
      <c r="B3" s="281"/>
      <c r="C3" s="498" t="s">
        <v>142</v>
      </c>
      <c r="D3" s="498"/>
      <c r="E3" s="499"/>
      <c r="F3" s="490">
        <v>45990</v>
      </c>
      <c r="G3" s="491"/>
      <c r="H3" s="491"/>
      <c r="I3" s="492"/>
      <c r="J3" s="417">
        <v>45991</v>
      </c>
      <c r="K3" s="418"/>
      <c r="L3" s="418"/>
      <c r="M3" s="419"/>
      <c r="Q3" s="1"/>
      <c r="U3" s="1"/>
      <c r="Y3" s="1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Q4" s="1"/>
      <c r="U4" s="1"/>
      <c r="Y4" s="1"/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Q5" s="1"/>
      <c r="U5" s="1"/>
      <c r="Y5" s="1"/>
    </row>
    <row r="6" spans="2:25" ht="16">
      <c r="B6" s="281"/>
      <c r="C6" s="495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Q6" s="1"/>
      <c r="U6" s="1"/>
      <c r="Y6" s="1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Q7" s="1"/>
      <c r="U7" s="1"/>
      <c r="Y7" s="1"/>
    </row>
    <row r="8" spans="2:25" ht="16">
      <c r="B8" s="281"/>
      <c r="C8" s="496"/>
      <c r="D8" s="426"/>
      <c r="E8" s="218" t="s">
        <v>133</v>
      </c>
      <c r="F8" s="217">
        <v>53.1</v>
      </c>
      <c r="G8" s="216">
        <v>63.6</v>
      </c>
      <c r="H8" s="215">
        <v>10.5</v>
      </c>
      <c r="I8" s="352" t="s">
        <v>146</v>
      </c>
      <c r="J8" s="217">
        <v>52.7</v>
      </c>
      <c r="K8" s="216">
        <v>63.2</v>
      </c>
      <c r="L8" s="215">
        <v>10.5</v>
      </c>
      <c r="M8" s="352" t="s">
        <v>146</v>
      </c>
      <c r="Q8" s="1"/>
      <c r="U8" s="1"/>
      <c r="Y8" s="1"/>
    </row>
    <row r="9" spans="2:25" ht="16.5" thickBot="1">
      <c r="B9" s="281"/>
      <c r="C9" s="497"/>
      <c r="D9" s="427" t="s">
        <v>101</v>
      </c>
      <c r="E9" s="428"/>
      <c r="F9" s="188">
        <v>83</v>
      </c>
      <c r="G9" s="187">
        <v>93.5</v>
      </c>
      <c r="H9" s="187">
        <v>10.5</v>
      </c>
      <c r="I9" s="213" t="s">
        <v>81</v>
      </c>
      <c r="J9" s="188">
        <v>82.6</v>
      </c>
      <c r="K9" s="187">
        <v>93.1</v>
      </c>
      <c r="L9" s="187">
        <v>10.5</v>
      </c>
      <c r="M9" s="213" t="s">
        <v>81</v>
      </c>
      <c r="Q9" s="1"/>
      <c r="U9" s="1"/>
      <c r="Y9" s="1"/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Q10" s="1"/>
      <c r="U10" s="1"/>
      <c r="Y10" s="1"/>
    </row>
    <row r="11" spans="2:25" ht="16.5" thickBot="1">
      <c r="B11" s="281"/>
      <c r="C11" s="430" t="s">
        <v>132</v>
      </c>
      <c r="D11" s="430"/>
      <c r="E11" s="431"/>
      <c r="F11" s="432">
        <v>45990</v>
      </c>
      <c r="G11" s="433"/>
      <c r="H11" s="433"/>
      <c r="I11" s="434"/>
      <c r="J11" s="432">
        <v>45991</v>
      </c>
      <c r="K11" s="433"/>
      <c r="L11" s="433"/>
      <c r="M11" s="434"/>
      <c r="Q11" s="1"/>
      <c r="U11" s="1"/>
      <c r="Y11" s="1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Q12" s="1"/>
      <c r="U12" s="1"/>
      <c r="Y12" s="1"/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212"/>
      <c r="J13" s="166">
        <v>-26.1</v>
      </c>
      <c r="K13" s="165">
        <v>-26.1</v>
      </c>
      <c r="L13" s="164">
        <v>0</v>
      </c>
      <c r="M13" s="212"/>
      <c r="Q13" s="1"/>
      <c r="U13" s="1"/>
      <c r="Y13" s="1"/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Q14" s="1"/>
      <c r="U14" s="1"/>
      <c r="Y14" s="1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212"/>
      <c r="J15" s="166">
        <v>-32.5</v>
      </c>
      <c r="K15" s="165">
        <v>-32.5</v>
      </c>
      <c r="L15" s="164">
        <v>0</v>
      </c>
      <c r="M15" s="212"/>
      <c r="Q15" s="1"/>
      <c r="U15" s="1"/>
      <c r="Y15" s="1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212"/>
      <c r="J16" s="166">
        <v>-32.5</v>
      </c>
      <c r="K16" s="165">
        <v>-32.5</v>
      </c>
      <c r="L16" s="164">
        <v>0</v>
      </c>
      <c r="M16" s="212"/>
      <c r="Q16" s="1"/>
      <c r="U16" s="1"/>
      <c r="Y16" s="1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212" t="s">
        <v>223</v>
      </c>
      <c r="J17" s="166">
        <v>-34</v>
      </c>
      <c r="K17" s="165">
        <v>0</v>
      </c>
      <c r="L17" s="164">
        <v>34</v>
      </c>
      <c r="M17" s="212" t="s">
        <v>223</v>
      </c>
      <c r="Q17" s="1"/>
      <c r="U17" s="1"/>
      <c r="Y17" s="1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223</v>
      </c>
      <c r="J18" s="166">
        <v>-34</v>
      </c>
      <c r="K18" s="165">
        <v>0</v>
      </c>
      <c r="L18" s="164">
        <v>34</v>
      </c>
      <c r="M18" s="212" t="s">
        <v>223</v>
      </c>
      <c r="Q18" s="1"/>
      <c r="U18" s="1"/>
      <c r="Y18" s="1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223</v>
      </c>
      <c r="J19" s="166">
        <v>-34</v>
      </c>
      <c r="K19" s="165">
        <v>0</v>
      </c>
      <c r="L19" s="164">
        <v>34</v>
      </c>
      <c r="M19" s="212" t="s">
        <v>223</v>
      </c>
      <c r="Q19" s="1"/>
      <c r="U19" s="1"/>
      <c r="Y19" s="1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0</v>
      </c>
      <c r="H20" s="164">
        <v>34</v>
      </c>
      <c r="I20" s="189" t="s">
        <v>223</v>
      </c>
      <c r="J20" s="166">
        <v>-34</v>
      </c>
      <c r="K20" s="165">
        <v>0</v>
      </c>
      <c r="L20" s="164">
        <v>34</v>
      </c>
      <c r="M20" s="212" t="s">
        <v>223</v>
      </c>
      <c r="Q20" s="1"/>
      <c r="U20" s="1"/>
      <c r="Y20" s="1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-91.1</v>
      </c>
      <c r="H21" s="187">
        <v>162.1</v>
      </c>
      <c r="I21" s="186" t="s">
        <v>81</v>
      </c>
      <c r="J21" s="188">
        <v>-253.2</v>
      </c>
      <c r="K21" s="187">
        <v>-91.1</v>
      </c>
      <c r="L21" s="187">
        <v>162.1</v>
      </c>
      <c r="M21" s="186" t="s">
        <v>81</v>
      </c>
      <c r="Q21" s="1"/>
      <c r="U21" s="1"/>
      <c r="Y21" s="1"/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Q22" s="1"/>
      <c r="U22" s="1"/>
      <c r="Y22" s="1"/>
    </row>
    <row r="23" spans="2:25" ht="16.5" thickBot="1">
      <c r="B23" s="281"/>
      <c r="C23" s="430" t="s">
        <v>120</v>
      </c>
      <c r="D23" s="430"/>
      <c r="E23" s="431"/>
      <c r="F23" s="432">
        <v>45990</v>
      </c>
      <c r="G23" s="433"/>
      <c r="H23" s="433"/>
      <c r="I23" s="434"/>
      <c r="J23" s="432">
        <v>45991</v>
      </c>
      <c r="K23" s="433"/>
      <c r="L23" s="433"/>
      <c r="M23" s="434"/>
      <c r="Q23" s="1"/>
      <c r="U23" s="1"/>
      <c r="Y23" s="1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Q24" s="1"/>
      <c r="U24" s="1"/>
      <c r="Y24" s="1"/>
    </row>
    <row r="25" spans="2:25" ht="16.5" thickBot="1">
      <c r="B25" s="281"/>
      <c r="C25" s="501"/>
      <c r="D25" s="447"/>
      <c r="E25" s="449"/>
      <c r="F25" s="209">
        <v>-5</v>
      </c>
      <c r="G25" s="208">
        <v>-2.48</v>
      </c>
      <c r="H25" s="207">
        <v>2.52</v>
      </c>
      <c r="I25" s="212" t="s">
        <v>223</v>
      </c>
      <c r="J25" s="209">
        <v>-5</v>
      </c>
      <c r="K25" s="208">
        <v>-4.2</v>
      </c>
      <c r="L25" s="207">
        <v>0.79999999999999982</v>
      </c>
      <c r="M25" s="212" t="s">
        <v>225</v>
      </c>
      <c r="Q25" s="1"/>
      <c r="U25" s="1"/>
      <c r="Y25" s="1"/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Q26" s="1"/>
      <c r="U26" s="1"/>
      <c r="Y26" s="1"/>
    </row>
    <row r="27" spans="2:25" ht="16.5" thickBot="1">
      <c r="B27" s="281"/>
      <c r="C27" s="430" t="s">
        <v>116</v>
      </c>
      <c r="D27" s="430"/>
      <c r="E27" s="431"/>
      <c r="F27" s="432">
        <v>45990</v>
      </c>
      <c r="G27" s="433"/>
      <c r="H27" s="433"/>
      <c r="I27" s="434"/>
      <c r="J27" s="432">
        <v>45991</v>
      </c>
      <c r="K27" s="433"/>
      <c r="L27" s="433"/>
      <c r="M27" s="434"/>
      <c r="Q27" s="1"/>
      <c r="U27" s="1"/>
      <c r="Y27" s="1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Q28" s="1"/>
      <c r="U28" s="1"/>
      <c r="Y28" s="1"/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Q29" s="1"/>
      <c r="U29" s="1"/>
      <c r="Y29" s="1"/>
    </row>
    <row r="30" spans="2:25" ht="16">
      <c r="B30" s="281"/>
      <c r="C30" s="506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Q30" s="1"/>
      <c r="U30" s="1"/>
      <c r="Y30" s="1"/>
    </row>
    <row r="31" spans="2:25" ht="16">
      <c r="B31" s="281"/>
      <c r="C31" s="506"/>
      <c r="D31" s="443"/>
      <c r="E31" s="453" t="s">
        <v>109</v>
      </c>
      <c r="F31" s="333">
        <f>54.4</f>
        <v>54.4</v>
      </c>
      <c r="G31" s="551">
        <f>54.4</f>
        <v>54.4</v>
      </c>
      <c r="H31" s="537">
        <v>0</v>
      </c>
      <c r="I31" s="459"/>
      <c r="J31" s="333">
        <f>54.4</f>
        <v>54.4</v>
      </c>
      <c r="K31" s="551">
        <f>54.4</f>
        <v>54.4</v>
      </c>
      <c r="L31" s="457">
        <v>0</v>
      </c>
      <c r="M31" s="459"/>
      <c r="Q31" s="1"/>
      <c r="U31" s="1"/>
      <c r="Y31" s="1"/>
    </row>
    <row r="32" spans="2:25" ht="16">
      <c r="B32" s="281"/>
      <c r="C32" s="506"/>
      <c r="D32" s="442"/>
      <c r="E32" s="454"/>
      <c r="F32" s="354">
        <v>0.28999999999999998</v>
      </c>
      <c r="G32" s="552"/>
      <c r="H32" s="538"/>
      <c r="I32" s="460"/>
      <c r="J32" s="354">
        <v>0.28999999999999998</v>
      </c>
      <c r="K32" s="552"/>
      <c r="L32" s="458"/>
      <c r="M32" s="460"/>
      <c r="Q32" s="1"/>
      <c r="U32" s="1"/>
      <c r="Y32" s="1"/>
    </row>
    <row r="33" spans="2:25" ht="16">
      <c r="B33" s="281"/>
      <c r="C33" s="506"/>
      <c r="D33" s="466" t="s">
        <v>107</v>
      </c>
      <c r="E33" s="201" t="s">
        <v>106</v>
      </c>
      <c r="F33" s="333">
        <f>24.9+0.9</f>
        <v>25.799999999999997</v>
      </c>
      <c r="G33" s="334">
        <f>16.6+0.9</f>
        <v>17.5</v>
      </c>
      <c r="H33" s="537">
        <f>G33-F33</f>
        <v>-8.2999999999999972</v>
      </c>
      <c r="I33" s="539" t="s">
        <v>146</v>
      </c>
      <c r="J33" s="333">
        <f>19.9+0.9</f>
        <v>20.799999999999997</v>
      </c>
      <c r="K33" s="334">
        <f>16+0.9</f>
        <v>16.899999999999999</v>
      </c>
      <c r="L33" s="537">
        <f>K33-J33</f>
        <v>-3.8999999999999986</v>
      </c>
      <c r="M33" s="539" t="s">
        <v>146</v>
      </c>
      <c r="Q33" s="1"/>
      <c r="U33" s="1"/>
      <c r="Y33" s="1"/>
    </row>
    <row r="34" spans="2:25" ht="16">
      <c r="B34" s="281"/>
      <c r="C34" s="506"/>
      <c r="D34" s="467"/>
      <c r="E34" s="463" t="s">
        <v>104</v>
      </c>
      <c r="F34" s="335">
        <v>0.19</v>
      </c>
      <c r="G34" s="336">
        <v>0.13</v>
      </c>
      <c r="H34" s="538"/>
      <c r="I34" s="540"/>
      <c r="J34" s="335">
        <v>0.17271214642262891</v>
      </c>
      <c r="K34" s="336">
        <v>0.14019467554076537</v>
      </c>
      <c r="L34" s="538"/>
      <c r="M34" s="540"/>
      <c r="Q34" s="1"/>
      <c r="U34" s="1"/>
      <c r="Y34" s="1"/>
    </row>
    <row r="35" spans="2:25" ht="13.5" customHeight="1">
      <c r="B35" s="281"/>
      <c r="C35" s="506"/>
      <c r="D35" s="468"/>
      <c r="E35" s="464"/>
      <c r="F35" s="337">
        <v>43</v>
      </c>
      <c r="G35" s="338"/>
      <c r="H35" s="338"/>
      <c r="I35" s="339"/>
      <c r="J35" s="337">
        <v>43</v>
      </c>
      <c r="K35" s="338"/>
      <c r="L35" s="338"/>
      <c r="M35" s="339"/>
      <c r="Q35" s="1"/>
      <c r="U35" s="1"/>
      <c r="Y35" s="1"/>
    </row>
    <row r="36" spans="2:25" ht="16">
      <c r="B36" s="281"/>
      <c r="C36" s="506"/>
      <c r="D36" s="468"/>
      <c r="E36" s="465"/>
      <c r="F36" s="341">
        <v>0.24</v>
      </c>
      <c r="G36" s="342"/>
      <c r="H36" s="342"/>
      <c r="I36" s="343"/>
      <c r="J36" s="341">
        <v>0.24</v>
      </c>
      <c r="K36" s="342"/>
      <c r="L36" s="342"/>
      <c r="M36" s="343"/>
      <c r="Q36" s="1"/>
      <c r="U36" s="1"/>
      <c r="Y36" s="1"/>
    </row>
    <row r="37" spans="2:25" ht="16">
      <c r="B37" s="281"/>
      <c r="C37" s="506"/>
      <c r="D37" s="467"/>
      <c r="E37" s="190" t="s">
        <v>103</v>
      </c>
      <c r="F37" s="345">
        <v>10</v>
      </c>
      <c r="G37" s="323">
        <v>0.2</v>
      </c>
      <c r="H37" s="346">
        <v>-9.8000000000000007</v>
      </c>
      <c r="I37" s="347" t="s">
        <v>147</v>
      </c>
      <c r="J37" s="345">
        <v>10</v>
      </c>
      <c r="K37" s="323">
        <v>0.2</v>
      </c>
      <c r="L37" s="346">
        <v>-9.8000000000000007</v>
      </c>
      <c r="M37" s="347" t="s">
        <v>147</v>
      </c>
      <c r="Q37" s="1"/>
      <c r="U37" s="1"/>
      <c r="Y37" s="1"/>
    </row>
    <row r="38" spans="2:25" ht="16.5" thickBot="1">
      <c r="B38" s="281"/>
      <c r="C38" s="507"/>
      <c r="D38" s="427" t="s">
        <v>101</v>
      </c>
      <c r="E38" s="428"/>
      <c r="F38" s="188">
        <f>89.3+0.9</f>
        <v>90.2</v>
      </c>
      <c r="G38" s="187">
        <f>71.2+0.9</f>
        <v>72.100000000000009</v>
      </c>
      <c r="H38" s="187">
        <f>-18.1+0.9</f>
        <v>-17.200000000000003</v>
      </c>
      <c r="I38" s="186"/>
      <c r="J38" s="188">
        <f>84.3+0.9</f>
        <v>85.2</v>
      </c>
      <c r="K38" s="187">
        <f>70.6+0.9</f>
        <v>71.5</v>
      </c>
      <c r="L38" s="187">
        <f>-13.7+0.9</f>
        <v>-12.799999999999999</v>
      </c>
      <c r="M38" s="186"/>
      <c r="Q38" s="1"/>
      <c r="U38" s="1"/>
      <c r="Y38" s="1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Q39" s="1"/>
      <c r="U39" s="1"/>
      <c r="Y39" s="1"/>
    </row>
    <row r="40" spans="2:25" ht="16.5" thickBot="1">
      <c r="B40" s="281"/>
      <c r="C40" s="430" t="s">
        <v>100</v>
      </c>
      <c r="D40" s="430"/>
      <c r="E40" s="431"/>
      <c r="F40" s="432">
        <v>45990</v>
      </c>
      <c r="G40" s="433"/>
      <c r="H40" s="433"/>
      <c r="I40" s="434"/>
      <c r="J40" s="469">
        <v>45991</v>
      </c>
      <c r="K40" s="470"/>
      <c r="L40" s="470"/>
      <c r="M40" s="471"/>
      <c r="Q40" s="1"/>
      <c r="U40" s="1"/>
      <c r="Y40" s="1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Q41" s="1"/>
      <c r="U41" s="1"/>
      <c r="Y41" s="1"/>
    </row>
    <row r="42" spans="2:25" ht="16.5" customHeight="1">
      <c r="B42" s="281"/>
      <c r="C42" s="500"/>
      <c r="D42" s="445"/>
      <c r="E42" s="476" t="s">
        <v>96</v>
      </c>
      <c r="F42" s="348">
        <v>3.6</v>
      </c>
      <c r="G42" s="541">
        <v>0</v>
      </c>
      <c r="H42" s="537">
        <v>-3.6</v>
      </c>
      <c r="I42" s="539" t="s">
        <v>151</v>
      </c>
      <c r="J42" s="348">
        <v>0</v>
      </c>
      <c r="K42" s="541">
        <v>0</v>
      </c>
      <c r="L42" s="537">
        <v>0</v>
      </c>
      <c r="M42" s="539"/>
      <c r="Q42" s="1"/>
      <c r="U42" s="1"/>
      <c r="Y42" s="1"/>
    </row>
    <row r="43" spans="2:25" ht="16.5" thickBot="1">
      <c r="B43" s="281"/>
      <c r="C43" s="475"/>
      <c r="D43" s="475"/>
      <c r="E43" s="477"/>
      <c r="F43" s="349">
        <v>184.1</v>
      </c>
      <c r="G43" s="542"/>
      <c r="H43" s="543"/>
      <c r="I43" s="547"/>
      <c r="J43" s="349">
        <v>184.1</v>
      </c>
      <c r="K43" s="542"/>
      <c r="L43" s="546"/>
      <c r="M43" s="547"/>
      <c r="Q43" s="1"/>
      <c r="U43" s="1"/>
      <c r="Y43" s="1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Q44" s="1"/>
      <c r="U44" s="1"/>
      <c r="Y44" s="1"/>
    </row>
    <row r="45" spans="2:25" ht="16.5" thickBot="1">
      <c r="B45" s="281"/>
      <c r="C45" s="430" t="s">
        <v>94</v>
      </c>
      <c r="D45" s="430"/>
      <c r="E45" s="431"/>
      <c r="F45" s="432">
        <v>45990</v>
      </c>
      <c r="G45" s="433"/>
      <c r="H45" s="433"/>
      <c r="I45" s="434"/>
      <c r="J45" s="469">
        <v>45991</v>
      </c>
      <c r="K45" s="470"/>
      <c r="L45" s="470"/>
      <c r="M45" s="471"/>
      <c r="Q45" s="1"/>
      <c r="U45" s="1"/>
      <c r="Y45" s="1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Q46" s="1"/>
      <c r="U46" s="1"/>
      <c r="Y46" s="1"/>
    </row>
    <row r="47" spans="2:25" ht="16">
      <c r="B47" s="281"/>
      <c r="C47" s="500"/>
      <c r="D47" s="483"/>
      <c r="E47" s="488" t="s">
        <v>91</v>
      </c>
      <c r="F47" s="178">
        <v>34.700000000000003</v>
      </c>
      <c r="G47" s="478">
        <v>33.6</v>
      </c>
      <c r="H47" s="457">
        <v>-1.1000000000000014</v>
      </c>
      <c r="I47" s="459" t="s">
        <v>123</v>
      </c>
      <c r="J47" s="178">
        <v>34.700000000000003</v>
      </c>
      <c r="K47" s="478">
        <v>33.4</v>
      </c>
      <c r="L47" s="457">
        <v>-1.3000000000000043</v>
      </c>
      <c r="M47" s="459" t="s">
        <v>123</v>
      </c>
      <c r="Q47" s="1"/>
      <c r="U47" s="1"/>
      <c r="Y47" s="1"/>
    </row>
    <row r="48" spans="2:25" ht="16.5" thickBot="1">
      <c r="B48" s="281"/>
      <c r="C48" s="447"/>
      <c r="D48" s="487"/>
      <c r="E48" s="489"/>
      <c r="F48" s="177">
        <v>0.57999999999999996</v>
      </c>
      <c r="G48" s="479"/>
      <c r="H48" s="480"/>
      <c r="I48" s="481"/>
      <c r="J48" s="177">
        <v>0.57999999999999996</v>
      </c>
      <c r="K48" s="479"/>
      <c r="L48" s="480"/>
      <c r="M48" s="481"/>
      <c r="Q48" s="1"/>
      <c r="U48" s="1"/>
      <c r="Y48" s="1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Q49" s="1"/>
      <c r="U49" s="1"/>
      <c r="Y49" s="1"/>
    </row>
    <row r="50" spans="1:25" ht="16.5" thickBot="1">
      <c r="B50" s="281"/>
      <c r="C50" s="430" t="s">
        <v>89</v>
      </c>
      <c r="D50" s="430"/>
      <c r="E50" s="431"/>
      <c r="F50" s="432">
        <v>45990</v>
      </c>
      <c r="G50" s="433"/>
      <c r="H50" s="433"/>
      <c r="I50" s="434"/>
      <c r="J50" s="469">
        <v>45991</v>
      </c>
      <c r="K50" s="470"/>
      <c r="L50" s="470"/>
      <c r="M50" s="471"/>
      <c r="Q50" s="1"/>
      <c r="U50" s="1"/>
      <c r="Y50" s="1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Q51" s="1"/>
      <c r="U51" s="1"/>
      <c r="Y51" s="1"/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Q52" s="1"/>
      <c r="U52" s="1"/>
      <c r="Y52" s="1"/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28.3</v>
      </c>
      <c r="H53" s="223" t="s">
        <v>81</v>
      </c>
      <c r="I53" s="351" t="s">
        <v>224</v>
      </c>
      <c r="J53" s="225">
        <v>0</v>
      </c>
      <c r="K53" s="350">
        <v>28.2</v>
      </c>
      <c r="L53" s="223" t="s">
        <v>81</v>
      </c>
      <c r="M53" s="351" t="s">
        <v>224</v>
      </c>
      <c r="Q53" s="1"/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72">
    <mergeCell ref="C51:D53"/>
    <mergeCell ref="K47:K48"/>
    <mergeCell ref="L47:L48"/>
    <mergeCell ref="M47:M48"/>
    <mergeCell ref="C50:E50"/>
    <mergeCell ref="F50:I50"/>
    <mergeCell ref="J50:M50"/>
    <mergeCell ref="C46:D48"/>
    <mergeCell ref="E47:E48"/>
    <mergeCell ref="G47:G48"/>
    <mergeCell ref="H47:H48"/>
    <mergeCell ref="I47:I48"/>
    <mergeCell ref="L42:L43"/>
    <mergeCell ref="M42:M43"/>
    <mergeCell ref="C45:E45"/>
    <mergeCell ref="F45:I45"/>
    <mergeCell ref="J45:M45"/>
    <mergeCell ref="C41:D43"/>
    <mergeCell ref="E42:E43"/>
    <mergeCell ref="G42:G43"/>
    <mergeCell ref="H42:H43"/>
    <mergeCell ref="I42:I43"/>
    <mergeCell ref="K42:K43"/>
    <mergeCell ref="L33:L34"/>
    <mergeCell ref="M33:M34"/>
    <mergeCell ref="E34:E36"/>
    <mergeCell ref="D38:E38"/>
    <mergeCell ref="C40:E40"/>
    <mergeCell ref="F40:I40"/>
    <mergeCell ref="J40:M40"/>
    <mergeCell ref="C28:C38"/>
    <mergeCell ref="D29:D32"/>
    <mergeCell ref="D33:D37"/>
    <mergeCell ref="H33:H34"/>
    <mergeCell ref="I33:I34"/>
    <mergeCell ref="K29:K30"/>
    <mergeCell ref="L29:L30"/>
    <mergeCell ref="M29:M30"/>
    <mergeCell ref="E31:E32"/>
    <mergeCell ref="G31:G32"/>
    <mergeCell ref="H31:H32"/>
    <mergeCell ref="I31:I32"/>
    <mergeCell ref="K31:K32"/>
    <mergeCell ref="L31:L32"/>
    <mergeCell ref="M31:M32"/>
    <mergeCell ref="E29:E30"/>
    <mergeCell ref="G29:G30"/>
    <mergeCell ref="H29:H30"/>
    <mergeCell ref="I29:I30"/>
    <mergeCell ref="C27:E27"/>
    <mergeCell ref="F27:I27"/>
    <mergeCell ref="J27:M27"/>
    <mergeCell ref="C11:E11"/>
    <mergeCell ref="F11:I11"/>
    <mergeCell ref="J11:M11"/>
    <mergeCell ref="C12:C21"/>
    <mergeCell ref="D13:D14"/>
    <mergeCell ref="D15:D16"/>
    <mergeCell ref="D17:D20"/>
    <mergeCell ref="D21:E21"/>
    <mergeCell ref="C23:E23"/>
    <mergeCell ref="F23:I23"/>
    <mergeCell ref="J23:M23"/>
    <mergeCell ref="C24:D25"/>
    <mergeCell ref="E24:E25"/>
    <mergeCell ref="C3:E3"/>
    <mergeCell ref="F3:I3"/>
    <mergeCell ref="J3:M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6F35-CA51-403E-8406-9EF93885870B}">
  <dimension ref="B1:O69"/>
  <sheetViews>
    <sheetView showGridLines="0" view="pageBreakPreview" topLeftCell="A14" zoomScale="70" zoomScaleNormal="70" zoomScaleSheetLayoutView="70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M1" s="32" t="s">
        <v>57</v>
      </c>
      <c r="O1" s="32"/>
    </row>
    <row r="2" spans="2:15" ht="16">
      <c r="B2" s="2"/>
      <c r="C2" s="367" t="s">
        <v>0</v>
      </c>
      <c r="D2" s="368"/>
      <c r="E2" s="369"/>
      <c r="F2" s="550" t="s">
        <v>226</v>
      </c>
      <c r="G2" s="366"/>
      <c r="H2" s="550" t="s">
        <v>226</v>
      </c>
      <c r="I2" s="366"/>
      <c r="J2" s="550" t="s">
        <v>226</v>
      </c>
      <c r="K2" s="366"/>
      <c r="L2" s="550" t="s">
        <v>226</v>
      </c>
      <c r="M2" s="366"/>
    </row>
    <row r="3" spans="2:15" ht="16.5" thickBot="1">
      <c r="B3" s="3"/>
      <c r="C3" s="372" t="s">
        <v>3</v>
      </c>
      <c r="D3" s="373"/>
      <c r="E3" s="374"/>
      <c r="F3" s="115">
        <v>45998</v>
      </c>
      <c r="G3" s="26" t="s">
        <v>222</v>
      </c>
      <c r="H3" s="115">
        <v>46019</v>
      </c>
      <c r="I3" s="26" t="s">
        <v>67</v>
      </c>
      <c r="J3" s="115">
        <v>46021</v>
      </c>
      <c r="K3" s="26" t="s">
        <v>227</v>
      </c>
      <c r="L3" s="115">
        <v>46022</v>
      </c>
      <c r="M3" s="26" t="s">
        <v>67</v>
      </c>
    </row>
    <row r="4" spans="2:15" ht="16.5" thickBot="1">
      <c r="B4" s="31"/>
      <c r="C4" s="4"/>
      <c r="D4" s="4"/>
      <c r="E4" s="4"/>
      <c r="F4" s="5" t="s">
        <v>228</v>
      </c>
      <c r="G4" s="7" t="s">
        <v>229</v>
      </c>
      <c r="H4" s="5" t="s">
        <v>228</v>
      </c>
      <c r="I4" s="7" t="s">
        <v>229</v>
      </c>
      <c r="J4" s="5" t="s">
        <v>228</v>
      </c>
      <c r="K4" s="7" t="s">
        <v>229</v>
      </c>
      <c r="L4" s="5" t="s">
        <v>228</v>
      </c>
      <c r="M4" s="7" t="s">
        <v>229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99.1</v>
      </c>
      <c r="G5" s="384" t="s">
        <v>65</v>
      </c>
      <c r="H5" s="120">
        <v>76.900000000000006</v>
      </c>
      <c r="I5" s="384" t="s">
        <v>65</v>
      </c>
      <c r="J5" s="120">
        <v>74</v>
      </c>
      <c r="K5" s="384" t="s">
        <v>65</v>
      </c>
      <c r="L5" s="120">
        <v>74.7</v>
      </c>
      <c r="M5" s="384" t="s">
        <v>65</v>
      </c>
    </row>
    <row r="6" spans="2:15" ht="16">
      <c r="B6" s="376"/>
      <c r="C6" s="379"/>
      <c r="D6" s="34" t="s">
        <v>12</v>
      </c>
      <c r="E6" s="89" t="s">
        <v>47</v>
      </c>
      <c r="F6" s="123">
        <v>98.7</v>
      </c>
      <c r="G6" s="385"/>
      <c r="H6" s="123">
        <v>85.3</v>
      </c>
      <c r="I6" s="385"/>
      <c r="J6" s="123">
        <v>85.3</v>
      </c>
      <c r="K6" s="385"/>
      <c r="L6" s="123">
        <v>85.3</v>
      </c>
      <c r="M6" s="385"/>
    </row>
    <row r="7" spans="2:15" ht="16">
      <c r="B7" s="376"/>
      <c r="C7" s="379"/>
      <c r="D7" s="35" t="s">
        <v>13</v>
      </c>
      <c r="E7" s="36" t="s">
        <v>5</v>
      </c>
      <c r="F7" s="126">
        <v>322.60000000000002</v>
      </c>
      <c r="G7" s="385"/>
      <c r="H7" s="126">
        <v>414.2</v>
      </c>
      <c r="I7" s="385"/>
      <c r="J7" s="126">
        <v>414.4</v>
      </c>
      <c r="K7" s="385"/>
      <c r="L7" s="126">
        <v>414.5</v>
      </c>
      <c r="M7" s="385"/>
    </row>
    <row r="8" spans="2:15" ht="16">
      <c r="B8" s="376"/>
      <c r="C8" s="379"/>
      <c r="D8" s="37" t="s">
        <v>14</v>
      </c>
      <c r="E8" s="38" t="s">
        <v>6</v>
      </c>
      <c r="F8" s="129">
        <v>22.8</v>
      </c>
      <c r="G8" s="385"/>
      <c r="H8" s="129">
        <v>23.300000000000136</v>
      </c>
      <c r="I8" s="385"/>
      <c r="J8" s="129">
        <v>20.8</v>
      </c>
      <c r="K8" s="385"/>
      <c r="L8" s="129">
        <v>22.899999999999956</v>
      </c>
      <c r="M8" s="385"/>
    </row>
    <row r="9" spans="2:15" ht="16">
      <c r="B9" s="376"/>
      <c r="C9" s="379"/>
      <c r="D9" s="39" t="s">
        <v>15</v>
      </c>
      <c r="E9" s="40" t="s">
        <v>7</v>
      </c>
      <c r="F9" s="131">
        <v>16.7</v>
      </c>
      <c r="G9" s="385"/>
      <c r="H9" s="131">
        <v>17</v>
      </c>
      <c r="I9" s="385"/>
      <c r="J9" s="131">
        <v>17</v>
      </c>
      <c r="K9" s="385"/>
      <c r="L9" s="131">
        <v>17</v>
      </c>
      <c r="M9" s="385"/>
    </row>
    <row r="10" spans="2:15" ht="16">
      <c r="B10" s="376"/>
      <c r="C10" s="379"/>
      <c r="D10" s="41" t="s">
        <v>17</v>
      </c>
      <c r="E10" s="42" t="s">
        <v>1</v>
      </c>
      <c r="F10" s="133">
        <v>42.4</v>
      </c>
      <c r="G10" s="385"/>
      <c r="H10" s="133">
        <v>35.299999999999997</v>
      </c>
      <c r="I10" s="385"/>
      <c r="J10" s="133">
        <v>40.1</v>
      </c>
      <c r="K10" s="385"/>
      <c r="L10" s="133">
        <v>42.9</v>
      </c>
      <c r="M10" s="385"/>
    </row>
    <row r="11" spans="2:15" ht="16">
      <c r="B11" s="376"/>
      <c r="C11" s="379"/>
      <c r="D11" s="43" t="s">
        <v>16</v>
      </c>
      <c r="E11" s="44" t="s">
        <v>2</v>
      </c>
      <c r="F11" s="135">
        <v>28.9</v>
      </c>
      <c r="G11" s="385"/>
      <c r="H11" s="135">
        <v>33.9</v>
      </c>
      <c r="I11" s="385"/>
      <c r="J11" s="135">
        <v>29.6</v>
      </c>
      <c r="K11" s="385"/>
      <c r="L11" s="135">
        <v>29.8</v>
      </c>
      <c r="M11" s="385"/>
    </row>
    <row r="12" spans="2:15" ht="16">
      <c r="B12" s="376"/>
      <c r="C12" s="379"/>
      <c r="D12" s="387" t="s">
        <v>18</v>
      </c>
      <c r="E12" s="45" t="s">
        <v>26</v>
      </c>
      <c r="F12" s="137">
        <v>668</v>
      </c>
      <c r="G12" s="385"/>
      <c r="H12" s="137">
        <v>681.7</v>
      </c>
      <c r="I12" s="385"/>
      <c r="J12" s="137">
        <v>519.79999999999995</v>
      </c>
      <c r="K12" s="385"/>
      <c r="L12" s="137">
        <v>633.70000000000005</v>
      </c>
      <c r="M12" s="385"/>
    </row>
    <row r="13" spans="2:15" ht="16">
      <c r="B13" s="376"/>
      <c r="C13" s="379"/>
      <c r="D13" s="388"/>
      <c r="E13" s="45" t="s">
        <v>27</v>
      </c>
      <c r="F13" s="137">
        <v>25.4</v>
      </c>
      <c r="G13" s="385"/>
      <c r="H13" s="137">
        <v>5.0999999999999996</v>
      </c>
      <c r="I13" s="385"/>
      <c r="J13" s="137">
        <v>28.1</v>
      </c>
      <c r="K13" s="385"/>
      <c r="L13" s="137">
        <v>40.700000000000003</v>
      </c>
      <c r="M13" s="385"/>
    </row>
    <row r="14" spans="2:15" ht="16">
      <c r="B14" s="376"/>
      <c r="C14" s="379"/>
      <c r="D14" s="46" t="s">
        <v>19</v>
      </c>
      <c r="E14" s="47" t="s">
        <v>4</v>
      </c>
      <c r="F14" s="139">
        <v>160</v>
      </c>
      <c r="G14" s="385"/>
      <c r="H14" s="139">
        <v>32</v>
      </c>
      <c r="I14" s="385"/>
      <c r="J14" s="139">
        <v>137</v>
      </c>
      <c r="K14" s="385"/>
      <c r="L14" s="139">
        <v>222</v>
      </c>
      <c r="M14" s="385"/>
    </row>
    <row r="15" spans="2:15" ht="16.5" thickBot="1">
      <c r="B15" s="376"/>
      <c r="C15" s="380"/>
      <c r="D15" s="389" t="s">
        <v>28</v>
      </c>
      <c r="E15" s="390"/>
      <c r="F15" s="108">
        <v>1484.6000000000001</v>
      </c>
      <c r="G15" s="385"/>
      <c r="H15" s="108">
        <v>1404.7</v>
      </c>
      <c r="I15" s="385"/>
      <c r="J15" s="108">
        <v>1366.1</v>
      </c>
      <c r="K15" s="385"/>
      <c r="L15" s="108">
        <v>1583.5</v>
      </c>
      <c r="M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815</v>
      </c>
      <c r="G16" s="385"/>
      <c r="H16" s="320">
        <v>925</v>
      </c>
      <c r="I16" s="385"/>
      <c r="J16" s="320">
        <v>780.3</v>
      </c>
      <c r="K16" s="385"/>
      <c r="L16" s="320">
        <v>815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</row>
    <row r="18" spans="2:15" ht="16.5" thickBot="1">
      <c r="B18" s="376"/>
      <c r="C18" s="392"/>
      <c r="D18" s="395"/>
      <c r="E18" s="51" t="s">
        <v>31</v>
      </c>
      <c r="F18" s="111">
        <v>-3.9</v>
      </c>
      <c r="G18" s="385"/>
      <c r="H18" s="111">
        <v>-3.9</v>
      </c>
      <c r="I18" s="385"/>
      <c r="J18" s="111">
        <v>-3.86</v>
      </c>
      <c r="K18" s="385"/>
      <c r="L18" s="111">
        <v>-3.9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-200</v>
      </c>
      <c r="G19" s="385"/>
      <c r="H19" s="148">
        <v>-195.8</v>
      </c>
      <c r="I19" s="385"/>
      <c r="J19" s="148">
        <v>-142.96</v>
      </c>
      <c r="K19" s="385"/>
      <c r="L19" s="148">
        <v>-179</v>
      </c>
      <c r="M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</row>
    <row r="21" spans="2:15" ht="16.5" thickBot="1">
      <c r="B21" s="377"/>
      <c r="C21" s="393"/>
      <c r="D21" s="398" t="s">
        <v>34</v>
      </c>
      <c r="E21" s="399"/>
      <c r="F21" s="151">
        <v>1246</v>
      </c>
      <c r="G21" s="386"/>
      <c r="H21" s="151">
        <v>1351.8</v>
      </c>
      <c r="I21" s="386"/>
      <c r="J21" s="151">
        <v>1154.2</v>
      </c>
      <c r="K21" s="386"/>
      <c r="L21" s="151">
        <v>1225</v>
      </c>
      <c r="M21" s="386"/>
    </row>
    <row r="22" spans="2:15" ht="16.5" thickBot="1">
      <c r="B22" s="54"/>
      <c r="C22" s="55"/>
      <c r="D22" s="55"/>
      <c r="E22" s="55"/>
      <c r="F22" s="5" t="s">
        <v>228</v>
      </c>
      <c r="G22" s="7" t="s">
        <v>229</v>
      </c>
      <c r="H22" s="5" t="s">
        <v>228</v>
      </c>
      <c r="I22" s="7" t="s">
        <v>229</v>
      </c>
      <c r="J22" s="5" t="s">
        <v>228</v>
      </c>
      <c r="K22" s="7" t="s">
        <v>229</v>
      </c>
      <c r="L22" s="5" t="s">
        <v>228</v>
      </c>
      <c r="M22" s="7" t="s">
        <v>229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1484.6000000000001</v>
      </c>
      <c r="G23" s="400"/>
      <c r="H23" s="152">
        <v>1404.7</v>
      </c>
      <c r="I23" s="400"/>
      <c r="J23" s="152">
        <v>1366.1</v>
      </c>
      <c r="K23" s="400"/>
      <c r="L23" s="152">
        <v>1583.5</v>
      </c>
      <c r="M23" s="400"/>
    </row>
    <row r="24" spans="2:15" ht="16">
      <c r="B24" s="409"/>
      <c r="C24" s="403" t="s">
        <v>37</v>
      </c>
      <c r="D24" s="404"/>
      <c r="E24" s="405"/>
      <c r="F24" s="153">
        <v>1246</v>
      </c>
      <c r="G24" s="401"/>
      <c r="H24" s="153">
        <v>1351.8</v>
      </c>
      <c r="I24" s="401"/>
      <c r="J24" s="153">
        <v>1154.2</v>
      </c>
      <c r="K24" s="401"/>
      <c r="L24" s="153">
        <v>1225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238.60000000000014</v>
      </c>
      <c r="G25" s="402"/>
      <c r="H25" s="154">
        <v>52.900000000000091</v>
      </c>
      <c r="I25" s="402"/>
      <c r="J25" s="154">
        <v>211.89999999999986</v>
      </c>
      <c r="K25" s="402"/>
      <c r="L25" s="154">
        <v>358.5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6">
    <mergeCell ref="D25:E25"/>
    <mergeCell ref="D19:D20"/>
    <mergeCell ref="D21:E21"/>
    <mergeCell ref="K5:K21"/>
    <mergeCell ref="M5:M21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C3:E3"/>
    <mergeCell ref="C2:E2"/>
    <mergeCell ref="F2:G2"/>
    <mergeCell ref="H2:I2"/>
    <mergeCell ref="J2:K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3" orientation="landscape" r:id="rId1"/>
  <headerFooter>
    <oddHeader>&amp;L&amp;"メイリオ,レギュラー"&amp;22　日別の需給状況・再エネ出力抑制の必要性（2025年12月）</oddHeader>
    <oddFooter>&amp;R&amp;"メイリオ,レギュラー"&amp;14九州電力送配電株式会社</oddFooter>
  </headerFooter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C0E9-A0C0-45AA-B170-B72C0F9E6ACB}">
  <dimension ref="A1:Y57"/>
  <sheetViews>
    <sheetView showGridLines="0" view="pageBreakPreview" zoomScale="70" zoomScaleNormal="55" zoomScaleSheetLayoutView="70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  <c r="Y2" s="220"/>
    </row>
    <row r="3" spans="3:25" ht="16.5" thickBot="1">
      <c r="C3" s="514" t="s">
        <v>142</v>
      </c>
      <c r="D3" s="430"/>
      <c r="E3" s="431"/>
      <c r="F3" s="515">
        <v>45998</v>
      </c>
      <c r="G3" s="516"/>
      <c r="H3" s="516"/>
      <c r="I3" s="517"/>
      <c r="J3" s="515">
        <v>46019</v>
      </c>
      <c r="K3" s="516"/>
      <c r="L3" s="516"/>
      <c r="M3" s="517"/>
      <c r="N3" s="515">
        <v>46021</v>
      </c>
      <c r="O3" s="516"/>
      <c r="P3" s="516"/>
      <c r="Q3" s="517"/>
      <c r="R3" s="515">
        <v>46022</v>
      </c>
      <c r="S3" s="516"/>
      <c r="T3" s="516"/>
      <c r="U3" s="517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Y4" s="1"/>
    </row>
    <row r="5" spans="3:25" ht="16">
      <c r="C5" s="519"/>
      <c r="D5" s="425" t="s">
        <v>138</v>
      </c>
      <c r="E5" s="211" t="s">
        <v>137</v>
      </c>
      <c r="F5" s="166">
        <v>28.1</v>
      </c>
      <c r="G5" s="165">
        <v>28.1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Y5" s="1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8.8000000000000007</v>
      </c>
      <c r="O6" s="165">
        <v>8.8000000000000007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Y7" s="1"/>
    </row>
    <row r="8" spans="3:25" ht="16">
      <c r="C8" s="520"/>
      <c r="D8" s="426"/>
      <c r="E8" s="218" t="s">
        <v>133</v>
      </c>
      <c r="F8" s="166">
        <v>53.5</v>
      </c>
      <c r="G8" s="216">
        <v>53.5</v>
      </c>
      <c r="H8" s="215">
        <v>0</v>
      </c>
      <c r="I8" s="214"/>
      <c r="J8" s="166">
        <v>55.7</v>
      </c>
      <c r="K8" s="216">
        <v>55.7</v>
      </c>
      <c r="L8" s="215">
        <v>0</v>
      </c>
      <c r="M8" s="214"/>
      <c r="N8" s="166">
        <v>52.800000000000004</v>
      </c>
      <c r="O8" s="216">
        <v>52.800000000000004</v>
      </c>
      <c r="P8" s="215">
        <v>0</v>
      </c>
      <c r="Q8" s="214"/>
      <c r="R8" s="166">
        <v>53.5</v>
      </c>
      <c r="S8" s="216">
        <v>53.5</v>
      </c>
      <c r="T8" s="215">
        <v>0</v>
      </c>
      <c r="U8" s="214"/>
      <c r="Y8" s="1"/>
    </row>
    <row r="9" spans="3:25" ht="16.5" thickBot="1">
      <c r="C9" s="521"/>
      <c r="D9" s="427" t="s">
        <v>101</v>
      </c>
      <c r="E9" s="428"/>
      <c r="F9" s="188">
        <v>99.1</v>
      </c>
      <c r="G9" s="187">
        <v>99.1</v>
      </c>
      <c r="H9" s="187">
        <v>0</v>
      </c>
      <c r="I9" s="213" t="s">
        <v>81</v>
      </c>
      <c r="J9" s="188">
        <v>76.900000000000006</v>
      </c>
      <c r="K9" s="187">
        <v>76.900000000000006</v>
      </c>
      <c r="L9" s="187">
        <v>0</v>
      </c>
      <c r="M9" s="213" t="s">
        <v>81</v>
      </c>
      <c r="N9" s="188">
        <v>74</v>
      </c>
      <c r="O9" s="187">
        <v>74</v>
      </c>
      <c r="P9" s="187">
        <v>0</v>
      </c>
      <c r="Q9" s="213" t="s">
        <v>81</v>
      </c>
      <c r="R9" s="188">
        <v>74.7</v>
      </c>
      <c r="S9" s="187">
        <v>74.7</v>
      </c>
      <c r="T9" s="187">
        <v>0</v>
      </c>
      <c r="U9" s="213" t="s">
        <v>81</v>
      </c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3"/>
      <c r="Y10" s="1"/>
    </row>
    <row r="11" spans="3:25" ht="16.5" thickBot="1">
      <c r="C11" s="514" t="s">
        <v>132</v>
      </c>
      <c r="D11" s="430"/>
      <c r="E11" s="431"/>
      <c r="F11" s="432">
        <v>45998</v>
      </c>
      <c r="G11" s="433"/>
      <c r="H11" s="433"/>
      <c r="I11" s="434"/>
      <c r="J11" s="432">
        <v>46019</v>
      </c>
      <c r="K11" s="433"/>
      <c r="L11" s="433"/>
      <c r="M11" s="434"/>
      <c r="N11" s="432">
        <v>46021</v>
      </c>
      <c r="O11" s="433"/>
      <c r="P11" s="433"/>
      <c r="Q11" s="434"/>
      <c r="R11" s="432">
        <v>46022</v>
      </c>
      <c r="S11" s="433"/>
      <c r="T11" s="433"/>
      <c r="U11" s="434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212" t="s">
        <v>123</v>
      </c>
      <c r="J14" s="166">
        <v>-26.1</v>
      </c>
      <c r="K14" s="165">
        <v>0</v>
      </c>
      <c r="L14" s="164">
        <v>26.1</v>
      </c>
      <c r="M14" s="212" t="s">
        <v>123</v>
      </c>
      <c r="N14" s="166">
        <v>-26.1</v>
      </c>
      <c r="O14" s="165">
        <v>0</v>
      </c>
      <c r="P14" s="164">
        <v>26.1</v>
      </c>
      <c r="Q14" s="212" t="s">
        <v>123</v>
      </c>
      <c r="R14" s="166">
        <v>-26.1</v>
      </c>
      <c r="S14" s="165">
        <v>0</v>
      </c>
      <c r="T14" s="164">
        <v>26.1</v>
      </c>
      <c r="U14" s="212" t="s">
        <v>123</v>
      </c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Y20" s="1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3"/>
      <c r="Y22" s="1"/>
    </row>
    <row r="23" spans="3:25" ht="16.5" thickBot="1">
      <c r="C23" s="514" t="s">
        <v>120</v>
      </c>
      <c r="D23" s="430"/>
      <c r="E23" s="431"/>
      <c r="F23" s="432">
        <v>45998</v>
      </c>
      <c r="G23" s="433"/>
      <c r="H23" s="433"/>
      <c r="I23" s="434"/>
      <c r="J23" s="432">
        <v>46019</v>
      </c>
      <c r="K23" s="433"/>
      <c r="L23" s="433"/>
      <c r="M23" s="434"/>
      <c r="N23" s="432">
        <v>46021</v>
      </c>
      <c r="O23" s="433"/>
      <c r="P23" s="433"/>
      <c r="Q23" s="434"/>
      <c r="R23" s="432">
        <v>46022</v>
      </c>
      <c r="S23" s="433"/>
      <c r="T23" s="433"/>
      <c r="U23" s="434"/>
      <c r="Y23" s="1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Y24" s="1"/>
    </row>
    <row r="25" spans="3:25" ht="16.5" thickBot="1">
      <c r="C25" s="526"/>
      <c r="D25" s="447"/>
      <c r="E25" s="449"/>
      <c r="F25" s="209">
        <v>-5</v>
      </c>
      <c r="G25" s="208">
        <v>-3.9</v>
      </c>
      <c r="H25" s="207">
        <v>1.1000000000000001</v>
      </c>
      <c r="I25" s="212" t="s">
        <v>221</v>
      </c>
      <c r="J25" s="209">
        <v>-5</v>
      </c>
      <c r="K25" s="208">
        <v>-3.9</v>
      </c>
      <c r="L25" s="207">
        <v>1.1000000000000001</v>
      </c>
      <c r="M25" s="212" t="s">
        <v>221</v>
      </c>
      <c r="N25" s="209">
        <v>-5</v>
      </c>
      <c r="O25" s="208">
        <v>-3.9</v>
      </c>
      <c r="P25" s="207">
        <v>1.1000000000000001</v>
      </c>
      <c r="Q25" s="212" t="s">
        <v>221</v>
      </c>
      <c r="R25" s="209">
        <v>-5</v>
      </c>
      <c r="S25" s="208">
        <v>-3.9</v>
      </c>
      <c r="T25" s="207">
        <v>1.1000000000000001</v>
      </c>
      <c r="U25" s="212" t="s">
        <v>221</v>
      </c>
      <c r="Y25" s="1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3"/>
      <c r="Y26" s="1"/>
    </row>
    <row r="27" spans="3:25" ht="16.5" thickBot="1">
      <c r="C27" s="514" t="s">
        <v>116</v>
      </c>
      <c r="D27" s="430"/>
      <c r="E27" s="431"/>
      <c r="F27" s="432">
        <v>45998</v>
      </c>
      <c r="G27" s="433"/>
      <c r="H27" s="433"/>
      <c r="I27" s="434"/>
      <c r="J27" s="432">
        <v>46019</v>
      </c>
      <c r="K27" s="433"/>
      <c r="L27" s="433"/>
      <c r="M27" s="434"/>
      <c r="N27" s="432">
        <v>46021</v>
      </c>
      <c r="O27" s="433"/>
      <c r="P27" s="433"/>
      <c r="Q27" s="434"/>
      <c r="R27" s="432">
        <v>46022</v>
      </c>
      <c r="S27" s="433"/>
      <c r="T27" s="433"/>
      <c r="U27" s="434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Y29" s="1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Y30" s="1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Y31" s="1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Y32" s="1"/>
    </row>
    <row r="33" spans="3:25" ht="16">
      <c r="C33" s="528"/>
      <c r="D33" s="466" t="s">
        <v>107</v>
      </c>
      <c r="E33" s="201" t="s">
        <v>106</v>
      </c>
      <c r="F33" s="200">
        <v>24.9</v>
      </c>
      <c r="G33" s="199">
        <v>44</v>
      </c>
      <c r="H33" s="457">
        <v>19.100000000000001</v>
      </c>
      <c r="I33" s="539" t="s">
        <v>148</v>
      </c>
      <c r="J33" s="200">
        <v>32.799999999999997</v>
      </c>
      <c r="K33" s="199">
        <v>30.7</v>
      </c>
      <c r="L33" s="457">
        <v>-2.0999999999999979</v>
      </c>
      <c r="M33" s="459" t="s">
        <v>154</v>
      </c>
      <c r="N33" s="200">
        <v>32.799999999999997</v>
      </c>
      <c r="O33" s="199">
        <v>30.7</v>
      </c>
      <c r="P33" s="457">
        <v>-2.0999999999999979</v>
      </c>
      <c r="Q33" s="459" t="s">
        <v>154</v>
      </c>
      <c r="R33" s="200">
        <v>32.799999999999997</v>
      </c>
      <c r="S33" s="199">
        <v>30.7</v>
      </c>
      <c r="T33" s="457">
        <v>-2.0999999999999979</v>
      </c>
      <c r="U33" s="459" t="s">
        <v>154</v>
      </c>
      <c r="Y33" s="1"/>
    </row>
    <row r="34" spans="3:25" ht="16">
      <c r="C34" s="528"/>
      <c r="D34" s="467"/>
      <c r="E34" s="463" t="s">
        <v>104</v>
      </c>
      <c r="F34" s="198">
        <v>0.19</v>
      </c>
      <c r="G34" s="197">
        <v>0.33</v>
      </c>
      <c r="H34" s="458"/>
      <c r="I34" s="540"/>
      <c r="J34" s="198">
        <v>0.16</v>
      </c>
      <c r="K34" s="197">
        <v>0.15</v>
      </c>
      <c r="L34" s="458"/>
      <c r="M34" s="460"/>
      <c r="N34" s="198">
        <v>0.16</v>
      </c>
      <c r="O34" s="197">
        <v>0.15</v>
      </c>
      <c r="P34" s="458"/>
      <c r="Q34" s="460"/>
      <c r="R34" s="198">
        <v>0.16</v>
      </c>
      <c r="S34" s="197">
        <v>0.15</v>
      </c>
      <c r="T34" s="458"/>
      <c r="U34" s="460"/>
      <c r="Y34" s="1"/>
    </row>
    <row r="35" spans="3:25" ht="13.5" customHeight="1">
      <c r="C35" s="528"/>
      <c r="D35" s="468"/>
      <c r="E35" s="464"/>
      <c r="F35" s="196">
        <v>43</v>
      </c>
      <c r="G35" s="195"/>
      <c r="H35" s="195"/>
      <c r="I35" s="194"/>
      <c r="J35" s="196">
        <v>32.799999999999997</v>
      </c>
      <c r="K35" s="195"/>
      <c r="L35" s="195"/>
      <c r="M35" s="194"/>
      <c r="N35" s="196">
        <v>32.799999999999997</v>
      </c>
      <c r="O35" s="195"/>
      <c r="P35" s="195"/>
      <c r="Q35" s="194"/>
      <c r="R35" s="196">
        <v>32.799999999999997</v>
      </c>
      <c r="S35" s="195"/>
      <c r="T35" s="195"/>
      <c r="U35" s="194"/>
      <c r="Y35" s="1"/>
    </row>
    <row r="36" spans="3:25" ht="16">
      <c r="C36" s="528"/>
      <c r="D36" s="468"/>
      <c r="E36" s="465"/>
      <c r="F36" s="193">
        <v>0.24</v>
      </c>
      <c r="G36" s="192"/>
      <c r="H36" s="192"/>
      <c r="I36" s="191"/>
      <c r="J36" s="193">
        <v>0.16</v>
      </c>
      <c r="K36" s="192"/>
      <c r="L36" s="192"/>
      <c r="M36" s="191"/>
      <c r="N36" s="193">
        <v>0.16</v>
      </c>
      <c r="O36" s="192"/>
      <c r="P36" s="192"/>
      <c r="Q36" s="191"/>
      <c r="R36" s="193">
        <v>0.16</v>
      </c>
      <c r="S36" s="192"/>
      <c r="T36" s="192"/>
      <c r="U36" s="19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0.2999999999999986</v>
      </c>
      <c r="H37" s="164">
        <v>-9.7000000000000011</v>
      </c>
      <c r="I37" s="347" t="s">
        <v>147</v>
      </c>
      <c r="J37" s="166">
        <v>10</v>
      </c>
      <c r="K37" s="165">
        <v>0.2</v>
      </c>
      <c r="L37" s="164">
        <v>-9.8000000000000007</v>
      </c>
      <c r="M37" s="347" t="s">
        <v>147</v>
      </c>
      <c r="N37" s="166">
        <v>10</v>
      </c>
      <c r="O37" s="165">
        <v>0.2</v>
      </c>
      <c r="P37" s="164">
        <v>-9.8000000000000007</v>
      </c>
      <c r="Q37" s="347" t="s">
        <v>147</v>
      </c>
      <c r="R37" s="166">
        <v>10</v>
      </c>
      <c r="S37" s="165">
        <v>0.2</v>
      </c>
      <c r="T37" s="164">
        <v>-9.8000000000000007</v>
      </c>
      <c r="U37" s="347" t="s">
        <v>147</v>
      </c>
      <c r="Y37" s="1"/>
    </row>
    <row r="38" spans="3:25" ht="16.5" thickBot="1">
      <c r="C38" s="529"/>
      <c r="D38" s="427" t="s">
        <v>101</v>
      </c>
      <c r="E38" s="428"/>
      <c r="F38" s="188">
        <v>89.3</v>
      </c>
      <c r="G38" s="187">
        <v>98.7</v>
      </c>
      <c r="H38" s="187">
        <v>9.4</v>
      </c>
      <c r="I38" s="186"/>
      <c r="J38" s="188">
        <v>97.199999999999989</v>
      </c>
      <c r="K38" s="187">
        <v>85.3</v>
      </c>
      <c r="L38" s="187">
        <v>-11.899999999999999</v>
      </c>
      <c r="M38" s="186"/>
      <c r="N38" s="188">
        <v>97.199999999999989</v>
      </c>
      <c r="O38" s="187">
        <v>85.3</v>
      </c>
      <c r="P38" s="187">
        <v>-11.899999999999999</v>
      </c>
      <c r="Q38" s="186"/>
      <c r="R38" s="188">
        <v>97.199999999999989</v>
      </c>
      <c r="S38" s="187">
        <v>85.3</v>
      </c>
      <c r="T38" s="187">
        <v>-11.899999999999999</v>
      </c>
      <c r="U38" s="186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3"/>
      <c r="Y39" s="1"/>
    </row>
    <row r="40" spans="3:25" ht="16.5" thickBot="1">
      <c r="C40" s="514" t="s">
        <v>100</v>
      </c>
      <c r="D40" s="430"/>
      <c r="E40" s="431"/>
      <c r="F40" s="469">
        <v>45998</v>
      </c>
      <c r="G40" s="470"/>
      <c r="H40" s="470"/>
      <c r="I40" s="471"/>
      <c r="J40" s="469">
        <v>46019</v>
      </c>
      <c r="K40" s="470"/>
      <c r="L40" s="470"/>
      <c r="M40" s="471"/>
      <c r="N40" s="469">
        <v>46021</v>
      </c>
      <c r="O40" s="470"/>
      <c r="P40" s="470"/>
      <c r="Q40" s="471"/>
      <c r="R40" s="469">
        <v>46022</v>
      </c>
      <c r="S40" s="470"/>
      <c r="T40" s="470"/>
      <c r="U40" s="47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32.1</v>
      </c>
      <c r="O42" s="478">
        <v>0</v>
      </c>
      <c r="P42" s="457">
        <v>-32.1</v>
      </c>
      <c r="Q42" s="459" t="s">
        <v>151</v>
      </c>
      <c r="R42" s="178">
        <v>0</v>
      </c>
      <c r="S42" s="478">
        <v>0</v>
      </c>
      <c r="T42" s="457">
        <v>0</v>
      </c>
      <c r="U42" s="459"/>
      <c r="Y42" s="1"/>
    </row>
    <row r="43" spans="3:25" ht="16.5" thickBot="1">
      <c r="C43" s="531"/>
      <c r="D43" s="475"/>
      <c r="E43" s="477"/>
      <c r="F43" s="183">
        <v>200</v>
      </c>
      <c r="G43" s="479"/>
      <c r="H43" s="480"/>
      <c r="I43" s="481"/>
      <c r="J43" s="183">
        <v>195.8</v>
      </c>
      <c r="K43" s="479"/>
      <c r="L43" s="480"/>
      <c r="M43" s="481"/>
      <c r="N43" s="183">
        <v>175</v>
      </c>
      <c r="O43" s="479"/>
      <c r="P43" s="480"/>
      <c r="Q43" s="481"/>
      <c r="R43" s="183">
        <v>179</v>
      </c>
      <c r="S43" s="479"/>
      <c r="T43" s="480"/>
      <c r="U43" s="48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3"/>
      <c r="Y44" s="1"/>
    </row>
    <row r="45" spans="3:25" ht="16.5" thickBot="1">
      <c r="C45" s="514" t="s">
        <v>94</v>
      </c>
      <c r="D45" s="430"/>
      <c r="E45" s="431"/>
      <c r="F45" s="469">
        <v>45998</v>
      </c>
      <c r="G45" s="470"/>
      <c r="H45" s="470"/>
      <c r="I45" s="471"/>
      <c r="J45" s="469">
        <v>46019</v>
      </c>
      <c r="K45" s="470"/>
      <c r="L45" s="470"/>
      <c r="M45" s="471"/>
      <c r="N45" s="469">
        <v>46021</v>
      </c>
      <c r="O45" s="470"/>
      <c r="P45" s="470"/>
      <c r="Q45" s="471"/>
      <c r="R45" s="469">
        <v>46022</v>
      </c>
      <c r="S45" s="470"/>
      <c r="T45" s="470"/>
      <c r="U45" s="47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Y46" s="1"/>
    </row>
    <row r="47" spans="3:25" ht="16">
      <c r="C47" s="525"/>
      <c r="D47" s="483"/>
      <c r="E47" s="488" t="s">
        <v>91</v>
      </c>
      <c r="F47" s="178">
        <v>39.1</v>
      </c>
      <c r="G47" s="478">
        <v>42.4</v>
      </c>
      <c r="H47" s="457">
        <v>3.2999999999999972</v>
      </c>
      <c r="I47" s="459" t="s">
        <v>146</v>
      </c>
      <c r="J47" s="178">
        <v>36.6</v>
      </c>
      <c r="K47" s="478">
        <v>35.299999999999997</v>
      </c>
      <c r="L47" s="457">
        <v>-1.3000000000000043</v>
      </c>
      <c r="M47" s="459" t="s">
        <v>146</v>
      </c>
      <c r="N47" s="178">
        <v>39.1</v>
      </c>
      <c r="O47" s="478">
        <v>40.1</v>
      </c>
      <c r="P47" s="457">
        <v>1</v>
      </c>
      <c r="Q47" s="459" t="s">
        <v>146</v>
      </c>
      <c r="R47" s="178">
        <v>39.1</v>
      </c>
      <c r="S47" s="478">
        <v>42.9</v>
      </c>
      <c r="T47" s="457">
        <v>3.7999999999999972</v>
      </c>
      <c r="U47" s="459" t="s">
        <v>146</v>
      </c>
      <c r="Y47" s="1"/>
    </row>
    <row r="48" spans="3:25" ht="16.5" thickBot="1">
      <c r="C48" s="533"/>
      <c r="D48" s="487"/>
      <c r="E48" s="489"/>
      <c r="F48" s="177">
        <v>0.57999999999999996</v>
      </c>
      <c r="G48" s="479"/>
      <c r="H48" s="480"/>
      <c r="I48" s="481"/>
      <c r="J48" s="177">
        <v>0.59</v>
      </c>
      <c r="K48" s="479"/>
      <c r="L48" s="480"/>
      <c r="M48" s="481"/>
      <c r="N48" s="177">
        <v>0.57999999999999996</v>
      </c>
      <c r="O48" s="479"/>
      <c r="P48" s="480"/>
      <c r="Q48" s="481"/>
      <c r="R48" s="177">
        <v>0.57999999999999996</v>
      </c>
      <c r="S48" s="479"/>
      <c r="T48" s="480"/>
      <c r="U48" s="48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3"/>
      <c r="Y49" s="1"/>
    </row>
    <row r="50" spans="1:25" ht="16.5" thickBot="1">
      <c r="C50" s="514" t="s">
        <v>89</v>
      </c>
      <c r="D50" s="430"/>
      <c r="E50" s="431"/>
      <c r="F50" s="469">
        <v>45998</v>
      </c>
      <c r="G50" s="470"/>
      <c r="H50" s="470"/>
      <c r="I50" s="471"/>
      <c r="J50" s="469">
        <v>46019</v>
      </c>
      <c r="K50" s="470"/>
      <c r="L50" s="470"/>
      <c r="M50" s="471"/>
      <c r="N50" s="469">
        <v>46021</v>
      </c>
      <c r="O50" s="470"/>
      <c r="P50" s="470"/>
      <c r="Q50" s="471"/>
      <c r="R50" s="469">
        <v>46022</v>
      </c>
      <c r="S50" s="470"/>
      <c r="T50" s="470"/>
      <c r="U50" s="47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160">
        <v>28.9</v>
      </c>
      <c r="H53" s="159" t="s">
        <v>81</v>
      </c>
      <c r="I53" s="158" t="s">
        <v>230</v>
      </c>
      <c r="J53" s="161">
        <v>0</v>
      </c>
      <c r="K53" s="160">
        <v>33.9</v>
      </c>
      <c r="L53" s="159" t="s">
        <v>81</v>
      </c>
      <c r="M53" s="158" t="s">
        <v>230</v>
      </c>
      <c r="N53" s="161">
        <v>0</v>
      </c>
      <c r="O53" s="160">
        <v>29.6</v>
      </c>
      <c r="P53" s="159" t="s">
        <v>81</v>
      </c>
      <c r="Q53" s="158" t="s">
        <v>230</v>
      </c>
      <c r="R53" s="161">
        <v>0</v>
      </c>
      <c r="S53" s="160">
        <v>29.8</v>
      </c>
      <c r="T53" s="159" t="s">
        <v>81</v>
      </c>
      <c r="U53" s="158" t="s">
        <v>230</v>
      </c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14">
    <mergeCell ref="K47:K48"/>
    <mergeCell ref="C45:E45"/>
    <mergeCell ref="F45:I45"/>
    <mergeCell ref="J45:M45"/>
    <mergeCell ref="N45:Q45"/>
    <mergeCell ref="R45:U45"/>
    <mergeCell ref="C51:D53"/>
    <mergeCell ref="T47:T48"/>
    <mergeCell ref="U47:U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O29:O30"/>
    <mergeCell ref="P29:P30"/>
    <mergeCell ref="E34:E36"/>
    <mergeCell ref="D38:E38"/>
    <mergeCell ref="C40:E40"/>
    <mergeCell ref="F40:I40"/>
    <mergeCell ref="J40:M40"/>
    <mergeCell ref="N40:Q40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U33:U34"/>
    <mergeCell ref="M31:M32"/>
    <mergeCell ref="O31:O32"/>
    <mergeCell ref="P31:P32"/>
    <mergeCell ref="Q31:Q32"/>
    <mergeCell ref="S31:S32"/>
    <mergeCell ref="T31:T32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Q29:Q30"/>
    <mergeCell ref="S29:S30"/>
    <mergeCell ref="T29:T30"/>
    <mergeCell ref="U29:U30"/>
    <mergeCell ref="E31:E32"/>
    <mergeCell ref="G31:G32"/>
    <mergeCell ref="H31:H32"/>
    <mergeCell ref="I31:I32"/>
    <mergeCell ref="K31:K32"/>
    <mergeCell ref="L31:L32"/>
    <mergeCell ref="I29:I30"/>
    <mergeCell ref="K29:K30"/>
    <mergeCell ref="L29:L30"/>
    <mergeCell ref="M29:M30"/>
    <mergeCell ref="C23:E23"/>
    <mergeCell ref="F23:I23"/>
    <mergeCell ref="J23:M23"/>
    <mergeCell ref="N23:Q23"/>
    <mergeCell ref="R23:U23"/>
    <mergeCell ref="C24:D25"/>
    <mergeCell ref="E24:E25"/>
    <mergeCell ref="C11:E11"/>
    <mergeCell ref="F11:I11"/>
    <mergeCell ref="J11:M11"/>
    <mergeCell ref="N11:Q11"/>
    <mergeCell ref="R11:U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R3:U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&amp;"メイリオ,ボールド"&amp;22日別の優先給電ルールに基づく抑制、調整状況（2025年12月）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2D19-FFB8-4E1E-B9D1-BF4082E30564}">
  <dimension ref="B1:O64"/>
  <sheetViews>
    <sheetView showGridLines="0" view="pageBreakPreview" zoomScale="55" zoomScaleNormal="70" zoomScaleSheetLayoutView="55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M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45762</v>
      </c>
      <c r="G3" s="26" t="s">
        <v>186</v>
      </c>
      <c r="H3" s="25">
        <v>45763</v>
      </c>
      <c r="I3" s="26" t="s">
        <v>48</v>
      </c>
      <c r="J3" s="25">
        <v>45764</v>
      </c>
      <c r="K3" s="26" t="s">
        <v>48</v>
      </c>
      <c r="L3" s="25">
        <v>45765</v>
      </c>
      <c r="M3" s="26" t="s">
        <v>48</v>
      </c>
      <c r="N3" s="25">
        <v>45766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76.3</v>
      </c>
      <c r="G5" s="384" t="s">
        <v>45</v>
      </c>
      <c r="H5" s="9">
        <v>75.3</v>
      </c>
      <c r="I5" s="384" t="s">
        <v>45</v>
      </c>
      <c r="J5" s="9">
        <v>75.7</v>
      </c>
      <c r="K5" s="384" t="s">
        <v>45</v>
      </c>
      <c r="L5" s="9">
        <v>76.099999999999994</v>
      </c>
      <c r="M5" s="384" t="s">
        <v>45</v>
      </c>
      <c r="N5" s="9">
        <v>73.900000000000006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62.6</v>
      </c>
      <c r="G6" s="385"/>
      <c r="H6" s="10">
        <v>60.2</v>
      </c>
      <c r="I6" s="385"/>
      <c r="J6" s="10">
        <v>57.9</v>
      </c>
      <c r="K6" s="385"/>
      <c r="L6" s="10">
        <v>62.9</v>
      </c>
      <c r="M6" s="385"/>
      <c r="N6" s="10">
        <v>50.7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298.39999999999998</v>
      </c>
      <c r="G7" s="385"/>
      <c r="H7" s="28">
        <v>298.2</v>
      </c>
      <c r="I7" s="385"/>
      <c r="J7" s="28">
        <v>298.39999999999998</v>
      </c>
      <c r="K7" s="385"/>
      <c r="L7" s="28">
        <v>298.7</v>
      </c>
      <c r="M7" s="385"/>
      <c r="N7" s="28">
        <v>298.5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24</v>
      </c>
      <c r="G8" s="385"/>
      <c r="H8" s="29">
        <v>25.9</v>
      </c>
      <c r="I8" s="385"/>
      <c r="J8" s="29">
        <v>31.7</v>
      </c>
      <c r="K8" s="385"/>
      <c r="L8" s="29">
        <v>24.1</v>
      </c>
      <c r="M8" s="385"/>
      <c r="N8" s="29">
        <v>29.59999999999992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16.7</v>
      </c>
      <c r="G9" s="385"/>
      <c r="H9" s="30">
        <v>16.7</v>
      </c>
      <c r="I9" s="385"/>
      <c r="J9" s="30">
        <v>16.7</v>
      </c>
      <c r="K9" s="385"/>
      <c r="L9" s="30">
        <v>16.7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43.8</v>
      </c>
      <c r="G10" s="385"/>
      <c r="H10" s="11">
        <v>35.299999999999997</v>
      </c>
      <c r="I10" s="385"/>
      <c r="J10" s="11">
        <v>34.6</v>
      </c>
      <c r="K10" s="385"/>
      <c r="L10" s="11">
        <v>34.6</v>
      </c>
      <c r="M10" s="385"/>
      <c r="N10" s="11">
        <v>30.7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24.9</v>
      </c>
      <c r="G11" s="385"/>
      <c r="H11" s="12">
        <v>24.6</v>
      </c>
      <c r="I11" s="385"/>
      <c r="J11" s="12">
        <v>25.2</v>
      </c>
      <c r="K11" s="385"/>
      <c r="L11" s="12">
        <v>26.2</v>
      </c>
      <c r="M11" s="385"/>
      <c r="N11" s="12">
        <v>28.6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876.8</v>
      </c>
      <c r="G12" s="385"/>
      <c r="H12" s="13">
        <v>997</v>
      </c>
      <c r="I12" s="385"/>
      <c r="J12" s="13">
        <v>913.4</v>
      </c>
      <c r="K12" s="385"/>
      <c r="L12" s="13">
        <v>745.4</v>
      </c>
      <c r="M12" s="385"/>
      <c r="N12" s="13">
        <v>1010.1</v>
      </c>
      <c r="O12" s="385"/>
    </row>
    <row r="13" spans="2:15" ht="16">
      <c r="B13" s="376"/>
      <c r="C13" s="379"/>
      <c r="D13" s="388"/>
      <c r="E13" s="45" t="s">
        <v>27</v>
      </c>
      <c r="F13" s="13">
        <v>36.200000000000003</v>
      </c>
      <c r="G13" s="385"/>
      <c r="H13" s="13">
        <v>17.399999999999999</v>
      </c>
      <c r="I13" s="385"/>
      <c r="J13" s="13">
        <v>22.6</v>
      </c>
      <c r="K13" s="385"/>
      <c r="L13" s="13">
        <v>11.6</v>
      </c>
      <c r="M13" s="385"/>
      <c r="N13" s="13">
        <v>12.1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141.9</v>
      </c>
      <c r="G14" s="385"/>
      <c r="H14" s="14">
        <v>19</v>
      </c>
      <c r="I14" s="385"/>
      <c r="J14" s="14">
        <v>32</v>
      </c>
      <c r="K14" s="385"/>
      <c r="L14" s="14">
        <v>234</v>
      </c>
      <c r="M14" s="385"/>
      <c r="N14" s="14">
        <v>19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1601.6000000000001</v>
      </c>
      <c r="G15" s="385"/>
      <c r="H15" s="15">
        <v>1569.6</v>
      </c>
      <c r="I15" s="385"/>
      <c r="J15" s="15">
        <v>1508.1999999999998</v>
      </c>
      <c r="K15" s="385"/>
      <c r="L15" s="15">
        <v>1530.3</v>
      </c>
      <c r="M15" s="385"/>
      <c r="N15" s="15">
        <v>1569.8999999999999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895</v>
      </c>
      <c r="G16" s="385"/>
      <c r="H16" s="8">
        <v>845</v>
      </c>
      <c r="I16" s="385"/>
      <c r="J16" s="8">
        <v>865</v>
      </c>
      <c r="K16" s="385"/>
      <c r="L16" s="8">
        <v>885</v>
      </c>
      <c r="M16" s="385"/>
      <c r="N16" s="8">
        <v>775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-159.1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-142.6</v>
      </c>
      <c r="G19" s="385"/>
      <c r="H19" s="18">
        <v>-142.6</v>
      </c>
      <c r="I19" s="385"/>
      <c r="J19" s="18">
        <v>-142.6</v>
      </c>
      <c r="K19" s="385"/>
      <c r="L19" s="18">
        <v>-142.6</v>
      </c>
      <c r="M19" s="385"/>
      <c r="N19" s="18">
        <v>-123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1269.1999999999998</v>
      </c>
      <c r="G21" s="386"/>
      <c r="H21" s="27">
        <v>1151.2</v>
      </c>
      <c r="I21" s="386"/>
      <c r="J21" s="27">
        <v>1239.1999999999998</v>
      </c>
      <c r="K21" s="386"/>
      <c r="L21" s="27">
        <v>1259.1999999999998</v>
      </c>
      <c r="M21" s="386"/>
      <c r="N21" s="27">
        <v>1129.5999999999999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1601.6000000000001</v>
      </c>
      <c r="G23" s="400"/>
      <c r="H23" s="20">
        <v>1569.6</v>
      </c>
      <c r="I23" s="400"/>
      <c r="J23" s="20">
        <v>1508.1999999999998</v>
      </c>
      <c r="K23" s="400"/>
      <c r="L23" s="20">
        <v>1530.3</v>
      </c>
      <c r="M23" s="400"/>
      <c r="N23" s="20">
        <v>1569.8999999999999</v>
      </c>
      <c r="O23" s="400"/>
    </row>
    <row r="24" spans="2:15" ht="16">
      <c r="B24" s="409"/>
      <c r="C24" s="403" t="s">
        <v>37</v>
      </c>
      <c r="D24" s="404"/>
      <c r="E24" s="405"/>
      <c r="F24" s="21">
        <v>1269.1999999999998</v>
      </c>
      <c r="G24" s="401"/>
      <c r="H24" s="21">
        <v>1151.2</v>
      </c>
      <c r="I24" s="401"/>
      <c r="J24" s="21">
        <v>1239.1999999999998</v>
      </c>
      <c r="K24" s="401"/>
      <c r="L24" s="21">
        <v>1259.1999999999998</v>
      </c>
      <c r="M24" s="401"/>
      <c r="N24" s="21">
        <v>1129.5999999999999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332.40000000000032</v>
      </c>
      <c r="G25" s="402"/>
      <c r="H25" s="67">
        <v>418.39999999999986</v>
      </c>
      <c r="I25" s="402"/>
      <c r="J25" s="67">
        <v>269</v>
      </c>
      <c r="K25" s="402"/>
      <c r="L25" s="67">
        <v>271.10000000000014</v>
      </c>
      <c r="M25" s="402"/>
      <c r="N25" s="67">
        <v>440.29999999999995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8AFA-EB90-4998-9F38-B302DD335CE9}">
  <dimension ref="B1:O69"/>
  <sheetViews>
    <sheetView showGridLines="0" view="pageBreakPreview" zoomScale="70" zoomScaleNormal="70" zoomScaleSheetLayoutView="70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M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226</v>
      </c>
      <c r="G2" s="366"/>
      <c r="H2" s="550" t="s">
        <v>226</v>
      </c>
      <c r="I2" s="366"/>
      <c r="J2" s="550" t="s">
        <v>226</v>
      </c>
      <c r="K2" s="366"/>
      <c r="L2" s="550" t="s">
        <v>226</v>
      </c>
      <c r="M2" s="366"/>
      <c r="N2" s="550" t="s">
        <v>226</v>
      </c>
      <c r="O2" s="366"/>
    </row>
    <row r="3" spans="2:15" ht="16.5" thickBot="1">
      <c r="B3" s="3"/>
      <c r="C3" s="372" t="s">
        <v>3</v>
      </c>
      <c r="D3" s="373"/>
      <c r="E3" s="374"/>
      <c r="F3" s="115">
        <v>46023</v>
      </c>
      <c r="G3" s="26" t="s">
        <v>67</v>
      </c>
      <c r="H3" s="115">
        <v>46025</v>
      </c>
      <c r="I3" s="26" t="s">
        <v>67</v>
      </c>
      <c r="J3" s="115">
        <v>46028</v>
      </c>
      <c r="K3" s="26" t="s">
        <v>222</v>
      </c>
      <c r="L3" s="115">
        <v>46029</v>
      </c>
      <c r="M3" s="26" t="s">
        <v>67</v>
      </c>
      <c r="N3" s="115">
        <v>46032</v>
      </c>
      <c r="O3" s="26" t="s">
        <v>67</v>
      </c>
    </row>
    <row r="4" spans="2:15" ht="16.5" thickBot="1">
      <c r="B4" s="31"/>
      <c r="C4" s="4"/>
      <c r="D4" s="4"/>
      <c r="E4" s="4"/>
      <c r="F4" s="5" t="s">
        <v>228</v>
      </c>
      <c r="G4" s="7" t="s">
        <v>229</v>
      </c>
      <c r="H4" s="5" t="s">
        <v>228</v>
      </c>
      <c r="I4" s="7" t="s">
        <v>229</v>
      </c>
      <c r="J4" s="5" t="s">
        <v>228</v>
      </c>
      <c r="K4" s="7" t="s">
        <v>229</v>
      </c>
      <c r="L4" s="5" t="s">
        <v>228</v>
      </c>
      <c r="M4" s="7" t="s">
        <v>229</v>
      </c>
      <c r="N4" s="5" t="s">
        <v>228</v>
      </c>
      <c r="O4" s="7" t="s">
        <v>229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74.099999999999994</v>
      </c>
      <c r="G5" s="384" t="s">
        <v>65</v>
      </c>
      <c r="H5" s="120">
        <v>76.099999999999994</v>
      </c>
      <c r="I5" s="384" t="s">
        <v>65</v>
      </c>
      <c r="J5" s="120">
        <v>108.8</v>
      </c>
      <c r="K5" s="384" t="s">
        <v>65</v>
      </c>
      <c r="L5" s="120">
        <v>108.5</v>
      </c>
      <c r="M5" s="384" t="s">
        <v>65</v>
      </c>
      <c r="N5" s="120">
        <v>85.2</v>
      </c>
      <c r="O5" s="384" t="s">
        <v>65</v>
      </c>
    </row>
    <row r="6" spans="2:15" ht="16">
      <c r="B6" s="376"/>
      <c r="C6" s="379"/>
      <c r="D6" s="34" t="s">
        <v>12</v>
      </c>
      <c r="E6" s="89" t="s">
        <v>47</v>
      </c>
      <c r="F6" s="123">
        <v>74.7</v>
      </c>
      <c r="G6" s="385"/>
      <c r="H6" s="123">
        <v>77.7</v>
      </c>
      <c r="I6" s="385"/>
      <c r="J6" s="123">
        <v>109.8</v>
      </c>
      <c r="K6" s="385"/>
      <c r="L6" s="123">
        <v>109.8</v>
      </c>
      <c r="M6" s="385"/>
      <c r="N6" s="123">
        <v>103.9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414.4</v>
      </c>
      <c r="G7" s="385"/>
      <c r="H7" s="126">
        <v>414.6</v>
      </c>
      <c r="I7" s="385"/>
      <c r="J7" s="126">
        <v>414.7</v>
      </c>
      <c r="K7" s="385"/>
      <c r="L7" s="126">
        <v>414.8</v>
      </c>
      <c r="M7" s="385"/>
      <c r="N7" s="126">
        <v>415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22.599999999999955</v>
      </c>
      <c r="G8" s="385"/>
      <c r="H8" s="129">
        <v>22.999999999999851</v>
      </c>
      <c r="I8" s="385"/>
      <c r="J8" s="129">
        <v>22.399999999999949</v>
      </c>
      <c r="K8" s="385"/>
      <c r="L8" s="129">
        <v>22.399999999999864</v>
      </c>
      <c r="M8" s="385"/>
      <c r="N8" s="129">
        <v>22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17.100000000000001</v>
      </c>
      <c r="G9" s="385"/>
      <c r="H9" s="131">
        <v>17.100000000000001</v>
      </c>
      <c r="I9" s="385"/>
      <c r="J9" s="131">
        <v>16.3</v>
      </c>
      <c r="K9" s="385"/>
      <c r="L9" s="131">
        <v>16.399999999999999</v>
      </c>
      <c r="M9" s="385"/>
      <c r="N9" s="131">
        <v>17.2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46</v>
      </c>
      <c r="G10" s="385"/>
      <c r="H10" s="133">
        <v>45.1</v>
      </c>
      <c r="I10" s="385"/>
      <c r="J10" s="133">
        <v>42.9</v>
      </c>
      <c r="K10" s="385"/>
      <c r="L10" s="133">
        <v>42.9</v>
      </c>
      <c r="M10" s="385"/>
      <c r="N10" s="133">
        <v>43.5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29.7</v>
      </c>
      <c r="G11" s="385"/>
      <c r="H11" s="135">
        <v>29.4</v>
      </c>
      <c r="I11" s="385"/>
      <c r="J11" s="135">
        <v>30.2</v>
      </c>
      <c r="K11" s="385"/>
      <c r="L11" s="135">
        <v>28.9</v>
      </c>
      <c r="M11" s="385"/>
      <c r="N11" s="135">
        <v>29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414.9</v>
      </c>
      <c r="G12" s="385"/>
      <c r="H12" s="137">
        <v>689.8</v>
      </c>
      <c r="I12" s="385"/>
      <c r="J12" s="137">
        <v>771.7</v>
      </c>
      <c r="K12" s="385"/>
      <c r="L12" s="137">
        <v>657.6</v>
      </c>
      <c r="M12" s="385"/>
      <c r="N12" s="137">
        <v>606.4</v>
      </c>
      <c r="O12" s="385"/>
    </row>
    <row r="13" spans="2:15" ht="16">
      <c r="B13" s="376"/>
      <c r="C13" s="379"/>
      <c r="D13" s="388"/>
      <c r="E13" s="45" t="s">
        <v>27</v>
      </c>
      <c r="F13" s="137">
        <v>36.5</v>
      </c>
      <c r="G13" s="385"/>
      <c r="H13" s="137">
        <v>42.5</v>
      </c>
      <c r="I13" s="385"/>
      <c r="J13" s="137">
        <v>7.2</v>
      </c>
      <c r="K13" s="385"/>
      <c r="L13" s="137">
        <v>38.200000000000003</v>
      </c>
      <c r="M13" s="385"/>
      <c r="N13" s="137">
        <v>47.5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356</v>
      </c>
      <c r="G14" s="385"/>
      <c r="H14" s="139">
        <v>215.3</v>
      </c>
      <c r="I14" s="385"/>
      <c r="J14" s="139">
        <v>142.30000000000001</v>
      </c>
      <c r="K14" s="385"/>
      <c r="L14" s="139">
        <v>221.7</v>
      </c>
      <c r="M14" s="385"/>
      <c r="N14" s="139">
        <v>272.89999999999998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1486</v>
      </c>
      <c r="G15" s="385"/>
      <c r="H15" s="108">
        <v>1630.6</v>
      </c>
      <c r="I15" s="385"/>
      <c r="J15" s="108">
        <v>1666.3</v>
      </c>
      <c r="K15" s="385"/>
      <c r="L15" s="108">
        <v>1661.1999999999998</v>
      </c>
      <c r="M15" s="385"/>
      <c r="N15" s="108">
        <v>1642.6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785</v>
      </c>
      <c r="G16" s="385"/>
      <c r="H16" s="320">
        <v>885</v>
      </c>
      <c r="I16" s="385"/>
      <c r="J16" s="320">
        <v>1071.4000000000001</v>
      </c>
      <c r="K16" s="385"/>
      <c r="L16" s="320">
        <v>1055</v>
      </c>
      <c r="M16" s="385"/>
      <c r="N16" s="320">
        <v>905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  <c r="L17" s="145">
        <v>-201</v>
      </c>
      <c r="M17" s="385"/>
      <c r="N17" s="145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-3.9</v>
      </c>
      <c r="G18" s="385"/>
      <c r="H18" s="111">
        <v>-3.8</v>
      </c>
      <c r="I18" s="385"/>
      <c r="J18" s="111">
        <v>0</v>
      </c>
      <c r="K18" s="385"/>
      <c r="L18" s="111">
        <v>0</v>
      </c>
      <c r="M18" s="385"/>
      <c r="N18" s="111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f>-179-F20</f>
        <v>-138.80000000000001</v>
      </c>
      <c r="G19" s="385"/>
      <c r="H19" s="148">
        <v>-179</v>
      </c>
      <c r="I19" s="385"/>
      <c r="J19" s="148">
        <v>-240.2</v>
      </c>
      <c r="K19" s="385"/>
      <c r="L19" s="148">
        <v>-162.9</v>
      </c>
      <c r="M19" s="385"/>
      <c r="N19" s="148">
        <v>-190.6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-40.200000000000003</v>
      </c>
      <c r="G20" s="385"/>
      <c r="H20" s="150">
        <v>0</v>
      </c>
      <c r="I20" s="385"/>
      <c r="J20" s="150">
        <v>0</v>
      </c>
      <c r="K20" s="385"/>
      <c r="L20" s="150">
        <v>-77.3</v>
      </c>
      <c r="M20" s="385"/>
      <c r="N20" s="150">
        <v>-13.2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1195</v>
      </c>
      <c r="G21" s="386"/>
      <c r="H21" s="151">
        <v>1294.8999999999999</v>
      </c>
      <c r="I21" s="386"/>
      <c r="J21" s="151">
        <v>1538.7</v>
      </c>
      <c r="K21" s="386"/>
      <c r="L21" s="151">
        <v>1496.2</v>
      </c>
      <c r="M21" s="386"/>
      <c r="N21" s="151">
        <v>1335.8999999999999</v>
      </c>
      <c r="O21" s="386"/>
    </row>
    <row r="22" spans="2:15" ht="16.5" thickBot="1">
      <c r="B22" s="54"/>
      <c r="C22" s="55"/>
      <c r="D22" s="55"/>
      <c r="E22" s="55"/>
      <c r="F22" s="5" t="s">
        <v>228</v>
      </c>
      <c r="G22" s="7" t="s">
        <v>229</v>
      </c>
      <c r="H22" s="5" t="s">
        <v>228</v>
      </c>
      <c r="I22" s="7" t="s">
        <v>229</v>
      </c>
      <c r="J22" s="5" t="s">
        <v>228</v>
      </c>
      <c r="K22" s="7" t="s">
        <v>229</v>
      </c>
      <c r="L22" s="5" t="s">
        <v>228</v>
      </c>
      <c r="M22" s="7" t="s">
        <v>229</v>
      </c>
      <c r="N22" s="5" t="s">
        <v>228</v>
      </c>
      <c r="O22" s="7" t="s">
        <v>229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1486</v>
      </c>
      <c r="G23" s="400"/>
      <c r="H23" s="152">
        <v>1630.6</v>
      </c>
      <c r="I23" s="400"/>
      <c r="J23" s="152">
        <v>1666.3</v>
      </c>
      <c r="K23" s="400"/>
      <c r="L23" s="152">
        <v>1661.1999999999998</v>
      </c>
      <c r="M23" s="400"/>
      <c r="N23" s="152">
        <v>1642.6</v>
      </c>
      <c r="O23" s="400"/>
    </row>
    <row r="24" spans="2:15" ht="16">
      <c r="B24" s="409"/>
      <c r="C24" s="403" t="s">
        <v>37</v>
      </c>
      <c r="D24" s="404"/>
      <c r="E24" s="405"/>
      <c r="F24" s="153">
        <v>1195</v>
      </c>
      <c r="G24" s="401"/>
      <c r="H24" s="153">
        <v>1294.8999999999999</v>
      </c>
      <c r="I24" s="401"/>
      <c r="J24" s="153">
        <v>1538.7</v>
      </c>
      <c r="K24" s="401"/>
      <c r="L24" s="153">
        <v>1496.2</v>
      </c>
      <c r="M24" s="401"/>
      <c r="N24" s="153">
        <v>1335.8999999999999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291</v>
      </c>
      <c r="G25" s="402"/>
      <c r="H25" s="154">
        <v>335.70000000000005</v>
      </c>
      <c r="I25" s="402"/>
      <c r="J25" s="154">
        <v>127.59999999999991</v>
      </c>
      <c r="K25" s="402"/>
      <c r="L25" s="154">
        <v>164.99999999999977</v>
      </c>
      <c r="M25" s="402"/>
      <c r="N25" s="154">
        <v>306.70000000000005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日別の需給状況・再エネ出力抑制の必要性（2026年1月）</oddHeader>
    <oddFooter>&amp;R&amp;"メイリオ,レギュラー"&amp;14九州電力送配電株式会社</oddFooter>
  </headerFooter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DA0F-F7AB-41B7-90C6-B25AA00679E3}">
  <dimension ref="B1:O69"/>
  <sheetViews>
    <sheetView showGridLines="0" view="pageBreakPreview" topLeftCell="A8" zoomScale="70" zoomScaleNormal="70" zoomScaleSheetLayoutView="70" zoomScalePageLayoutView="70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226</v>
      </c>
      <c r="G2" s="366"/>
      <c r="H2" s="550" t="s">
        <v>226</v>
      </c>
      <c r="I2" s="366"/>
      <c r="J2" s="550" t="s">
        <v>226</v>
      </c>
      <c r="K2" s="366"/>
      <c r="L2" s="550" t="s">
        <v>226</v>
      </c>
      <c r="M2" s="366"/>
      <c r="N2" s="550" t="s">
        <v>226</v>
      </c>
      <c r="O2" s="366"/>
    </row>
    <row r="3" spans="2:15" ht="16.5" thickBot="1">
      <c r="B3" s="3"/>
      <c r="C3" s="372" t="s">
        <v>3</v>
      </c>
      <c r="D3" s="373"/>
      <c r="E3" s="374"/>
      <c r="F3" s="115">
        <v>46035</v>
      </c>
      <c r="G3" s="357" t="s">
        <v>67</v>
      </c>
      <c r="H3" s="115">
        <v>46036</v>
      </c>
      <c r="I3" s="357" t="s">
        <v>222</v>
      </c>
      <c r="J3" s="115">
        <v>46038</v>
      </c>
      <c r="K3" s="357" t="s">
        <v>222</v>
      </c>
      <c r="L3" s="115">
        <v>46039</v>
      </c>
      <c r="M3" s="357" t="s">
        <v>222</v>
      </c>
      <c r="N3" s="115">
        <v>46040</v>
      </c>
      <c r="O3" s="357" t="s">
        <v>222</v>
      </c>
    </row>
    <row r="4" spans="2:15" ht="16.5" thickBot="1">
      <c r="B4" s="31"/>
      <c r="C4" s="4"/>
      <c r="D4" s="4"/>
      <c r="E4" s="4"/>
      <c r="F4" s="5" t="s">
        <v>228</v>
      </c>
      <c r="G4" s="7" t="s">
        <v>229</v>
      </c>
      <c r="H4" s="5" t="s">
        <v>228</v>
      </c>
      <c r="I4" s="7" t="s">
        <v>229</v>
      </c>
      <c r="J4" s="5" t="s">
        <v>228</v>
      </c>
      <c r="K4" s="7" t="s">
        <v>229</v>
      </c>
      <c r="L4" s="5" t="s">
        <v>228</v>
      </c>
      <c r="M4" s="7" t="s">
        <v>229</v>
      </c>
      <c r="N4" s="5" t="s">
        <v>228</v>
      </c>
      <c r="O4" s="7" t="s">
        <v>229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87.6</v>
      </c>
      <c r="G5" s="384" t="s">
        <v>65</v>
      </c>
      <c r="H5" s="120">
        <v>88.3</v>
      </c>
      <c r="I5" s="384" t="s">
        <v>65</v>
      </c>
      <c r="J5" s="120">
        <v>86.5</v>
      </c>
      <c r="K5" s="384" t="s">
        <v>65</v>
      </c>
      <c r="L5" s="120">
        <v>75.900000000000006</v>
      </c>
      <c r="M5" s="384" t="s">
        <v>65</v>
      </c>
      <c r="N5" s="120">
        <v>75.599999999999994</v>
      </c>
      <c r="O5" s="384" t="s">
        <v>65</v>
      </c>
    </row>
    <row r="6" spans="2:15" ht="16">
      <c r="B6" s="376"/>
      <c r="C6" s="379"/>
      <c r="D6" s="34" t="s">
        <v>12</v>
      </c>
      <c r="E6" s="89" t="s">
        <v>47</v>
      </c>
      <c r="F6" s="123">
        <v>125.5</v>
      </c>
      <c r="G6" s="385"/>
      <c r="H6" s="123">
        <v>108.2</v>
      </c>
      <c r="I6" s="385"/>
      <c r="J6" s="123">
        <v>102.2</v>
      </c>
      <c r="K6" s="385"/>
      <c r="L6" s="123">
        <v>94</v>
      </c>
      <c r="M6" s="385"/>
      <c r="N6" s="123">
        <v>93.2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412.3</v>
      </c>
      <c r="G7" s="385"/>
      <c r="H7" s="126">
        <v>415.1</v>
      </c>
      <c r="I7" s="385"/>
      <c r="J7" s="126">
        <v>415.2</v>
      </c>
      <c r="K7" s="385"/>
      <c r="L7" s="126">
        <v>415.1</v>
      </c>
      <c r="M7" s="385"/>
      <c r="N7" s="126">
        <v>415.1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22.1</v>
      </c>
      <c r="G8" s="385"/>
      <c r="H8" s="129">
        <v>22.099999999999635</v>
      </c>
      <c r="I8" s="385"/>
      <c r="J8" s="129">
        <v>22</v>
      </c>
      <c r="K8" s="385"/>
      <c r="L8" s="129">
        <v>21.999999999999964</v>
      </c>
      <c r="M8" s="385"/>
      <c r="N8" s="129">
        <v>21.799999999999738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17.2</v>
      </c>
      <c r="G9" s="385"/>
      <c r="H9" s="131">
        <v>17.2</v>
      </c>
      <c r="I9" s="385"/>
      <c r="J9" s="131">
        <v>17.100000000000001</v>
      </c>
      <c r="K9" s="385"/>
      <c r="L9" s="131">
        <v>17.100000000000001</v>
      </c>
      <c r="M9" s="385"/>
      <c r="N9" s="131">
        <v>17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43.5</v>
      </c>
      <c r="G10" s="385"/>
      <c r="H10" s="133">
        <v>41.4</v>
      </c>
      <c r="I10" s="385"/>
      <c r="J10" s="133">
        <v>43.1</v>
      </c>
      <c r="K10" s="385"/>
      <c r="L10" s="133">
        <v>45.5</v>
      </c>
      <c r="M10" s="385"/>
      <c r="N10" s="133">
        <v>43.5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27.8</v>
      </c>
      <c r="G11" s="385"/>
      <c r="H11" s="135">
        <v>27.7</v>
      </c>
      <c r="I11" s="385"/>
      <c r="J11" s="135">
        <v>27.2</v>
      </c>
      <c r="K11" s="385"/>
      <c r="L11" s="135">
        <v>26.8</v>
      </c>
      <c r="M11" s="385"/>
      <c r="N11" s="135">
        <v>26.6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596.5</v>
      </c>
      <c r="G12" s="385"/>
      <c r="H12" s="137">
        <v>842</v>
      </c>
      <c r="I12" s="385"/>
      <c r="J12" s="137">
        <v>814.3</v>
      </c>
      <c r="K12" s="385"/>
      <c r="L12" s="137">
        <v>813.3</v>
      </c>
      <c r="M12" s="385"/>
      <c r="N12" s="137">
        <v>744.7</v>
      </c>
      <c r="O12" s="385"/>
    </row>
    <row r="13" spans="2:15" ht="16">
      <c r="B13" s="376"/>
      <c r="C13" s="379"/>
      <c r="D13" s="388"/>
      <c r="E13" s="45" t="s">
        <v>27</v>
      </c>
      <c r="F13" s="137">
        <v>50.6</v>
      </c>
      <c r="G13" s="385"/>
      <c r="H13" s="137">
        <v>14.4</v>
      </c>
      <c r="I13" s="385"/>
      <c r="J13" s="137">
        <v>0</v>
      </c>
      <c r="K13" s="385"/>
      <c r="L13" s="137">
        <v>23.5</v>
      </c>
      <c r="M13" s="385"/>
      <c r="N13" s="137">
        <v>4.2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280</v>
      </c>
      <c r="G14" s="385"/>
      <c r="H14" s="139">
        <v>89</v>
      </c>
      <c r="I14" s="385"/>
      <c r="J14" s="139">
        <v>116.7</v>
      </c>
      <c r="K14" s="385"/>
      <c r="L14" s="139">
        <v>117.7</v>
      </c>
      <c r="M14" s="385"/>
      <c r="N14" s="139">
        <v>169.3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1663.1</v>
      </c>
      <c r="G15" s="385"/>
      <c r="H15" s="108">
        <v>1665.3999999999999</v>
      </c>
      <c r="I15" s="385"/>
      <c r="J15" s="108">
        <v>1644.3</v>
      </c>
      <c r="K15" s="385"/>
      <c r="L15" s="108">
        <v>1650.8999999999999</v>
      </c>
      <c r="M15" s="385"/>
      <c r="N15" s="108">
        <v>1611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1025</v>
      </c>
      <c r="G16" s="385"/>
      <c r="H16" s="320">
        <v>1060</v>
      </c>
      <c r="I16" s="385"/>
      <c r="J16" s="320">
        <v>972.2</v>
      </c>
      <c r="K16" s="385"/>
      <c r="L16" s="320">
        <v>873.9</v>
      </c>
      <c r="M16" s="385"/>
      <c r="N16" s="320">
        <v>865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  <c r="N17" s="145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5"/>
      <c r="H18" s="111">
        <v>0</v>
      </c>
      <c r="I18" s="385"/>
      <c r="J18" s="111">
        <v>0</v>
      </c>
      <c r="K18" s="385"/>
      <c r="L18" s="111">
        <v>0</v>
      </c>
      <c r="M18" s="385"/>
      <c r="N18" s="111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-217.2</v>
      </c>
      <c r="G19" s="385"/>
      <c r="H19" s="148">
        <v>-210.3</v>
      </c>
      <c r="I19" s="385"/>
      <c r="J19" s="148">
        <v>-204.1</v>
      </c>
      <c r="K19" s="385"/>
      <c r="L19" s="148">
        <v>-192.1</v>
      </c>
      <c r="M19" s="385"/>
      <c r="N19" s="148">
        <v>-192.1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-18.3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1487.6</v>
      </c>
      <c r="G21" s="386"/>
      <c r="H21" s="151">
        <v>1497.3999999999999</v>
      </c>
      <c r="I21" s="386"/>
      <c r="J21" s="151">
        <v>1403.3999999999999</v>
      </c>
      <c r="K21" s="386"/>
      <c r="L21" s="151">
        <v>1293.0999999999999</v>
      </c>
      <c r="M21" s="386"/>
      <c r="N21" s="151">
        <v>1284.1999999999998</v>
      </c>
      <c r="O21" s="386"/>
    </row>
    <row r="22" spans="2:15" ht="16.5" thickBot="1">
      <c r="B22" s="54"/>
      <c r="C22" s="55"/>
      <c r="D22" s="55"/>
      <c r="E22" s="55"/>
      <c r="F22" s="5" t="s">
        <v>228</v>
      </c>
      <c r="G22" s="7" t="s">
        <v>229</v>
      </c>
      <c r="H22" s="5" t="s">
        <v>228</v>
      </c>
      <c r="I22" s="7" t="s">
        <v>229</v>
      </c>
      <c r="J22" s="5" t="s">
        <v>228</v>
      </c>
      <c r="K22" s="7" t="s">
        <v>229</v>
      </c>
      <c r="L22" s="5" t="s">
        <v>228</v>
      </c>
      <c r="M22" s="7" t="s">
        <v>229</v>
      </c>
      <c r="N22" s="5" t="s">
        <v>228</v>
      </c>
      <c r="O22" s="7" t="s">
        <v>229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1663.1</v>
      </c>
      <c r="G23" s="400"/>
      <c r="H23" s="152">
        <v>1665.3999999999999</v>
      </c>
      <c r="I23" s="400"/>
      <c r="J23" s="152">
        <v>1644.3</v>
      </c>
      <c r="K23" s="400"/>
      <c r="L23" s="152">
        <v>1650.8999999999999</v>
      </c>
      <c r="M23" s="400"/>
      <c r="N23" s="152">
        <v>1611</v>
      </c>
      <c r="O23" s="400"/>
    </row>
    <row r="24" spans="2:15" ht="16">
      <c r="B24" s="409"/>
      <c r="C24" s="403" t="s">
        <v>37</v>
      </c>
      <c r="D24" s="404"/>
      <c r="E24" s="405"/>
      <c r="F24" s="153">
        <v>1487.6</v>
      </c>
      <c r="G24" s="401"/>
      <c r="H24" s="153">
        <v>1497.3999999999999</v>
      </c>
      <c r="I24" s="401"/>
      <c r="J24" s="153">
        <v>1403.3999999999999</v>
      </c>
      <c r="K24" s="401"/>
      <c r="L24" s="153">
        <v>1293.0999999999999</v>
      </c>
      <c r="M24" s="401"/>
      <c r="N24" s="153">
        <v>1284.1999999999998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175.5</v>
      </c>
      <c r="G25" s="402"/>
      <c r="H25" s="154">
        <v>168</v>
      </c>
      <c r="I25" s="402"/>
      <c r="J25" s="154">
        <v>240.90000000000009</v>
      </c>
      <c r="K25" s="402"/>
      <c r="L25" s="154">
        <v>357.79999999999995</v>
      </c>
      <c r="M25" s="402"/>
      <c r="N25" s="154">
        <v>326.80000000000018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B186-5A20-475A-A1B0-ACE11BA26032}">
  <dimension ref="A1:O69"/>
  <sheetViews>
    <sheetView showGridLines="0" view="pageBreakPreview" zoomScale="70" zoomScaleNormal="70" zoomScaleSheetLayoutView="70" zoomScalePageLayoutView="70" workbookViewId="0">
      <selection activeCell="J12" sqref="J12:J1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1:15" ht="15.5" thickBot="1">
      <c r="A1" s="1" t="s">
        <v>202</v>
      </c>
      <c r="I1" s="32"/>
      <c r="K1" s="32" t="s">
        <v>57</v>
      </c>
      <c r="O1" s="32"/>
    </row>
    <row r="2" spans="1:15" ht="16">
      <c r="B2" s="2"/>
      <c r="C2" s="367" t="s">
        <v>0</v>
      </c>
      <c r="D2" s="368"/>
      <c r="E2" s="369"/>
      <c r="F2" s="550" t="s">
        <v>226</v>
      </c>
      <c r="G2" s="366"/>
      <c r="H2" s="550" t="s">
        <v>42</v>
      </c>
      <c r="I2" s="366"/>
      <c r="J2" s="550" t="s">
        <v>226</v>
      </c>
      <c r="K2" s="366"/>
    </row>
    <row r="3" spans="1:15" ht="16.5" thickBot="1">
      <c r="B3" s="3"/>
      <c r="C3" s="372" t="s">
        <v>3</v>
      </c>
      <c r="D3" s="373"/>
      <c r="E3" s="374"/>
      <c r="F3" s="115">
        <v>46047</v>
      </c>
      <c r="G3" s="357" t="s">
        <v>222</v>
      </c>
      <c r="H3" s="115">
        <v>46052</v>
      </c>
      <c r="I3" s="357" t="s">
        <v>49</v>
      </c>
      <c r="J3" s="115">
        <v>46052</v>
      </c>
      <c r="K3" s="357" t="s">
        <v>48</v>
      </c>
      <c r="L3" s="157"/>
      <c r="M3" s="157"/>
      <c r="N3" s="157"/>
      <c r="O3" s="157"/>
    </row>
    <row r="4" spans="1:15" ht="16.5" thickBot="1">
      <c r="B4" s="31"/>
      <c r="C4" s="4"/>
      <c r="D4" s="4"/>
      <c r="E4" s="4"/>
      <c r="F4" s="5" t="s">
        <v>228</v>
      </c>
      <c r="G4" s="7" t="s">
        <v>229</v>
      </c>
      <c r="H4" s="5" t="s">
        <v>43</v>
      </c>
      <c r="I4" s="7" t="s">
        <v>44</v>
      </c>
      <c r="J4" s="5" t="s">
        <v>43</v>
      </c>
      <c r="K4" s="7" t="s">
        <v>44</v>
      </c>
    </row>
    <row r="5" spans="1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107.9</v>
      </c>
      <c r="G5" s="384" t="s">
        <v>65</v>
      </c>
      <c r="H5" s="120">
        <v>112</v>
      </c>
      <c r="I5" s="384" t="s">
        <v>45</v>
      </c>
      <c r="J5" s="120">
        <v>145.6</v>
      </c>
      <c r="K5" s="384" t="s">
        <v>45</v>
      </c>
    </row>
    <row r="6" spans="1:15" ht="16">
      <c r="B6" s="376"/>
      <c r="C6" s="379"/>
      <c r="D6" s="34" t="s">
        <v>12</v>
      </c>
      <c r="E6" s="89" t="s">
        <v>47</v>
      </c>
      <c r="F6" s="123">
        <v>95.7</v>
      </c>
      <c r="G6" s="385"/>
      <c r="H6" s="123">
        <v>160</v>
      </c>
      <c r="I6" s="385"/>
      <c r="J6" s="123">
        <v>160</v>
      </c>
      <c r="K6" s="385"/>
    </row>
    <row r="7" spans="1:15" ht="16">
      <c r="B7" s="376"/>
      <c r="C7" s="379"/>
      <c r="D7" s="35" t="s">
        <v>13</v>
      </c>
      <c r="E7" s="36" t="s">
        <v>5</v>
      </c>
      <c r="F7" s="126">
        <v>323.60000000000002</v>
      </c>
      <c r="G7" s="385"/>
      <c r="H7" s="126">
        <v>323.5</v>
      </c>
      <c r="I7" s="385"/>
      <c r="J7" s="126">
        <v>320.7</v>
      </c>
      <c r="K7" s="385"/>
    </row>
    <row r="8" spans="1:15" ht="16">
      <c r="B8" s="376"/>
      <c r="C8" s="379"/>
      <c r="D8" s="37" t="s">
        <v>14</v>
      </c>
      <c r="E8" s="38" t="s">
        <v>6</v>
      </c>
      <c r="F8" s="129">
        <v>21.599999999999678</v>
      </c>
      <c r="G8" s="385"/>
      <c r="H8" s="129">
        <v>21.3</v>
      </c>
      <c r="I8" s="385"/>
      <c r="J8" s="129">
        <v>21.300000000000043</v>
      </c>
      <c r="K8" s="385"/>
    </row>
    <row r="9" spans="1:15" ht="16">
      <c r="B9" s="376"/>
      <c r="C9" s="379"/>
      <c r="D9" s="39" t="s">
        <v>15</v>
      </c>
      <c r="E9" s="40" t="s">
        <v>7</v>
      </c>
      <c r="F9" s="131">
        <v>17.2</v>
      </c>
      <c r="G9" s="385"/>
      <c r="H9" s="131">
        <v>17.100000000000001</v>
      </c>
      <c r="I9" s="385"/>
      <c r="J9" s="131">
        <v>17.100000000000001</v>
      </c>
      <c r="K9" s="385"/>
    </row>
    <row r="10" spans="1:15" ht="16">
      <c r="B10" s="376"/>
      <c r="C10" s="379"/>
      <c r="D10" s="41" t="s">
        <v>17</v>
      </c>
      <c r="E10" s="42" t="s">
        <v>1</v>
      </c>
      <c r="F10" s="133">
        <v>33</v>
      </c>
      <c r="G10" s="385"/>
      <c r="H10" s="133">
        <v>56.8</v>
      </c>
      <c r="I10" s="385"/>
      <c r="J10" s="133">
        <v>56.8</v>
      </c>
      <c r="K10" s="385"/>
    </row>
    <row r="11" spans="1:15" ht="16">
      <c r="B11" s="376"/>
      <c r="C11" s="379"/>
      <c r="D11" s="43" t="s">
        <v>16</v>
      </c>
      <c r="E11" s="44" t="s">
        <v>2</v>
      </c>
      <c r="F11" s="135">
        <v>27.7</v>
      </c>
      <c r="G11" s="385"/>
      <c r="H11" s="135">
        <v>27.6</v>
      </c>
      <c r="I11" s="385"/>
      <c r="J11" s="135">
        <v>29</v>
      </c>
      <c r="K11" s="385"/>
    </row>
    <row r="12" spans="1:15" ht="16">
      <c r="B12" s="376"/>
      <c r="C12" s="379"/>
      <c r="D12" s="387" t="s">
        <v>18</v>
      </c>
      <c r="E12" s="45" t="s">
        <v>26</v>
      </c>
      <c r="F12" s="137">
        <v>777.4</v>
      </c>
      <c r="G12" s="385"/>
      <c r="H12" s="137">
        <v>750</v>
      </c>
      <c r="I12" s="385"/>
      <c r="J12" s="137">
        <v>888</v>
      </c>
      <c r="K12" s="385"/>
    </row>
    <row r="13" spans="1:15" ht="16">
      <c r="B13" s="376"/>
      <c r="C13" s="379"/>
      <c r="D13" s="388"/>
      <c r="E13" s="45" t="s">
        <v>27</v>
      </c>
      <c r="F13" s="137">
        <v>41.7</v>
      </c>
      <c r="G13" s="385"/>
      <c r="H13" s="137">
        <v>36</v>
      </c>
      <c r="I13" s="385"/>
      <c r="J13" s="137">
        <v>15.5</v>
      </c>
      <c r="K13" s="385"/>
    </row>
    <row r="14" spans="1:15" ht="16">
      <c r="B14" s="376"/>
      <c r="C14" s="379"/>
      <c r="D14" s="46" t="s">
        <v>19</v>
      </c>
      <c r="E14" s="47" t="s">
        <v>4</v>
      </c>
      <c r="F14" s="139">
        <v>136.6</v>
      </c>
      <c r="G14" s="385"/>
      <c r="H14" s="139">
        <v>164</v>
      </c>
      <c r="I14" s="385"/>
      <c r="J14" s="139">
        <v>0</v>
      </c>
      <c r="K14" s="385"/>
    </row>
    <row r="15" spans="1:15" ht="16.5" thickBot="1">
      <c r="B15" s="376"/>
      <c r="C15" s="380"/>
      <c r="D15" s="389" t="s">
        <v>28</v>
      </c>
      <c r="E15" s="390"/>
      <c r="F15" s="108">
        <v>1582.3999999999999</v>
      </c>
      <c r="G15" s="385"/>
      <c r="H15" s="108">
        <v>1668.3</v>
      </c>
      <c r="I15" s="385"/>
      <c r="J15" s="108">
        <v>1654</v>
      </c>
      <c r="K15" s="385"/>
    </row>
    <row r="16" spans="1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1025</v>
      </c>
      <c r="G16" s="385"/>
      <c r="H16" s="320">
        <v>1229.4000000000001</v>
      </c>
      <c r="I16" s="385"/>
      <c r="J16" s="320">
        <v>1155</v>
      </c>
      <c r="K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5"/>
      <c r="H18" s="111">
        <v>0</v>
      </c>
      <c r="I18" s="385"/>
      <c r="J18" s="111">
        <v>0</v>
      </c>
      <c r="K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-214</v>
      </c>
      <c r="G19" s="385"/>
      <c r="H19" s="148">
        <v>-257.3</v>
      </c>
      <c r="I19" s="385"/>
      <c r="J19" s="148">
        <v>-254.2</v>
      </c>
      <c r="K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</row>
    <row r="21" spans="2:15" ht="16.5" thickBot="1">
      <c r="B21" s="377"/>
      <c r="C21" s="393"/>
      <c r="D21" s="398" t="s">
        <v>34</v>
      </c>
      <c r="E21" s="399"/>
      <c r="F21" s="151">
        <v>1466.1</v>
      </c>
      <c r="G21" s="386"/>
      <c r="H21" s="151">
        <v>1713.8</v>
      </c>
      <c r="I21" s="386"/>
      <c r="J21" s="151">
        <v>1636.3</v>
      </c>
      <c r="K21" s="386"/>
    </row>
    <row r="22" spans="2:15" ht="16.5" thickBot="1">
      <c r="B22" s="54"/>
      <c r="C22" s="55"/>
      <c r="D22" s="55"/>
      <c r="E22" s="55"/>
      <c r="F22" s="5" t="s">
        <v>228</v>
      </c>
      <c r="G22" s="7" t="s">
        <v>229</v>
      </c>
      <c r="H22" s="5" t="s">
        <v>43</v>
      </c>
      <c r="I22" s="7" t="s">
        <v>44</v>
      </c>
      <c r="J22" s="5" t="s">
        <v>43</v>
      </c>
      <c r="K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1582.3999999999999</v>
      </c>
      <c r="G23" s="400"/>
      <c r="H23" s="152">
        <v>1668.3</v>
      </c>
      <c r="I23" s="400"/>
      <c r="J23" s="152">
        <v>1654</v>
      </c>
      <c r="K23" s="400"/>
    </row>
    <row r="24" spans="2:15" ht="16">
      <c r="B24" s="409"/>
      <c r="C24" s="403" t="s">
        <v>37</v>
      </c>
      <c r="D24" s="404"/>
      <c r="E24" s="405"/>
      <c r="F24" s="153">
        <v>1466.1</v>
      </c>
      <c r="G24" s="401"/>
      <c r="H24" s="153">
        <v>1713.8</v>
      </c>
      <c r="I24" s="401"/>
      <c r="J24" s="153">
        <v>1636.3</v>
      </c>
      <c r="K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116.29999999999995</v>
      </c>
      <c r="G25" s="402"/>
      <c r="H25" s="154">
        <v>-45.5</v>
      </c>
      <c r="I25" s="402"/>
      <c r="J25" s="154">
        <v>17.700000000000045</v>
      </c>
      <c r="K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3">
    <mergeCell ref="B23:B25"/>
    <mergeCell ref="C23:E23"/>
    <mergeCell ref="G23:G25"/>
    <mergeCell ref="I23:I25"/>
    <mergeCell ref="K23:K25"/>
    <mergeCell ref="C24:E24"/>
    <mergeCell ref="D25:E25"/>
    <mergeCell ref="C2:E2"/>
    <mergeCell ref="F2:G2"/>
    <mergeCell ref="H2:I2"/>
    <mergeCell ref="J2:K2"/>
    <mergeCell ref="C3:E3"/>
    <mergeCell ref="B5:B21"/>
    <mergeCell ref="C5:C15"/>
    <mergeCell ref="G5:G21"/>
    <mergeCell ref="I5:I21"/>
    <mergeCell ref="K5:K21"/>
    <mergeCell ref="D12:D13"/>
    <mergeCell ref="D15:E15"/>
    <mergeCell ref="C16:C21"/>
    <mergeCell ref="D17:D18"/>
    <mergeCell ref="D19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0502-8FD1-447B-BA52-E4B07C93F118}">
  <dimension ref="A1:Y57"/>
  <sheetViews>
    <sheetView showGridLines="0" view="pageBreakPreview" zoomScale="70" zoomScaleNormal="55" zoomScaleSheetLayoutView="70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46023</v>
      </c>
      <c r="G3" s="516"/>
      <c r="H3" s="516"/>
      <c r="I3" s="517"/>
      <c r="J3" s="515">
        <v>46025</v>
      </c>
      <c r="K3" s="516"/>
      <c r="L3" s="516"/>
      <c r="M3" s="517"/>
      <c r="N3" s="515">
        <v>46028</v>
      </c>
      <c r="O3" s="516"/>
      <c r="P3" s="516"/>
      <c r="Q3" s="517"/>
      <c r="R3" s="515">
        <v>46029</v>
      </c>
      <c r="S3" s="516"/>
      <c r="T3" s="516"/>
      <c r="U3" s="517"/>
      <c r="V3" s="515">
        <v>46032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166">
        <v>52.900000000000006</v>
      </c>
      <c r="G8" s="216">
        <v>52.900000000000006</v>
      </c>
      <c r="H8" s="215">
        <v>0</v>
      </c>
      <c r="I8" s="214"/>
      <c r="J8" s="166">
        <v>54.900000000000006</v>
      </c>
      <c r="K8" s="216">
        <v>54.900000000000006</v>
      </c>
      <c r="L8" s="215">
        <v>0</v>
      </c>
      <c r="M8" s="214"/>
      <c r="N8" s="166">
        <v>58.6</v>
      </c>
      <c r="O8" s="216">
        <v>58.6</v>
      </c>
      <c r="P8" s="215">
        <v>0</v>
      </c>
      <c r="Q8" s="214"/>
      <c r="R8" s="166">
        <v>58.300000000000004</v>
      </c>
      <c r="S8" s="216">
        <v>58.300000000000004</v>
      </c>
      <c r="T8" s="215">
        <v>0</v>
      </c>
      <c r="U8" s="214"/>
      <c r="V8" s="166">
        <v>55.300000000000004</v>
      </c>
      <c r="W8" s="216">
        <v>55.300000000000004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74.100000000000009</v>
      </c>
      <c r="G9" s="188">
        <f>SUM(G5:G8)</f>
        <v>74.100000000000009</v>
      </c>
      <c r="H9" s="187">
        <v>0</v>
      </c>
      <c r="I9" s="213" t="s">
        <v>81</v>
      </c>
      <c r="J9" s="188">
        <f>SUM(J5:J8)</f>
        <v>76.100000000000009</v>
      </c>
      <c r="K9" s="188">
        <f>SUM(K5:K8)</f>
        <v>76.100000000000009</v>
      </c>
      <c r="L9" s="187">
        <v>0</v>
      </c>
      <c r="M9" s="213" t="s">
        <v>81</v>
      </c>
      <c r="N9" s="188">
        <f>SUM(N5:N8)</f>
        <v>108.80000000000001</v>
      </c>
      <c r="O9" s="188">
        <f>SUM(O5:O8)</f>
        <v>108.80000000000001</v>
      </c>
      <c r="P9" s="187">
        <v>0</v>
      </c>
      <c r="Q9" s="213" t="s">
        <v>81</v>
      </c>
      <c r="R9" s="188">
        <f>SUM(R5:R8)</f>
        <v>108.5</v>
      </c>
      <c r="S9" s="188">
        <f>SUM(S5:S8)</f>
        <v>108.5</v>
      </c>
      <c r="T9" s="187">
        <v>0</v>
      </c>
      <c r="U9" s="213" t="s">
        <v>81</v>
      </c>
      <c r="V9" s="188">
        <f>SUM(V5:V8)</f>
        <v>85.2</v>
      </c>
      <c r="W9" s="188">
        <f>SUM(W5:W8)</f>
        <v>85.2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46023</v>
      </c>
      <c r="G11" s="433"/>
      <c r="H11" s="433"/>
      <c r="I11" s="434"/>
      <c r="J11" s="432">
        <v>46025</v>
      </c>
      <c r="K11" s="433"/>
      <c r="L11" s="433"/>
      <c r="M11" s="434"/>
      <c r="N11" s="432">
        <v>46028</v>
      </c>
      <c r="O11" s="433"/>
      <c r="P11" s="433"/>
      <c r="Q11" s="434"/>
      <c r="R11" s="432">
        <v>46029</v>
      </c>
      <c r="S11" s="433"/>
      <c r="T11" s="433"/>
      <c r="U11" s="434"/>
      <c r="V11" s="432">
        <v>46032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0</v>
      </c>
      <c r="T13" s="164">
        <v>26.1</v>
      </c>
      <c r="U13" s="189" t="s">
        <v>231</v>
      </c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  <c r="V14" s="166">
        <v>-26.1</v>
      </c>
      <c r="W14" s="165">
        <v>0</v>
      </c>
      <c r="X14" s="164">
        <v>26.1</v>
      </c>
      <c r="Y14" s="189" t="s">
        <v>232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-201</v>
      </c>
      <c r="T21" s="187">
        <v>52.2</v>
      </c>
      <c r="U21" s="186" t="s">
        <v>81</v>
      </c>
      <c r="V21" s="188">
        <v>-253.2</v>
      </c>
      <c r="W21" s="187">
        <v>-227.1</v>
      </c>
      <c r="X21" s="187">
        <v>26.1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46023</v>
      </c>
      <c r="G23" s="433"/>
      <c r="H23" s="433"/>
      <c r="I23" s="434"/>
      <c r="J23" s="432">
        <v>46025</v>
      </c>
      <c r="K23" s="433"/>
      <c r="L23" s="433"/>
      <c r="M23" s="434"/>
      <c r="N23" s="432">
        <v>46028</v>
      </c>
      <c r="O23" s="433"/>
      <c r="P23" s="433"/>
      <c r="Q23" s="434"/>
      <c r="R23" s="432">
        <v>46029</v>
      </c>
      <c r="S23" s="433"/>
      <c r="T23" s="433"/>
      <c r="U23" s="434"/>
      <c r="V23" s="432">
        <v>46032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-3.9</v>
      </c>
      <c r="H25" s="207">
        <v>1.1000000000000001</v>
      </c>
      <c r="I25" s="206" t="s">
        <v>233</v>
      </c>
      <c r="J25" s="209">
        <v>-5</v>
      </c>
      <c r="K25" s="208">
        <v>-3.7600000000000002</v>
      </c>
      <c r="L25" s="207">
        <v>1.2399999999999998</v>
      </c>
      <c r="M25" s="206" t="s">
        <v>233</v>
      </c>
      <c r="N25" s="209">
        <v>-5</v>
      </c>
      <c r="O25" s="208">
        <v>0</v>
      </c>
      <c r="P25" s="207">
        <v>5</v>
      </c>
      <c r="Q25" s="206" t="s">
        <v>231</v>
      </c>
      <c r="R25" s="209">
        <v>-5</v>
      </c>
      <c r="S25" s="208">
        <v>0</v>
      </c>
      <c r="T25" s="207">
        <v>5</v>
      </c>
      <c r="U25" s="206" t="s">
        <v>231</v>
      </c>
      <c r="V25" s="209">
        <v>-5</v>
      </c>
      <c r="W25" s="208">
        <v>0</v>
      </c>
      <c r="X25" s="207">
        <v>5</v>
      </c>
      <c r="Y25" s="206" t="s">
        <v>231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46023</v>
      </c>
      <c r="G27" s="433"/>
      <c r="H27" s="433"/>
      <c r="I27" s="434"/>
      <c r="J27" s="432">
        <v>46025</v>
      </c>
      <c r="K27" s="433"/>
      <c r="L27" s="433"/>
      <c r="M27" s="434"/>
      <c r="N27" s="432">
        <v>46028</v>
      </c>
      <c r="O27" s="433"/>
      <c r="P27" s="433"/>
      <c r="Q27" s="434"/>
      <c r="R27" s="432">
        <v>46029</v>
      </c>
      <c r="S27" s="433"/>
      <c r="T27" s="433"/>
      <c r="U27" s="434"/>
      <c r="V27" s="432">
        <v>46032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70.2</v>
      </c>
      <c r="P31" s="457">
        <v>15.800000000000004</v>
      </c>
      <c r="Q31" s="459" t="s">
        <v>234</v>
      </c>
      <c r="R31" s="200">
        <v>54.4</v>
      </c>
      <c r="S31" s="455">
        <v>70.2</v>
      </c>
      <c r="T31" s="457">
        <v>15.800000000000004</v>
      </c>
      <c r="U31" s="459" t="s">
        <v>234</v>
      </c>
      <c r="V31" s="200">
        <v>54.4</v>
      </c>
      <c r="W31" s="455">
        <v>66.099999999999994</v>
      </c>
      <c r="X31" s="457">
        <v>11.699999999999996</v>
      </c>
      <c r="Y31" s="459" t="s">
        <v>234</v>
      </c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32.799999999999997</v>
      </c>
      <c r="G33" s="199">
        <v>20</v>
      </c>
      <c r="H33" s="457">
        <v>-12.799999999999997</v>
      </c>
      <c r="I33" s="459" t="s">
        <v>235</v>
      </c>
      <c r="J33" s="200">
        <v>24.9</v>
      </c>
      <c r="K33" s="199">
        <v>23</v>
      </c>
      <c r="L33" s="457">
        <v>-1.8999999999999986</v>
      </c>
      <c r="M33" s="459" t="s">
        <v>235</v>
      </c>
      <c r="N33" s="200">
        <v>24.9</v>
      </c>
      <c r="O33" s="199">
        <v>39.299999999999997</v>
      </c>
      <c r="P33" s="457">
        <v>14.399999999999999</v>
      </c>
      <c r="Q33" s="459" t="s">
        <v>236</v>
      </c>
      <c r="R33" s="200">
        <v>24.9</v>
      </c>
      <c r="S33" s="199">
        <v>39.299999999999997</v>
      </c>
      <c r="T33" s="457">
        <v>14.399999999999999</v>
      </c>
      <c r="U33" s="459" t="s">
        <v>236</v>
      </c>
      <c r="V33" s="200">
        <v>24.9</v>
      </c>
      <c r="W33" s="199">
        <v>37.5</v>
      </c>
      <c r="X33" s="457">
        <v>12.600000000000001</v>
      </c>
      <c r="Y33" s="459" t="s">
        <v>236</v>
      </c>
    </row>
    <row r="34" spans="3:25" ht="16">
      <c r="C34" s="528"/>
      <c r="D34" s="467"/>
      <c r="E34" s="463" t="s">
        <v>104</v>
      </c>
      <c r="F34" s="198">
        <v>0.16</v>
      </c>
      <c r="G34" s="197">
        <v>0.1</v>
      </c>
      <c r="H34" s="458"/>
      <c r="I34" s="460"/>
      <c r="J34" s="198">
        <v>0.13</v>
      </c>
      <c r="K34" s="197">
        <v>0.12</v>
      </c>
      <c r="L34" s="458"/>
      <c r="M34" s="460"/>
      <c r="N34" s="198">
        <v>0.13</v>
      </c>
      <c r="O34" s="197">
        <v>0.2</v>
      </c>
      <c r="P34" s="458"/>
      <c r="Q34" s="460"/>
      <c r="R34" s="198">
        <v>0.13</v>
      </c>
      <c r="S34" s="197">
        <v>0.2</v>
      </c>
      <c r="T34" s="458"/>
      <c r="U34" s="460"/>
      <c r="V34" s="198">
        <v>0.13</v>
      </c>
      <c r="W34" s="197">
        <v>0.2</v>
      </c>
      <c r="X34" s="458"/>
      <c r="Y34" s="460"/>
    </row>
    <row r="35" spans="3:25" ht="13.5" customHeight="1">
      <c r="C35" s="528"/>
      <c r="D35" s="468"/>
      <c r="E35" s="464"/>
      <c r="F35" s="196">
        <v>32.799999999999997</v>
      </c>
      <c r="G35" s="195"/>
      <c r="H35" s="195"/>
      <c r="I35" s="194"/>
      <c r="J35" s="196">
        <v>32.799999999999997</v>
      </c>
      <c r="K35" s="195"/>
      <c r="L35" s="195"/>
      <c r="M35" s="194"/>
      <c r="N35" s="196">
        <v>32.799999999999997</v>
      </c>
      <c r="O35" s="195"/>
      <c r="P35" s="195"/>
      <c r="Q35" s="194"/>
      <c r="R35" s="196">
        <v>32.799999999999997</v>
      </c>
      <c r="S35" s="195"/>
      <c r="T35" s="195"/>
      <c r="U35" s="194"/>
      <c r="V35" s="196">
        <v>32.799999999999997</v>
      </c>
      <c r="W35" s="195"/>
      <c r="X35" s="195"/>
      <c r="Y35" s="194"/>
    </row>
    <row r="36" spans="3:25" ht="16">
      <c r="C36" s="528"/>
      <c r="D36" s="468"/>
      <c r="E36" s="465"/>
      <c r="F36" s="193">
        <v>0.16</v>
      </c>
      <c r="G36" s="192"/>
      <c r="H36" s="192"/>
      <c r="I36" s="191"/>
      <c r="J36" s="193">
        <v>0.16</v>
      </c>
      <c r="K36" s="192"/>
      <c r="L36" s="192"/>
      <c r="M36" s="191"/>
      <c r="N36" s="193">
        <v>0.16</v>
      </c>
      <c r="O36" s="192"/>
      <c r="P36" s="192"/>
      <c r="Q36" s="191"/>
      <c r="R36" s="193">
        <v>0.16</v>
      </c>
      <c r="S36" s="192"/>
      <c r="T36" s="192"/>
      <c r="U36" s="191"/>
      <c r="V36" s="193">
        <v>0.16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0.3</v>
      </c>
      <c r="H37" s="164">
        <v>-9.6999999999999993</v>
      </c>
      <c r="I37" s="189" t="s">
        <v>237</v>
      </c>
      <c r="J37" s="166">
        <v>10</v>
      </c>
      <c r="K37" s="165">
        <v>0.3</v>
      </c>
      <c r="L37" s="164">
        <v>-9.6999999999999993</v>
      </c>
      <c r="M37" s="189" t="s">
        <v>237</v>
      </c>
      <c r="N37" s="166">
        <v>10</v>
      </c>
      <c r="O37" s="165">
        <v>0.3</v>
      </c>
      <c r="P37" s="164">
        <v>-9.6999999999999993</v>
      </c>
      <c r="Q37" s="189" t="s">
        <v>237</v>
      </c>
      <c r="R37" s="166">
        <v>10</v>
      </c>
      <c r="S37" s="165">
        <v>0.3</v>
      </c>
      <c r="T37" s="164">
        <v>-9.6999999999999993</v>
      </c>
      <c r="U37" s="189" t="s">
        <v>237</v>
      </c>
      <c r="V37" s="166">
        <v>10</v>
      </c>
      <c r="W37" s="165">
        <v>0.3</v>
      </c>
      <c r="X37" s="164">
        <v>-9.6999999999999993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97.199999999999989</v>
      </c>
      <c r="G38" s="187">
        <v>74.7</v>
      </c>
      <c r="H38" s="187">
        <v>-22.499999999999996</v>
      </c>
      <c r="I38" s="186"/>
      <c r="J38" s="188">
        <v>89.3</v>
      </c>
      <c r="K38" s="187">
        <v>77.7</v>
      </c>
      <c r="L38" s="187">
        <v>-11.599999999999998</v>
      </c>
      <c r="M38" s="186"/>
      <c r="N38" s="188">
        <v>89.3</v>
      </c>
      <c r="O38" s="187">
        <v>109.8</v>
      </c>
      <c r="P38" s="187">
        <v>20.500000000000004</v>
      </c>
      <c r="Q38" s="186"/>
      <c r="R38" s="188">
        <v>89.3</v>
      </c>
      <c r="S38" s="187">
        <v>109.8</v>
      </c>
      <c r="T38" s="187">
        <v>20.500000000000004</v>
      </c>
      <c r="U38" s="186"/>
      <c r="V38" s="188">
        <v>89.3</v>
      </c>
      <c r="W38" s="187">
        <v>103.89999999999999</v>
      </c>
      <c r="X38" s="187">
        <v>14.599999999999998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46023</v>
      </c>
      <c r="G40" s="470"/>
      <c r="H40" s="470"/>
      <c r="I40" s="471"/>
      <c r="J40" s="469">
        <v>46025</v>
      </c>
      <c r="K40" s="470"/>
      <c r="L40" s="470"/>
      <c r="M40" s="471"/>
      <c r="N40" s="469">
        <v>46028</v>
      </c>
      <c r="O40" s="470"/>
      <c r="P40" s="470"/>
      <c r="Q40" s="471"/>
      <c r="R40" s="432">
        <v>46029</v>
      </c>
      <c r="S40" s="433"/>
      <c r="T40" s="433"/>
      <c r="U40" s="434"/>
      <c r="V40" s="432">
        <v>46032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4</v>
      </c>
      <c r="G42" s="478">
        <v>4</v>
      </c>
      <c r="H42" s="457">
        <f>G42-F42</f>
        <v>0</v>
      </c>
      <c r="I42" s="459"/>
      <c r="J42" s="178">
        <v>0</v>
      </c>
      <c r="K42" s="478">
        <v>0</v>
      </c>
      <c r="L42" s="457">
        <f>K42-J42</f>
        <v>0</v>
      </c>
      <c r="M42" s="459"/>
      <c r="N42" s="178">
        <v>0</v>
      </c>
      <c r="O42" s="478">
        <v>0</v>
      </c>
      <c r="P42" s="457">
        <f>O42-N42</f>
        <v>0</v>
      </c>
      <c r="Q42" s="459"/>
      <c r="R42" s="178">
        <v>77.3</v>
      </c>
      <c r="S42" s="478">
        <v>77.3</v>
      </c>
      <c r="T42" s="457">
        <f>S42-R42</f>
        <v>0</v>
      </c>
      <c r="U42" s="459"/>
      <c r="V42" s="178">
        <v>13.2</v>
      </c>
      <c r="W42" s="478">
        <v>13.2</v>
      </c>
      <c r="X42" s="457">
        <f>W42-V42</f>
        <v>0</v>
      </c>
      <c r="Y42" s="459"/>
    </row>
    <row r="43" spans="3:25" ht="16.5" thickBot="1">
      <c r="C43" s="531"/>
      <c r="D43" s="475"/>
      <c r="E43" s="477"/>
      <c r="F43" s="183">
        <v>179</v>
      </c>
      <c r="G43" s="479"/>
      <c r="H43" s="480"/>
      <c r="I43" s="481"/>
      <c r="J43" s="183">
        <v>179</v>
      </c>
      <c r="K43" s="479"/>
      <c r="L43" s="480"/>
      <c r="M43" s="481"/>
      <c r="N43" s="183">
        <v>240.2</v>
      </c>
      <c r="O43" s="479"/>
      <c r="P43" s="480"/>
      <c r="Q43" s="481"/>
      <c r="R43" s="183">
        <v>240.2</v>
      </c>
      <c r="S43" s="510"/>
      <c r="T43" s="480"/>
      <c r="U43" s="532"/>
      <c r="V43" s="183">
        <v>203.8</v>
      </c>
      <c r="W43" s="510"/>
      <c r="X43" s="480"/>
      <c r="Y43" s="532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46023</v>
      </c>
      <c r="G45" s="470"/>
      <c r="H45" s="470"/>
      <c r="I45" s="471"/>
      <c r="J45" s="469">
        <v>46025</v>
      </c>
      <c r="K45" s="470"/>
      <c r="L45" s="470"/>
      <c r="M45" s="471"/>
      <c r="N45" s="469">
        <v>46028</v>
      </c>
      <c r="O45" s="470"/>
      <c r="P45" s="470"/>
      <c r="Q45" s="471"/>
      <c r="R45" s="432">
        <v>46029</v>
      </c>
      <c r="S45" s="433"/>
      <c r="T45" s="433"/>
      <c r="U45" s="434"/>
      <c r="V45" s="432">
        <v>46032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39.1</v>
      </c>
      <c r="G47" s="478">
        <v>46</v>
      </c>
      <c r="H47" s="457">
        <v>6.8999999999999986</v>
      </c>
      <c r="I47" s="459" t="s">
        <v>235</v>
      </c>
      <c r="J47" s="178">
        <v>39.1</v>
      </c>
      <c r="K47" s="478">
        <v>45.1</v>
      </c>
      <c r="L47" s="457">
        <v>6</v>
      </c>
      <c r="M47" s="459" t="s">
        <v>238</v>
      </c>
      <c r="N47" s="178">
        <v>39.1</v>
      </c>
      <c r="O47" s="478">
        <v>42.9</v>
      </c>
      <c r="P47" s="457">
        <v>3.7999999999999972</v>
      </c>
      <c r="Q47" s="459" t="s">
        <v>238</v>
      </c>
      <c r="R47" s="178">
        <v>39.1</v>
      </c>
      <c r="S47" s="478">
        <v>42.9</v>
      </c>
      <c r="T47" s="457">
        <v>3.7999999999999972</v>
      </c>
      <c r="U47" s="459" t="s">
        <v>238</v>
      </c>
      <c r="V47" s="178">
        <v>39.1</v>
      </c>
      <c r="W47" s="478">
        <v>43.5</v>
      </c>
      <c r="X47" s="457">
        <v>4.3999999999999986</v>
      </c>
      <c r="Y47" s="459" t="s">
        <v>238</v>
      </c>
    </row>
    <row r="48" spans="3:25" ht="16.5" thickBot="1">
      <c r="C48" s="533"/>
      <c r="D48" s="487"/>
      <c r="E48" s="489"/>
      <c r="F48" s="177">
        <v>0.57999999999999996</v>
      </c>
      <c r="G48" s="479"/>
      <c r="H48" s="480"/>
      <c r="I48" s="481"/>
      <c r="J48" s="177">
        <v>0.57999999999999996</v>
      </c>
      <c r="K48" s="479"/>
      <c r="L48" s="480"/>
      <c r="M48" s="481"/>
      <c r="N48" s="177">
        <v>0.57999999999999996</v>
      </c>
      <c r="O48" s="479"/>
      <c r="P48" s="480"/>
      <c r="Q48" s="481"/>
      <c r="R48" s="177">
        <v>0.57999999999999996</v>
      </c>
      <c r="S48" s="510"/>
      <c r="T48" s="511"/>
      <c r="U48" s="532"/>
      <c r="V48" s="177">
        <v>0.57999999999999996</v>
      </c>
      <c r="W48" s="510"/>
      <c r="X48" s="511"/>
      <c r="Y48" s="532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46023</v>
      </c>
      <c r="G50" s="470"/>
      <c r="H50" s="470"/>
      <c r="I50" s="471"/>
      <c r="J50" s="469">
        <v>46025</v>
      </c>
      <c r="K50" s="470"/>
      <c r="L50" s="470"/>
      <c r="M50" s="471"/>
      <c r="N50" s="469">
        <v>46028</v>
      </c>
      <c r="O50" s="470"/>
      <c r="P50" s="470"/>
      <c r="Q50" s="471"/>
      <c r="R50" s="432">
        <v>46029</v>
      </c>
      <c r="S50" s="433"/>
      <c r="T50" s="433"/>
      <c r="U50" s="434"/>
      <c r="V50" s="432">
        <v>46032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29.7</v>
      </c>
      <c r="H53" s="159" t="s">
        <v>81</v>
      </c>
      <c r="I53" s="158" t="s">
        <v>230</v>
      </c>
      <c r="J53" s="161">
        <v>0</v>
      </c>
      <c r="K53" s="160">
        <v>29.4</v>
      </c>
      <c r="L53" s="159" t="s">
        <v>81</v>
      </c>
      <c r="M53" s="158" t="s">
        <v>230</v>
      </c>
      <c r="N53" s="161">
        <v>0</v>
      </c>
      <c r="O53" s="160">
        <v>30.2</v>
      </c>
      <c r="P53" s="159" t="s">
        <v>81</v>
      </c>
      <c r="Q53" s="158" t="s">
        <v>230</v>
      </c>
      <c r="R53" s="161">
        <v>0</v>
      </c>
      <c r="S53" s="160">
        <v>28.9</v>
      </c>
      <c r="T53" s="159" t="s">
        <v>81</v>
      </c>
      <c r="U53" s="158" t="s">
        <v>230</v>
      </c>
      <c r="V53" s="161">
        <v>0</v>
      </c>
      <c r="W53" s="160">
        <v>29</v>
      </c>
      <c r="X53" s="159" t="s">
        <v>81</v>
      </c>
      <c r="Y53" s="158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&amp;"メイリオ,ボールド"&amp;22日別の優先給電ルールに基づく抑制、調整状況（2026年1月）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5842-6FBD-46C7-8282-812C3C13A1D2}">
  <dimension ref="A1:Y57"/>
  <sheetViews>
    <sheetView showGridLines="0" view="pageBreakPreview" topLeftCell="A13" zoomScale="70" zoomScaleNormal="55" zoomScaleSheetLayoutView="70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46035</v>
      </c>
      <c r="G3" s="516"/>
      <c r="H3" s="516"/>
      <c r="I3" s="517"/>
      <c r="J3" s="515">
        <v>46036</v>
      </c>
      <c r="K3" s="516"/>
      <c r="L3" s="516"/>
      <c r="M3" s="517"/>
      <c r="N3" s="515">
        <v>46038</v>
      </c>
      <c r="O3" s="516"/>
      <c r="P3" s="516"/>
      <c r="Q3" s="517"/>
      <c r="R3" s="515">
        <v>46039</v>
      </c>
      <c r="S3" s="516"/>
      <c r="T3" s="516"/>
      <c r="U3" s="517"/>
      <c r="V3" s="515">
        <v>46040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8.8000000000000007</v>
      </c>
      <c r="S6" s="165">
        <v>8.8000000000000007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166">
        <v>57.7</v>
      </c>
      <c r="G8" s="216">
        <v>57.7</v>
      </c>
      <c r="H8" s="215">
        <v>0</v>
      </c>
      <c r="I8" s="214"/>
      <c r="J8" s="166">
        <v>58.400000000000006</v>
      </c>
      <c r="K8" s="216">
        <v>58.400000000000006</v>
      </c>
      <c r="L8" s="215">
        <v>0</v>
      </c>
      <c r="M8" s="214"/>
      <c r="N8" s="166">
        <v>56.6</v>
      </c>
      <c r="O8" s="216">
        <v>56.6</v>
      </c>
      <c r="P8" s="215">
        <v>0</v>
      </c>
      <c r="Q8" s="214"/>
      <c r="R8" s="166">
        <v>54.7</v>
      </c>
      <c r="S8" s="216">
        <v>54.7</v>
      </c>
      <c r="T8" s="215">
        <v>0</v>
      </c>
      <c r="U8" s="214"/>
      <c r="V8" s="166">
        <v>54.5</v>
      </c>
      <c r="W8" s="216">
        <v>54.5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87.6</v>
      </c>
      <c r="G9" s="188">
        <f>SUM(G5:G8)</f>
        <v>87.6</v>
      </c>
      <c r="H9" s="187">
        <v>0</v>
      </c>
      <c r="I9" s="213" t="s">
        <v>81</v>
      </c>
      <c r="J9" s="188">
        <f>SUM(J5:J8)</f>
        <v>88.300000000000011</v>
      </c>
      <c r="K9" s="188">
        <f>SUM(K5:K8)</f>
        <v>88.300000000000011</v>
      </c>
      <c r="L9" s="187">
        <v>0</v>
      </c>
      <c r="M9" s="213" t="s">
        <v>81</v>
      </c>
      <c r="N9" s="188">
        <f>SUM(N5:N8)</f>
        <v>86.5</v>
      </c>
      <c r="O9" s="188">
        <f>SUM(O5:O8)</f>
        <v>86.5</v>
      </c>
      <c r="P9" s="187">
        <v>0</v>
      </c>
      <c r="Q9" s="213" t="s">
        <v>81</v>
      </c>
      <c r="R9" s="188">
        <f>SUM(R5:R8)</f>
        <v>75.900000000000006</v>
      </c>
      <c r="S9" s="188">
        <f>SUM(S5:S8)</f>
        <v>75.900000000000006</v>
      </c>
      <c r="T9" s="187">
        <v>0</v>
      </c>
      <c r="U9" s="213" t="s">
        <v>81</v>
      </c>
      <c r="V9" s="188">
        <f>SUM(V5:V8)</f>
        <v>75.599999999999994</v>
      </c>
      <c r="W9" s="188">
        <f>SUM(W5:W8)</f>
        <v>75.599999999999994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46035</v>
      </c>
      <c r="G11" s="433"/>
      <c r="H11" s="433"/>
      <c r="I11" s="434"/>
      <c r="J11" s="432">
        <v>46036</v>
      </c>
      <c r="K11" s="433"/>
      <c r="L11" s="433"/>
      <c r="M11" s="434"/>
      <c r="N11" s="432">
        <v>46038</v>
      </c>
      <c r="O11" s="433"/>
      <c r="P11" s="433"/>
      <c r="Q11" s="434"/>
      <c r="R11" s="432">
        <v>46039</v>
      </c>
      <c r="S11" s="433"/>
      <c r="T11" s="433"/>
      <c r="U11" s="434"/>
      <c r="V11" s="432">
        <v>46040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231</v>
      </c>
      <c r="J14" s="166">
        <v>-26.1</v>
      </c>
      <c r="K14" s="165">
        <v>0</v>
      </c>
      <c r="L14" s="164">
        <v>26.1</v>
      </c>
      <c r="M14" s="189" t="s">
        <v>231</v>
      </c>
      <c r="N14" s="166">
        <v>-26.1</v>
      </c>
      <c r="O14" s="165">
        <v>0</v>
      </c>
      <c r="P14" s="164">
        <v>26.1</v>
      </c>
      <c r="Q14" s="189" t="s">
        <v>231</v>
      </c>
      <c r="R14" s="166">
        <v>-26.1</v>
      </c>
      <c r="S14" s="165">
        <v>0</v>
      </c>
      <c r="T14" s="164">
        <v>26.1</v>
      </c>
      <c r="U14" s="189" t="s">
        <v>231</v>
      </c>
      <c r="V14" s="166">
        <v>-26.1</v>
      </c>
      <c r="W14" s="165">
        <v>0</v>
      </c>
      <c r="X14" s="164">
        <v>26.1</v>
      </c>
      <c r="Y14" s="189" t="s">
        <v>231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  <c r="V21" s="188">
        <v>-253.2</v>
      </c>
      <c r="W21" s="187">
        <v>-227.1</v>
      </c>
      <c r="X21" s="187">
        <v>26.1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46035</v>
      </c>
      <c r="G23" s="433"/>
      <c r="H23" s="433"/>
      <c r="I23" s="434"/>
      <c r="J23" s="432">
        <v>46036</v>
      </c>
      <c r="K23" s="433"/>
      <c r="L23" s="433"/>
      <c r="M23" s="434"/>
      <c r="N23" s="432">
        <v>46038</v>
      </c>
      <c r="O23" s="433"/>
      <c r="P23" s="433"/>
      <c r="Q23" s="434"/>
      <c r="R23" s="432">
        <v>46039</v>
      </c>
      <c r="S23" s="433"/>
      <c r="T23" s="433"/>
      <c r="U23" s="434"/>
      <c r="V23" s="432">
        <v>46040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0</v>
      </c>
      <c r="H25" s="207">
        <v>5</v>
      </c>
      <c r="I25" s="206" t="s">
        <v>231</v>
      </c>
      <c r="J25" s="209">
        <v>-5</v>
      </c>
      <c r="K25" s="208">
        <v>0</v>
      </c>
      <c r="L25" s="207">
        <v>5</v>
      </c>
      <c r="M25" s="206" t="s">
        <v>231</v>
      </c>
      <c r="N25" s="209">
        <v>-5</v>
      </c>
      <c r="O25" s="208">
        <v>0</v>
      </c>
      <c r="P25" s="207">
        <v>5</v>
      </c>
      <c r="Q25" s="206" t="s">
        <v>231</v>
      </c>
      <c r="R25" s="209">
        <v>-5</v>
      </c>
      <c r="S25" s="208">
        <v>0</v>
      </c>
      <c r="T25" s="207">
        <v>5</v>
      </c>
      <c r="U25" s="206" t="s">
        <v>231</v>
      </c>
      <c r="V25" s="209">
        <v>-5</v>
      </c>
      <c r="W25" s="208">
        <v>0</v>
      </c>
      <c r="X25" s="207">
        <v>5</v>
      </c>
      <c r="Y25" s="206" t="s">
        <v>231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46035</v>
      </c>
      <c r="G27" s="433"/>
      <c r="H27" s="433"/>
      <c r="I27" s="434"/>
      <c r="J27" s="432">
        <v>46036</v>
      </c>
      <c r="K27" s="433"/>
      <c r="L27" s="433"/>
      <c r="M27" s="434"/>
      <c r="N27" s="432">
        <v>46038</v>
      </c>
      <c r="O27" s="433"/>
      <c r="P27" s="433"/>
      <c r="Q27" s="434"/>
      <c r="R27" s="432">
        <v>46039</v>
      </c>
      <c r="S27" s="433"/>
      <c r="T27" s="433"/>
      <c r="U27" s="434"/>
      <c r="V27" s="432">
        <v>46040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85.9</v>
      </c>
      <c r="H31" s="457">
        <v>31.500000000000007</v>
      </c>
      <c r="I31" s="459" t="s">
        <v>234</v>
      </c>
      <c r="J31" s="200">
        <v>54.4</v>
      </c>
      <c r="K31" s="455">
        <v>60.6</v>
      </c>
      <c r="L31" s="457">
        <v>6.2000000000000028</v>
      </c>
      <c r="M31" s="459" t="s">
        <v>234</v>
      </c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24.9</v>
      </c>
      <c r="G33" s="199">
        <v>39.299999999999997</v>
      </c>
      <c r="H33" s="457">
        <v>14.399999999999999</v>
      </c>
      <c r="I33" s="459" t="s">
        <v>236</v>
      </c>
      <c r="J33" s="200">
        <v>24.9</v>
      </c>
      <c r="K33" s="199">
        <v>47.3</v>
      </c>
      <c r="L33" s="457">
        <v>22.4</v>
      </c>
      <c r="M33" s="459" t="s">
        <v>236</v>
      </c>
      <c r="N33" s="200">
        <v>24.9</v>
      </c>
      <c r="O33" s="199">
        <v>47.3</v>
      </c>
      <c r="P33" s="457">
        <v>22.4</v>
      </c>
      <c r="Q33" s="459" t="s">
        <v>236</v>
      </c>
      <c r="R33" s="200">
        <v>24.9</v>
      </c>
      <c r="S33" s="199">
        <v>39.299999999999997</v>
      </c>
      <c r="T33" s="457">
        <v>14.399999999999999</v>
      </c>
      <c r="U33" s="459" t="s">
        <v>236</v>
      </c>
      <c r="V33" s="200">
        <v>24.9</v>
      </c>
      <c r="W33" s="199">
        <v>38.5</v>
      </c>
      <c r="X33" s="457">
        <v>13.600000000000001</v>
      </c>
      <c r="Y33" s="459" t="s">
        <v>236</v>
      </c>
    </row>
    <row r="34" spans="3:25" ht="16">
      <c r="C34" s="528"/>
      <c r="D34" s="467"/>
      <c r="E34" s="463" t="s">
        <v>104</v>
      </c>
      <c r="F34" s="198">
        <v>0.13</v>
      </c>
      <c r="G34" s="197">
        <v>0.2</v>
      </c>
      <c r="H34" s="458"/>
      <c r="I34" s="460"/>
      <c r="J34" s="198">
        <v>0.13</v>
      </c>
      <c r="K34" s="197">
        <v>0.25</v>
      </c>
      <c r="L34" s="458"/>
      <c r="M34" s="460"/>
      <c r="N34" s="198">
        <v>0.13</v>
      </c>
      <c r="O34" s="197">
        <v>0.25</v>
      </c>
      <c r="P34" s="458"/>
      <c r="Q34" s="460"/>
      <c r="R34" s="198">
        <v>0.13</v>
      </c>
      <c r="S34" s="197">
        <v>0.2</v>
      </c>
      <c r="T34" s="458"/>
      <c r="U34" s="460"/>
      <c r="V34" s="198">
        <v>0.13</v>
      </c>
      <c r="W34" s="197">
        <v>0.2</v>
      </c>
      <c r="X34" s="458"/>
      <c r="Y34" s="460"/>
    </row>
    <row r="35" spans="3:25" ht="13.5" customHeight="1">
      <c r="C35" s="528"/>
      <c r="D35" s="468"/>
      <c r="E35" s="464"/>
      <c r="F35" s="196">
        <v>32.799999999999997</v>
      </c>
      <c r="G35" s="195"/>
      <c r="H35" s="195"/>
      <c r="I35" s="194"/>
      <c r="J35" s="196">
        <v>32.799999999999997</v>
      </c>
      <c r="K35" s="195"/>
      <c r="L35" s="195"/>
      <c r="M35" s="194"/>
      <c r="N35" s="196">
        <v>32.799999999999997</v>
      </c>
      <c r="O35" s="195"/>
      <c r="P35" s="195"/>
      <c r="Q35" s="194"/>
      <c r="R35" s="196">
        <v>32.799999999999997</v>
      </c>
      <c r="S35" s="195"/>
      <c r="T35" s="195"/>
      <c r="U35" s="194"/>
      <c r="V35" s="196">
        <v>32.799999999999997</v>
      </c>
      <c r="W35" s="195"/>
      <c r="X35" s="195"/>
      <c r="Y35" s="194"/>
    </row>
    <row r="36" spans="3:25" ht="16">
      <c r="C36" s="528"/>
      <c r="D36" s="468"/>
      <c r="E36" s="465"/>
      <c r="F36" s="193">
        <v>0.16</v>
      </c>
      <c r="G36" s="192"/>
      <c r="H36" s="192"/>
      <c r="I36" s="191"/>
      <c r="J36" s="193">
        <v>0.16</v>
      </c>
      <c r="K36" s="192"/>
      <c r="L36" s="192"/>
      <c r="M36" s="191"/>
      <c r="N36" s="193">
        <v>0.16</v>
      </c>
      <c r="O36" s="192"/>
      <c r="P36" s="192"/>
      <c r="Q36" s="191"/>
      <c r="R36" s="193">
        <v>0.16</v>
      </c>
      <c r="S36" s="192"/>
      <c r="T36" s="192"/>
      <c r="U36" s="191"/>
      <c r="V36" s="193">
        <v>0.16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0.3</v>
      </c>
      <c r="H37" s="164">
        <v>-9.6999999999999993</v>
      </c>
      <c r="I37" s="189" t="s">
        <v>237</v>
      </c>
      <c r="J37" s="166">
        <v>10</v>
      </c>
      <c r="K37" s="165">
        <v>0.3</v>
      </c>
      <c r="L37" s="164">
        <v>-9.6999999999999993</v>
      </c>
      <c r="M37" s="189" t="s">
        <v>237</v>
      </c>
      <c r="N37" s="166">
        <v>10</v>
      </c>
      <c r="O37" s="165">
        <v>0.5</v>
      </c>
      <c r="P37" s="164">
        <v>-9.5</v>
      </c>
      <c r="Q37" s="189" t="s">
        <v>237</v>
      </c>
      <c r="R37" s="166">
        <v>10</v>
      </c>
      <c r="S37" s="165">
        <v>0.3</v>
      </c>
      <c r="T37" s="164">
        <v>-9.6999999999999993</v>
      </c>
      <c r="U37" s="189" t="s">
        <v>237</v>
      </c>
      <c r="V37" s="166">
        <v>10</v>
      </c>
      <c r="W37" s="165">
        <v>0.3</v>
      </c>
      <c r="X37" s="164">
        <v>-9.6999999999999993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89.3</v>
      </c>
      <c r="G38" s="187">
        <v>125.5</v>
      </c>
      <c r="H38" s="187">
        <v>36.200000000000003</v>
      </c>
      <c r="I38" s="186"/>
      <c r="J38" s="188">
        <v>89.3</v>
      </c>
      <c r="K38" s="187">
        <v>108.2</v>
      </c>
      <c r="L38" s="187">
        <v>18.900000000000002</v>
      </c>
      <c r="M38" s="186"/>
      <c r="N38" s="188">
        <v>89.3</v>
      </c>
      <c r="O38" s="187">
        <v>102.19999999999999</v>
      </c>
      <c r="P38" s="187">
        <v>12.899999999999999</v>
      </c>
      <c r="Q38" s="186"/>
      <c r="R38" s="188">
        <v>89.3</v>
      </c>
      <c r="S38" s="187">
        <v>93.999999999999986</v>
      </c>
      <c r="T38" s="187">
        <v>4.6999999999999993</v>
      </c>
      <c r="U38" s="186"/>
      <c r="V38" s="188">
        <v>89.3</v>
      </c>
      <c r="W38" s="187">
        <v>93.2</v>
      </c>
      <c r="X38" s="187">
        <v>3.9000000000000021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46035</v>
      </c>
      <c r="G40" s="470"/>
      <c r="H40" s="470"/>
      <c r="I40" s="471"/>
      <c r="J40" s="469">
        <v>46036</v>
      </c>
      <c r="K40" s="470"/>
      <c r="L40" s="470"/>
      <c r="M40" s="471"/>
      <c r="N40" s="469">
        <v>46038</v>
      </c>
      <c r="O40" s="470"/>
      <c r="P40" s="470"/>
      <c r="Q40" s="471"/>
      <c r="R40" s="432">
        <v>46039</v>
      </c>
      <c r="S40" s="433"/>
      <c r="T40" s="433"/>
      <c r="U40" s="434"/>
      <c r="V40" s="432">
        <v>46040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18.3</v>
      </c>
      <c r="G42" s="478">
        <v>18.3</v>
      </c>
      <c r="H42" s="457">
        <f>G42-F42</f>
        <v>0</v>
      </c>
      <c r="I42" s="459" t="s">
        <v>234</v>
      </c>
      <c r="J42" s="178">
        <v>0</v>
      </c>
      <c r="K42" s="478">
        <v>0</v>
      </c>
      <c r="L42" s="457">
        <f>K42-J42</f>
        <v>0</v>
      </c>
      <c r="M42" s="459"/>
      <c r="N42" s="178">
        <v>0</v>
      </c>
      <c r="O42" s="478">
        <v>0</v>
      </c>
      <c r="P42" s="457">
        <f>O42-N42</f>
        <v>0</v>
      </c>
      <c r="Q42" s="459"/>
      <c r="R42" s="178">
        <v>0</v>
      </c>
      <c r="S42" s="478">
        <v>0</v>
      </c>
      <c r="T42" s="457">
        <f>S42-R42</f>
        <v>0</v>
      </c>
      <c r="U42" s="459"/>
      <c r="V42" s="178">
        <v>0</v>
      </c>
      <c r="W42" s="478">
        <v>0</v>
      </c>
      <c r="X42" s="457">
        <f>W42-V42</f>
        <v>0</v>
      </c>
      <c r="Y42" s="459"/>
    </row>
    <row r="43" spans="3:25" ht="16.5" thickBot="1">
      <c r="C43" s="531"/>
      <c r="D43" s="475"/>
      <c r="E43" s="477"/>
      <c r="F43" s="183">
        <v>235.6</v>
      </c>
      <c r="G43" s="479"/>
      <c r="H43" s="480"/>
      <c r="I43" s="481"/>
      <c r="J43" s="183">
        <v>210.3</v>
      </c>
      <c r="K43" s="479"/>
      <c r="L43" s="480"/>
      <c r="M43" s="481"/>
      <c r="N43" s="183">
        <v>204.1</v>
      </c>
      <c r="O43" s="479"/>
      <c r="P43" s="480"/>
      <c r="Q43" s="481"/>
      <c r="R43" s="183">
        <v>192.1</v>
      </c>
      <c r="S43" s="510"/>
      <c r="T43" s="480"/>
      <c r="U43" s="532"/>
      <c r="V43" s="183">
        <v>192.1</v>
      </c>
      <c r="W43" s="510"/>
      <c r="X43" s="480"/>
      <c r="Y43" s="532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46035</v>
      </c>
      <c r="G45" s="470"/>
      <c r="H45" s="470"/>
      <c r="I45" s="471"/>
      <c r="J45" s="469">
        <v>46036</v>
      </c>
      <c r="K45" s="470"/>
      <c r="L45" s="470"/>
      <c r="M45" s="471"/>
      <c r="N45" s="469">
        <v>46038</v>
      </c>
      <c r="O45" s="470"/>
      <c r="P45" s="470"/>
      <c r="Q45" s="471"/>
      <c r="R45" s="432">
        <v>46039</v>
      </c>
      <c r="S45" s="433"/>
      <c r="T45" s="433"/>
      <c r="U45" s="434"/>
      <c r="V45" s="432">
        <v>46040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39.1</v>
      </c>
      <c r="G47" s="478">
        <v>43.5</v>
      </c>
      <c r="H47" s="457">
        <f>G47-F47</f>
        <v>4.3999999999999986</v>
      </c>
      <c r="I47" s="459" t="s">
        <v>235</v>
      </c>
      <c r="J47" s="178">
        <v>39.1</v>
      </c>
      <c r="K47" s="478">
        <v>41.4</v>
      </c>
      <c r="L47" s="457">
        <v>2.2999999999999972</v>
      </c>
      <c r="M47" s="459" t="s">
        <v>235</v>
      </c>
      <c r="N47" s="178">
        <v>39.1</v>
      </c>
      <c r="O47" s="478">
        <v>43.1</v>
      </c>
      <c r="P47" s="457">
        <v>4</v>
      </c>
      <c r="Q47" s="459" t="s">
        <v>235</v>
      </c>
      <c r="R47" s="178">
        <v>39.1</v>
      </c>
      <c r="S47" s="478">
        <v>45.5</v>
      </c>
      <c r="T47" s="457">
        <v>6.3999999999999986</v>
      </c>
      <c r="U47" s="459" t="s">
        <v>235</v>
      </c>
      <c r="V47" s="178">
        <v>39.1</v>
      </c>
      <c r="W47" s="478">
        <v>43.5</v>
      </c>
      <c r="X47" s="457">
        <f>W47-V47</f>
        <v>4.3999999999999986</v>
      </c>
      <c r="Y47" s="459" t="s">
        <v>235</v>
      </c>
    </row>
    <row r="48" spans="3:25" ht="16.5" thickBot="1">
      <c r="C48" s="533"/>
      <c r="D48" s="487"/>
      <c r="E48" s="489"/>
      <c r="F48" s="177">
        <v>0.57999999999999996</v>
      </c>
      <c r="G48" s="479"/>
      <c r="H48" s="480"/>
      <c r="I48" s="481"/>
      <c r="J48" s="177">
        <v>0.57999999999999996</v>
      </c>
      <c r="K48" s="479"/>
      <c r="L48" s="480"/>
      <c r="M48" s="481"/>
      <c r="N48" s="177">
        <v>0.57999999999999996</v>
      </c>
      <c r="O48" s="479"/>
      <c r="P48" s="480"/>
      <c r="Q48" s="481"/>
      <c r="R48" s="177">
        <v>0.57999999999999996</v>
      </c>
      <c r="S48" s="510"/>
      <c r="T48" s="511"/>
      <c r="U48" s="532"/>
      <c r="V48" s="177">
        <v>0.57999999999999996</v>
      </c>
      <c r="W48" s="510"/>
      <c r="X48" s="480"/>
      <c r="Y48" s="532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46035</v>
      </c>
      <c r="G50" s="470"/>
      <c r="H50" s="470"/>
      <c r="I50" s="471"/>
      <c r="J50" s="469">
        <v>46036</v>
      </c>
      <c r="K50" s="470"/>
      <c r="L50" s="470"/>
      <c r="M50" s="471"/>
      <c r="N50" s="469">
        <v>46038</v>
      </c>
      <c r="O50" s="470"/>
      <c r="P50" s="470"/>
      <c r="Q50" s="471"/>
      <c r="R50" s="432">
        <v>46039</v>
      </c>
      <c r="S50" s="433"/>
      <c r="T50" s="433"/>
      <c r="U50" s="434"/>
      <c r="V50" s="432">
        <v>46040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27.8</v>
      </c>
      <c r="H53" s="159" t="s">
        <v>81</v>
      </c>
      <c r="I53" s="158" t="s">
        <v>241</v>
      </c>
      <c r="J53" s="161">
        <v>0</v>
      </c>
      <c r="K53" s="160">
        <v>27.7</v>
      </c>
      <c r="L53" s="159" t="s">
        <v>81</v>
      </c>
      <c r="M53" s="158" t="s">
        <v>241</v>
      </c>
      <c r="N53" s="161">
        <v>0</v>
      </c>
      <c r="O53" s="160">
        <v>27.2</v>
      </c>
      <c r="P53" s="159" t="s">
        <v>81</v>
      </c>
      <c r="Q53" s="158" t="s">
        <v>241</v>
      </c>
      <c r="R53" s="161">
        <v>0</v>
      </c>
      <c r="S53" s="160">
        <v>26.8</v>
      </c>
      <c r="T53" s="159" t="s">
        <v>81</v>
      </c>
      <c r="U53" s="158" t="s">
        <v>241</v>
      </c>
      <c r="V53" s="161">
        <v>0</v>
      </c>
      <c r="W53" s="160">
        <v>26.6</v>
      </c>
      <c r="X53" s="159" t="s">
        <v>81</v>
      </c>
      <c r="Y53" s="158" t="s">
        <v>241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&amp;"メイリオ,ボールド"&amp;22日別の優先給電ルールに基づく抑制、調整状況（2026年1月）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FE9B-0D30-4C6A-8978-CC382CCB09D5}">
  <sheetPr>
    <pageSetUpPr fitToPage="1"/>
  </sheetPr>
  <dimension ref="A1:Y57"/>
  <sheetViews>
    <sheetView showGridLines="0" view="pageBreakPreview" topLeftCell="A20" zoomScale="70" zoomScaleNormal="55" zoomScaleSheetLayoutView="70" zoomScalePageLayoutView="55" workbookViewId="0">
      <selection activeCell="J45" sqref="J45:M45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0" t="s">
        <v>143</v>
      </c>
      <c r="U2" s="220"/>
      <c r="Y2" s="220"/>
    </row>
    <row r="3" spans="3:25" ht="16.5" thickBot="1">
      <c r="C3" s="514" t="s">
        <v>142</v>
      </c>
      <c r="D3" s="430"/>
      <c r="E3" s="431"/>
      <c r="F3" s="515">
        <v>46047</v>
      </c>
      <c r="G3" s="516"/>
      <c r="H3" s="516"/>
      <c r="I3" s="517"/>
      <c r="J3" s="515">
        <v>46052</v>
      </c>
      <c r="K3" s="516"/>
      <c r="L3" s="516"/>
      <c r="M3" s="517"/>
      <c r="N3" s="515">
        <v>46052</v>
      </c>
      <c r="O3" s="516"/>
      <c r="P3" s="516"/>
      <c r="Q3" s="517"/>
      <c r="U3" s="1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242</v>
      </c>
      <c r="P4" s="180" t="s">
        <v>85</v>
      </c>
      <c r="Q4" s="179" t="s">
        <v>92</v>
      </c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63.6</v>
      </c>
      <c r="P5" s="164">
        <f>O5-N5</f>
        <v>30.9</v>
      </c>
      <c r="Q5" s="219" t="s">
        <v>243</v>
      </c>
      <c r="U5" s="1"/>
      <c r="Y5" s="1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30.5</v>
      </c>
      <c r="P6" s="164">
        <f>O6-N6</f>
        <v>13</v>
      </c>
      <c r="Q6" s="219" t="s">
        <v>243</v>
      </c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U7" s="1"/>
      <c r="Y7" s="1"/>
    </row>
    <row r="8" spans="3:25" ht="16">
      <c r="C8" s="520"/>
      <c r="D8" s="426"/>
      <c r="E8" s="218" t="s">
        <v>133</v>
      </c>
      <c r="F8" s="166">
        <v>57.7</v>
      </c>
      <c r="G8" s="216">
        <v>57.7</v>
      </c>
      <c r="H8" s="215">
        <v>0</v>
      </c>
      <c r="I8" s="214"/>
      <c r="J8" s="166">
        <v>61.800000000000004</v>
      </c>
      <c r="K8" s="216">
        <v>61.800000000000004</v>
      </c>
      <c r="L8" s="215">
        <v>0</v>
      </c>
      <c r="M8" s="214"/>
      <c r="N8" s="217">
        <v>61.800000000000004</v>
      </c>
      <c r="O8" s="216">
        <v>51.5</v>
      </c>
      <c r="P8" s="215">
        <f>O8-N8</f>
        <v>-10.300000000000004</v>
      </c>
      <c r="Q8" s="326" t="s">
        <v>235</v>
      </c>
      <c r="U8" s="1"/>
      <c r="Y8" s="1"/>
    </row>
    <row r="9" spans="3:25" ht="16.5" thickBot="1">
      <c r="C9" s="521"/>
      <c r="D9" s="427" t="s">
        <v>101</v>
      </c>
      <c r="E9" s="428"/>
      <c r="F9" s="188">
        <f>SUM(F5:F8)</f>
        <v>107.9</v>
      </c>
      <c r="G9" s="188">
        <f>SUM(G5:G8)</f>
        <v>107.9</v>
      </c>
      <c r="H9" s="187">
        <v>0</v>
      </c>
      <c r="I9" s="213" t="s">
        <v>81</v>
      </c>
      <c r="J9" s="188">
        <f>SUM(J5:J8)</f>
        <v>112</v>
      </c>
      <c r="K9" s="188">
        <f>SUM(K5:K8)</f>
        <v>112</v>
      </c>
      <c r="L9" s="187">
        <v>0</v>
      </c>
      <c r="M9" s="213" t="s">
        <v>81</v>
      </c>
      <c r="N9" s="188">
        <f>SUM(N5:N8)</f>
        <v>112</v>
      </c>
      <c r="O9" s="188">
        <f>SUM(O5:O8)</f>
        <v>145.6</v>
      </c>
      <c r="P9" s="187">
        <v>0</v>
      </c>
      <c r="Q9" s="213" t="s">
        <v>81</v>
      </c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3"/>
      <c r="U10" s="1"/>
      <c r="Y10" s="1"/>
    </row>
    <row r="11" spans="3:25" ht="16.5" thickBot="1">
      <c r="C11" s="514" t="s">
        <v>132</v>
      </c>
      <c r="D11" s="430"/>
      <c r="E11" s="431"/>
      <c r="F11" s="432">
        <v>46047</v>
      </c>
      <c r="G11" s="433"/>
      <c r="H11" s="433"/>
      <c r="I11" s="434"/>
      <c r="J11" s="432">
        <v>46052</v>
      </c>
      <c r="K11" s="433"/>
      <c r="L11" s="433"/>
      <c r="M11" s="434"/>
      <c r="N11" s="432">
        <v>46052</v>
      </c>
      <c r="O11" s="433"/>
      <c r="P11" s="433"/>
      <c r="Q11" s="434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212"/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231</v>
      </c>
      <c r="J14" s="166">
        <v>-26.1</v>
      </c>
      <c r="K14" s="165">
        <v>0</v>
      </c>
      <c r="L14" s="164">
        <v>26.1</v>
      </c>
      <c r="M14" s="189" t="s">
        <v>231</v>
      </c>
      <c r="N14" s="166">
        <v>-26.1</v>
      </c>
      <c r="O14" s="165">
        <v>0</v>
      </c>
      <c r="P14" s="164">
        <v>26.1</v>
      </c>
      <c r="Q14" s="212" t="s">
        <v>231</v>
      </c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212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212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U20" s="1"/>
      <c r="Y20" s="1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3"/>
      <c r="U22" s="1"/>
      <c r="Y22" s="1"/>
    </row>
    <row r="23" spans="3:25" ht="16.5" thickBot="1">
      <c r="C23" s="514" t="s">
        <v>120</v>
      </c>
      <c r="D23" s="430"/>
      <c r="E23" s="431"/>
      <c r="F23" s="432">
        <v>46047</v>
      </c>
      <c r="G23" s="433"/>
      <c r="H23" s="433"/>
      <c r="I23" s="434"/>
      <c r="J23" s="432">
        <v>46052</v>
      </c>
      <c r="K23" s="433"/>
      <c r="L23" s="433"/>
      <c r="M23" s="434"/>
      <c r="N23" s="432">
        <v>46052</v>
      </c>
      <c r="O23" s="433"/>
      <c r="P23" s="433"/>
      <c r="Q23" s="434"/>
      <c r="U23" s="1"/>
      <c r="Y23" s="1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0</v>
      </c>
      <c r="H25" s="207">
        <v>5</v>
      </c>
      <c r="I25" s="206" t="s">
        <v>231</v>
      </c>
      <c r="J25" s="209">
        <v>-5</v>
      </c>
      <c r="K25" s="208">
        <v>0</v>
      </c>
      <c r="L25" s="207">
        <v>5</v>
      </c>
      <c r="M25" s="206" t="s">
        <v>231</v>
      </c>
      <c r="N25" s="209">
        <v>-5</v>
      </c>
      <c r="O25" s="208">
        <v>0</v>
      </c>
      <c r="P25" s="207">
        <v>5</v>
      </c>
      <c r="Q25" s="212" t="s">
        <v>231</v>
      </c>
      <c r="U25" s="1"/>
      <c r="Y25" s="1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3"/>
      <c r="U26" s="1"/>
      <c r="Y26" s="1"/>
    </row>
    <row r="27" spans="3:25" ht="16.5" thickBot="1">
      <c r="C27" s="514" t="s">
        <v>116</v>
      </c>
      <c r="D27" s="430"/>
      <c r="E27" s="431"/>
      <c r="F27" s="432">
        <v>46047</v>
      </c>
      <c r="G27" s="433"/>
      <c r="H27" s="433"/>
      <c r="I27" s="434"/>
      <c r="J27" s="432">
        <v>46052</v>
      </c>
      <c r="K27" s="433"/>
      <c r="L27" s="433"/>
      <c r="M27" s="434"/>
      <c r="N27" s="432">
        <v>46052</v>
      </c>
      <c r="O27" s="433"/>
      <c r="P27" s="433"/>
      <c r="Q27" s="434"/>
      <c r="U27" s="1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U29" s="1"/>
      <c r="Y29" s="1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U30" s="1"/>
      <c r="Y30" s="1"/>
    </row>
    <row r="31" spans="3:25" ht="16">
      <c r="C31" s="528"/>
      <c r="D31" s="443"/>
      <c r="E31" s="453" t="s">
        <v>109</v>
      </c>
      <c r="F31" s="200">
        <v>54.4</v>
      </c>
      <c r="G31" s="455">
        <v>56.1</v>
      </c>
      <c r="H31" s="457">
        <v>1.7000000000000028</v>
      </c>
      <c r="I31" s="459" t="s">
        <v>234</v>
      </c>
      <c r="J31" s="200">
        <v>54.4</v>
      </c>
      <c r="K31" s="455">
        <v>102.2</v>
      </c>
      <c r="L31" s="457">
        <v>47.800000000000004</v>
      </c>
      <c r="M31" s="459" t="s">
        <v>244</v>
      </c>
      <c r="N31" s="200">
        <v>54.4</v>
      </c>
      <c r="O31" s="455">
        <v>102.2</v>
      </c>
      <c r="P31" s="457">
        <f>O31-N31</f>
        <v>47.800000000000004</v>
      </c>
      <c r="Q31" s="459" t="s">
        <v>243</v>
      </c>
      <c r="U31" s="1"/>
      <c r="Y31" s="1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24.9</v>
      </c>
      <c r="G33" s="199">
        <v>39.299999999999997</v>
      </c>
      <c r="H33" s="457">
        <v>14.399999999999999</v>
      </c>
      <c r="I33" s="459" t="s">
        <v>236</v>
      </c>
      <c r="J33" s="200">
        <v>24.9</v>
      </c>
      <c r="K33" s="199">
        <v>57.3</v>
      </c>
      <c r="L33" s="537">
        <v>32.4</v>
      </c>
      <c r="M33" s="459" t="s">
        <v>244</v>
      </c>
      <c r="N33" s="333">
        <v>24.9</v>
      </c>
      <c r="O33" s="334">
        <v>57.3</v>
      </c>
      <c r="P33" s="537">
        <v>32.4</v>
      </c>
      <c r="Q33" s="459" t="s">
        <v>243</v>
      </c>
      <c r="U33" s="1"/>
      <c r="Y33" s="1"/>
    </row>
    <row r="34" spans="3:25" ht="16">
      <c r="C34" s="528"/>
      <c r="D34" s="467"/>
      <c r="E34" s="463" t="s">
        <v>104</v>
      </c>
      <c r="F34" s="198">
        <v>0.13</v>
      </c>
      <c r="G34" s="197">
        <v>0.2</v>
      </c>
      <c r="H34" s="458"/>
      <c r="I34" s="460"/>
      <c r="J34" s="198">
        <v>0.13</v>
      </c>
      <c r="K34" s="197">
        <v>0.3</v>
      </c>
      <c r="L34" s="538"/>
      <c r="M34" s="460"/>
      <c r="N34" s="335">
        <v>0.13</v>
      </c>
      <c r="O34" s="336">
        <v>0.3</v>
      </c>
      <c r="P34" s="538"/>
      <c r="Q34" s="540"/>
      <c r="U34" s="1"/>
      <c r="Y34" s="1"/>
    </row>
    <row r="35" spans="3:25" ht="13.5" customHeight="1">
      <c r="C35" s="528"/>
      <c r="D35" s="468"/>
      <c r="E35" s="464"/>
      <c r="F35" s="196">
        <v>32.799999999999997</v>
      </c>
      <c r="G35" s="195"/>
      <c r="H35" s="195"/>
      <c r="I35" s="194"/>
      <c r="J35" s="196">
        <v>32.799999999999997</v>
      </c>
      <c r="K35" s="195"/>
      <c r="L35" s="195"/>
      <c r="M35" s="194"/>
      <c r="N35" s="337">
        <v>32.799999999999997</v>
      </c>
      <c r="O35" s="338"/>
      <c r="P35" s="338"/>
      <c r="Q35" s="339"/>
      <c r="U35" s="1"/>
      <c r="Y35" s="1"/>
    </row>
    <row r="36" spans="3:25" ht="16">
      <c r="C36" s="528"/>
      <c r="D36" s="468"/>
      <c r="E36" s="465"/>
      <c r="F36" s="193">
        <v>0.16</v>
      </c>
      <c r="G36" s="192"/>
      <c r="H36" s="192"/>
      <c r="I36" s="191"/>
      <c r="J36" s="193">
        <v>0.16</v>
      </c>
      <c r="K36" s="192"/>
      <c r="L36" s="192"/>
      <c r="M36" s="191"/>
      <c r="N36" s="341">
        <v>0.16</v>
      </c>
      <c r="O36" s="342"/>
      <c r="P36" s="342"/>
      <c r="Q36" s="343"/>
      <c r="U36" s="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0.3</v>
      </c>
      <c r="H37" s="164">
        <v>-9.6999999999999993</v>
      </c>
      <c r="I37" s="347" t="s">
        <v>237</v>
      </c>
      <c r="J37" s="166">
        <v>10</v>
      </c>
      <c r="K37" s="165">
        <v>0.5</v>
      </c>
      <c r="L37" s="164">
        <v>-9.5</v>
      </c>
      <c r="M37" s="347" t="s">
        <v>237</v>
      </c>
      <c r="N37" s="345">
        <v>10</v>
      </c>
      <c r="O37" s="323">
        <v>0.5</v>
      </c>
      <c r="P37" s="346">
        <v>-9.5</v>
      </c>
      <c r="Q37" s="347" t="s">
        <v>237</v>
      </c>
      <c r="U37" s="1"/>
      <c r="Y37" s="1"/>
    </row>
    <row r="38" spans="3:25" ht="16.5" thickBot="1">
      <c r="C38" s="529"/>
      <c r="D38" s="427" t="s">
        <v>101</v>
      </c>
      <c r="E38" s="428"/>
      <c r="F38" s="188">
        <v>89.3</v>
      </c>
      <c r="G38" s="187">
        <v>95.7</v>
      </c>
      <c r="H38" s="187">
        <v>6.4000000000000021</v>
      </c>
      <c r="I38" s="186"/>
      <c r="J38" s="188">
        <v>89.3</v>
      </c>
      <c r="K38" s="187">
        <f>K29+K31+K33+K37</f>
        <v>160</v>
      </c>
      <c r="L38" s="187">
        <f>L29+L31+L33+L37</f>
        <v>70.7</v>
      </c>
      <c r="M38" s="186"/>
      <c r="N38" s="188">
        <v>89.3</v>
      </c>
      <c r="O38" s="187">
        <f>O31+O33+O37</f>
        <v>160</v>
      </c>
      <c r="P38" s="187">
        <f>P29+P31+P33+P37</f>
        <v>70.7</v>
      </c>
      <c r="Q38" s="186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3"/>
      <c r="U39" s="1"/>
      <c r="Y39" s="1"/>
    </row>
    <row r="40" spans="3:25" ht="16.5" thickBot="1">
      <c r="C40" s="514" t="s">
        <v>100</v>
      </c>
      <c r="D40" s="430"/>
      <c r="E40" s="431"/>
      <c r="F40" s="469">
        <v>46047</v>
      </c>
      <c r="G40" s="470"/>
      <c r="H40" s="470"/>
      <c r="I40" s="471"/>
      <c r="J40" s="469">
        <v>46052</v>
      </c>
      <c r="K40" s="470"/>
      <c r="L40" s="470"/>
      <c r="M40" s="471"/>
      <c r="N40" s="469">
        <v>46052</v>
      </c>
      <c r="O40" s="470"/>
      <c r="P40" s="470"/>
      <c r="Q40" s="47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U41" s="1"/>
      <c r="Y41" s="1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f>G42-F42</f>
        <v>0</v>
      </c>
      <c r="I42" s="459"/>
      <c r="J42" s="178">
        <v>0.7</v>
      </c>
      <c r="K42" s="478">
        <v>0</v>
      </c>
      <c r="L42" s="457">
        <f>K42-J42</f>
        <v>-0.7</v>
      </c>
      <c r="M42" s="459" t="s">
        <v>244</v>
      </c>
      <c r="N42" s="348">
        <v>3.1</v>
      </c>
      <c r="O42" s="541">
        <v>0</v>
      </c>
      <c r="P42" s="457">
        <f>O42-N42</f>
        <v>-3.1</v>
      </c>
      <c r="Q42" s="539" t="s">
        <v>243</v>
      </c>
      <c r="U42" s="1"/>
      <c r="Y42" s="1"/>
    </row>
    <row r="43" spans="3:25" ht="16.5" thickBot="1">
      <c r="C43" s="531"/>
      <c r="D43" s="475"/>
      <c r="E43" s="477"/>
      <c r="F43" s="183">
        <v>214</v>
      </c>
      <c r="G43" s="479"/>
      <c r="H43" s="480"/>
      <c r="I43" s="481"/>
      <c r="J43" s="183">
        <v>258</v>
      </c>
      <c r="K43" s="479"/>
      <c r="L43" s="480"/>
      <c r="M43" s="481"/>
      <c r="N43" s="349">
        <v>258</v>
      </c>
      <c r="O43" s="542"/>
      <c r="P43" s="480"/>
      <c r="Q43" s="547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3"/>
      <c r="U44" s="1"/>
      <c r="Y44" s="1"/>
    </row>
    <row r="45" spans="3:25" ht="16.5" thickBot="1">
      <c r="C45" s="514" t="s">
        <v>94</v>
      </c>
      <c r="D45" s="430"/>
      <c r="E45" s="431"/>
      <c r="F45" s="469">
        <v>46047</v>
      </c>
      <c r="G45" s="470"/>
      <c r="H45" s="470"/>
      <c r="I45" s="471"/>
      <c r="J45" s="469">
        <v>46052</v>
      </c>
      <c r="K45" s="470"/>
      <c r="L45" s="470"/>
      <c r="M45" s="471"/>
      <c r="N45" s="469">
        <v>46052</v>
      </c>
      <c r="O45" s="470"/>
      <c r="P45" s="470"/>
      <c r="Q45" s="47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U46" s="1"/>
      <c r="Y46" s="1"/>
    </row>
    <row r="47" spans="3:25" ht="16">
      <c r="C47" s="525"/>
      <c r="D47" s="483"/>
      <c r="E47" s="488" t="s">
        <v>91</v>
      </c>
      <c r="F47" s="178">
        <v>30</v>
      </c>
      <c r="G47" s="478">
        <v>33</v>
      </c>
      <c r="H47" s="457">
        <f>G47-F47</f>
        <v>3</v>
      </c>
      <c r="I47" s="459" t="s">
        <v>235</v>
      </c>
      <c r="J47" s="178">
        <v>36.6</v>
      </c>
      <c r="K47" s="478">
        <v>56.8</v>
      </c>
      <c r="L47" s="457">
        <f>K47-J47</f>
        <v>20.199999999999996</v>
      </c>
      <c r="M47" s="459" t="s">
        <v>244</v>
      </c>
      <c r="N47" s="178">
        <v>36.6</v>
      </c>
      <c r="O47" s="478">
        <v>56.8</v>
      </c>
      <c r="P47" s="457">
        <f>O47-N47</f>
        <v>20.199999999999996</v>
      </c>
      <c r="Q47" s="459" t="s">
        <v>243</v>
      </c>
      <c r="U47" s="1"/>
      <c r="Y47" s="1"/>
    </row>
    <row r="48" spans="3:25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0.55000000000000004</v>
      </c>
      <c r="K48" s="479"/>
      <c r="L48" s="480"/>
      <c r="M48" s="481"/>
      <c r="N48" s="177">
        <v>0.55000000000000004</v>
      </c>
      <c r="O48" s="479"/>
      <c r="P48" s="480"/>
      <c r="Q48" s="48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3"/>
      <c r="U49" s="1"/>
      <c r="Y49" s="1"/>
    </row>
    <row r="50" spans="1:25" ht="16.5" thickBot="1">
      <c r="C50" s="514" t="s">
        <v>89</v>
      </c>
      <c r="D50" s="430"/>
      <c r="E50" s="431"/>
      <c r="F50" s="469">
        <v>46047</v>
      </c>
      <c r="G50" s="470"/>
      <c r="H50" s="470"/>
      <c r="I50" s="471"/>
      <c r="J50" s="469">
        <v>46052</v>
      </c>
      <c r="K50" s="470"/>
      <c r="L50" s="470"/>
      <c r="M50" s="471"/>
      <c r="N50" s="469">
        <v>46052</v>
      </c>
      <c r="O50" s="470"/>
      <c r="P50" s="470"/>
      <c r="Q50" s="47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160">
        <v>27.7</v>
      </c>
      <c r="H53" s="159" t="s">
        <v>81</v>
      </c>
      <c r="I53" s="158" t="s">
        <v>241</v>
      </c>
      <c r="J53" s="161">
        <v>0</v>
      </c>
      <c r="K53" s="160">
        <v>27.6</v>
      </c>
      <c r="L53" s="159" t="s">
        <v>81</v>
      </c>
      <c r="M53" s="158" t="s">
        <v>241</v>
      </c>
      <c r="N53" s="161">
        <v>0</v>
      </c>
      <c r="O53" s="358">
        <v>29</v>
      </c>
      <c r="P53" s="159" t="s">
        <v>81</v>
      </c>
      <c r="Q53" s="158" t="s">
        <v>241</v>
      </c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  <c r="R56" s="23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</sheetData>
  <mergeCells count="93">
    <mergeCell ref="C51:D53"/>
    <mergeCell ref="L47:L48"/>
    <mergeCell ref="M47:M48"/>
    <mergeCell ref="O47:O48"/>
    <mergeCell ref="P47:P48"/>
    <mergeCell ref="Q47:Q48"/>
    <mergeCell ref="C50:E50"/>
    <mergeCell ref="F50:I50"/>
    <mergeCell ref="J50:M50"/>
    <mergeCell ref="N50:Q50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Q33:Q34"/>
    <mergeCell ref="E34:E36"/>
    <mergeCell ref="D38:E38"/>
    <mergeCell ref="C40:E40"/>
    <mergeCell ref="F40:I40"/>
    <mergeCell ref="J40:M40"/>
    <mergeCell ref="N40:Q40"/>
    <mergeCell ref="M31:M32"/>
    <mergeCell ref="O31:O32"/>
    <mergeCell ref="P31:P32"/>
    <mergeCell ref="Q31:Q32"/>
    <mergeCell ref="D33:D37"/>
    <mergeCell ref="H33:H34"/>
    <mergeCell ref="I33:I34"/>
    <mergeCell ref="L33:L34"/>
    <mergeCell ref="M33:M34"/>
    <mergeCell ref="P33:P34"/>
    <mergeCell ref="E31:E32"/>
    <mergeCell ref="G31:G32"/>
    <mergeCell ref="H31:H32"/>
    <mergeCell ref="I31:I32"/>
    <mergeCell ref="K31:K32"/>
    <mergeCell ref="L31:L32"/>
    <mergeCell ref="Q29:Q30"/>
    <mergeCell ref="C27:E27"/>
    <mergeCell ref="F27:I27"/>
    <mergeCell ref="J27:M27"/>
    <mergeCell ref="N27:Q27"/>
    <mergeCell ref="C28:C38"/>
    <mergeCell ref="D29:D32"/>
    <mergeCell ref="E29:E30"/>
    <mergeCell ref="G29:G30"/>
    <mergeCell ref="H29:H30"/>
    <mergeCell ref="I29:I30"/>
    <mergeCell ref="K29:K30"/>
    <mergeCell ref="L29:L30"/>
    <mergeCell ref="M29:M30"/>
    <mergeCell ref="O29:O30"/>
    <mergeCell ref="P29:P30"/>
    <mergeCell ref="C23:E23"/>
    <mergeCell ref="F23:I23"/>
    <mergeCell ref="J23:M23"/>
    <mergeCell ref="N23:Q23"/>
    <mergeCell ref="C24:D25"/>
    <mergeCell ref="E24:E25"/>
    <mergeCell ref="C11:E11"/>
    <mergeCell ref="F11:I11"/>
    <mergeCell ref="J11:M11"/>
    <mergeCell ref="N11:Q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orientation="landscape" r:id="rId1"/>
  <headerFooter>
    <oddHeader>&amp;L&amp;"メイリオ,レギュラー"
　&amp;"メイリオ,ボールド"&amp;22日別の優先給電ルールに基づく抑制、調整状況（2026年1月）</oddHeader>
    <oddFooter>&amp;R&amp;"メイリオ,レギュラー"&amp;14九州電力送配電株式会社</oddFooter>
  </headerFooter>
  <colBreaks count="1" manualBreakCount="1">
    <brk id="25" max="1048575" man="1"/>
  </col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C18C-BBED-42FE-BE4F-7A7DA78655FE}">
  <dimension ref="B1:O69"/>
  <sheetViews>
    <sheetView showGridLines="0" view="pageBreakPreview" zoomScale="70" zoomScaleNormal="70" zoomScaleSheetLayoutView="70" zoomScalePageLayoutView="85" workbookViewId="0">
      <selection activeCell="I43" sqref="I4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M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46056</v>
      </c>
      <c r="G3" s="26" t="s">
        <v>48</v>
      </c>
      <c r="H3" s="115">
        <v>46060</v>
      </c>
      <c r="I3" s="26" t="s">
        <v>48</v>
      </c>
      <c r="J3" s="115">
        <v>46065</v>
      </c>
      <c r="K3" s="26" t="s">
        <v>48</v>
      </c>
      <c r="L3" s="115">
        <v>46066</v>
      </c>
      <c r="M3" s="26" t="s">
        <v>48</v>
      </c>
      <c r="N3" s="115">
        <v>46068</v>
      </c>
      <c r="O3" s="26" t="s">
        <v>71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109.9</v>
      </c>
      <c r="G5" s="384" t="s">
        <v>45</v>
      </c>
      <c r="H5" s="120">
        <v>107.9</v>
      </c>
      <c r="I5" s="384" t="s">
        <v>45</v>
      </c>
      <c r="J5" s="120">
        <v>103.3</v>
      </c>
      <c r="K5" s="384" t="s">
        <v>45</v>
      </c>
      <c r="L5" s="120">
        <v>87.4</v>
      </c>
      <c r="M5" s="384" t="s">
        <v>45</v>
      </c>
      <c r="N5" s="120">
        <v>83.6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109.8</v>
      </c>
      <c r="G6" s="385"/>
      <c r="H6" s="123">
        <v>94</v>
      </c>
      <c r="I6" s="385"/>
      <c r="J6" s="123">
        <v>192.7</v>
      </c>
      <c r="K6" s="385"/>
      <c r="L6" s="123">
        <v>167.8</v>
      </c>
      <c r="M6" s="385"/>
      <c r="N6" s="123">
        <v>98.9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323.39999999999998</v>
      </c>
      <c r="G7" s="385"/>
      <c r="H7" s="126">
        <v>323.5</v>
      </c>
      <c r="I7" s="385"/>
      <c r="J7" s="126">
        <v>323.2</v>
      </c>
      <c r="K7" s="385"/>
      <c r="L7" s="126">
        <v>320.60000000000002</v>
      </c>
      <c r="M7" s="385"/>
      <c r="N7" s="126">
        <v>322.7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17.500000000000227</v>
      </c>
      <c r="G8" s="385"/>
      <c r="H8" s="129">
        <v>12.8</v>
      </c>
      <c r="I8" s="385"/>
      <c r="J8" s="129">
        <v>16.100000000000001</v>
      </c>
      <c r="K8" s="385"/>
      <c r="L8" s="129">
        <v>17.3</v>
      </c>
      <c r="M8" s="385"/>
      <c r="N8" s="129">
        <v>15.1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17</v>
      </c>
      <c r="G9" s="385"/>
      <c r="H9" s="131">
        <v>16.899999999999999</v>
      </c>
      <c r="I9" s="385"/>
      <c r="J9" s="131">
        <v>16.899999999999999</v>
      </c>
      <c r="K9" s="385"/>
      <c r="L9" s="131">
        <v>16.899999999999999</v>
      </c>
      <c r="M9" s="385"/>
      <c r="N9" s="131">
        <v>16.899999999999999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34.5</v>
      </c>
      <c r="G10" s="385"/>
      <c r="H10" s="133">
        <v>44.5</v>
      </c>
      <c r="I10" s="385"/>
      <c r="J10" s="133">
        <v>41.8</v>
      </c>
      <c r="K10" s="385"/>
      <c r="L10" s="133">
        <v>40.200000000000003</v>
      </c>
      <c r="M10" s="385"/>
      <c r="N10" s="133">
        <v>44.5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24.1</v>
      </c>
      <c r="G11" s="385"/>
      <c r="H11" s="135">
        <v>26.3</v>
      </c>
      <c r="I11" s="385"/>
      <c r="J11" s="135">
        <v>29.4</v>
      </c>
      <c r="K11" s="385"/>
      <c r="L11" s="135">
        <v>26.3</v>
      </c>
      <c r="M11" s="385"/>
      <c r="N11" s="135">
        <v>27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988</v>
      </c>
      <c r="G12" s="385"/>
      <c r="H12" s="137">
        <v>870.2</v>
      </c>
      <c r="I12" s="385"/>
      <c r="J12" s="137">
        <v>1008.8</v>
      </c>
      <c r="K12" s="385"/>
      <c r="L12" s="137">
        <v>993.7</v>
      </c>
      <c r="M12" s="385"/>
      <c r="N12" s="137">
        <v>710.7</v>
      </c>
      <c r="O12" s="385"/>
    </row>
    <row r="13" spans="2:15" ht="16">
      <c r="B13" s="376"/>
      <c r="C13" s="379"/>
      <c r="D13" s="388"/>
      <c r="E13" s="45" t="s">
        <v>27</v>
      </c>
      <c r="F13" s="137">
        <v>14.6</v>
      </c>
      <c r="G13" s="385"/>
      <c r="H13" s="137">
        <v>50.8</v>
      </c>
      <c r="I13" s="385"/>
      <c r="J13" s="137">
        <v>24.1</v>
      </c>
      <c r="K13" s="385"/>
      <c r="L13" s="137">
        <v>28.5</v>
      </c>
      <c r="M13" s="385"/>
      <c r="N13" s="137">
        <v>17.2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74</v>
      </c>
      <c r="G14" s="385"/>
      <c r="H14" s="139">
        <v>142</v>
      </c>
      <c r="I14" s="385"/>
      <c r="J14" s="139">
        <v>74</v>
      </c>
      <c r="K14" s="385"/>
      <c r="L14" s="139">
        <v>74</v>
      </c>
      <c r="M14" s="385"/>
      <c r="N14" s="139">
        <v>236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1712.8000000000002</v>
      </c>
      <c r="G15" s="385"/>
      <c r="H15" s="108">
        <v>1688.8999999999999</v>
      </c>
      <c r="I15" s="385"/>
      <c r="J15" s="108">
        <v>1830.2999999999997</v>
      </c>
      <c r="K15" s="385"/>
      <c r="L15" s="108">
        <v>1772.7</v>
      </c>
      <c r="M15" s="385"/>
      <c r="N15" s="108">
        <v>1572.6000000000001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1125</v>
      </c>
      <c r="G16" s="385"/>
      <c r="H16" s="320">
        <v>1025</v>
      </c>
      <c r="I16" s="385"/>
      <c r="J16" s="320">
        <v>1025</v>
      </c>
      <c r="K16" s="385"/>
      <c r="L16" s="320">
        <v>1015</v>
      </c>
      <c r="M16" s="385"/>
      <c r="N16" s="320">
        <v>824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  <c r="N17" s="145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5"/>
      <c r="H18" s="111">
        <v>0</v>
      </c>
      <c r="I18" s="385"/>
      <c r="J18" s="111">
        <v>0</v>
      </c>
      <c r="K18" s="385"/>
      <c r="L18" s="111">
        <v>0</v>
      </c>
      <c r="M18" s="385"/>
      <c r="N18" s="111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-239.2</v>
      </c>
      <c r="G19" s="385"/>
      <c r="H19" s="148">
        <v>-205</v>
      </c>
      <c r="I19" s="385"/>
      <c r="J19" s="148">
        <v>-256</v>
      </c>
      <c r="K19" s="385"/>
      <c r="L19" s="148">
        <v>-217.5</v>
      </c>
      <c r="M19" s="385"/>
      <c r="N19" s="148">
        <v>-146.30000000000001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-24.8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1591.3</v>
      </c>
      <c r="G21" s="386"/>
      <c r="H21" s="151">
        <v>1457.1</v>
      </c>
      <c r="I21" s="386"/>
      <c r="J21" s="151">
        <v>1508.1</v>
      </c>
      <c r="K21" s="386"/>
      <c r="L21" s="151">
        <v>1459.6</v>
      </c>
      <c r="M21" s="386"/>
      <c r="N21" s="151">
        <v>1222.2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1712.8000000000002</v>
      </c>
      <c r="G23" s="400"/>
      <c r="H23" s="152">
        <v>1688.8999999999999</v>
      </c>
      <c r="I23" s="400"/>
      <c r="J23" s="152">
        <v>1830.2999999999997</v>
      </c>
      <c r="K23" s="400"/>
      <c r="L23" s="152">
        <v>1772.7</v>
      </c>
      <c r="M23" s="400"/>
      <c r="N23" s="152">
        <v>1572.6000000000001</v>
      </c>
      <c r="O23" s="400"/>
    </row>
    <row r="24" spans="2:15" ht="16">
      <c r="B24" s="409"/>
      <c r="C24" s="403" t="s">
        <v>37</v>
      </c>
      <c r="D24" s="404"/>
      <c r="E24" s="405"/>
      <c r="F24" s="153">
        <v>1591.3</v>
      </c>
      <c r="G24" s="401"/>
      <c r="H24" s="153">
        <v>1457.1</v>
      </c>
      <c r="I24" s="401"/>
      <c r="J24" s="153">
        <v>1508.1</v>
      </c>
      <c r="K24" s="401"/>
      <c r="L24" s="153">
        <v>1459.6</v>
      </c>
      <c r="M24" s="401"/>
      <c r="N24" s="153">
        <v>1222.2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121.50000000000023</v>
      </c>
      <c r="G25" s="402"/>
      <c r="H25" s="154">
        <v>231.79999999999995</v>
      </c>
      <c r="I25" s="402"/>
      <c r="J25" s="154">
        <v>322.19999999999982</v>
      </c>
      <c r="K25" s="402"/>
      <c r="L25" s="154">
        <v>313.10000000000014</v>
      </c>
      <c r="M25" s="402"/>
      <c r="N25" s="154">
        <v>350.40000000000009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日別の需給状況・再エネ出力抑制の必要性（2026年2月）</oddHeader>
    <oddFooter>&amp;R&amp;"メイリオ,レギュラー"&amp;14九州電力送配電株式会社</oddFooter>
  </headerFooter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37AD-F9D0-432B-BD3E-E03ACA4527BF}">
  <dimension ref="B1:O69"/>
  <sheetViews>
    <sheetView showGridLines="0" view="pageBreakPreview" zoomScale="70" zoomScaleNormal="70" zoomScaleSheetLayoutView="70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46070</v>
      </c>
      <c r="G3" s="357" t="s">
        <v>71</v>
      </c>
      <c r="H3" s="115">
        <v>46071</v>
      </c>
      <c r="I3" s="357" t="s">
        <v>48</v>
      </c>
      <c r="J3" s="115">
        <v>46072</v>
      </c>
      <c r="K3" s="357" t="s">
        <v>48</v>
      </c>
      <c r="L3" s="115">
        <v>46073</v>
      </c>
      <c r="M3" s="357" t="s">
        <v>48</v>
      </c>
      <c r="N3" s="115">
        <v>46074</v>
      </c>
      <c r="O3" s="357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104.4</v>
      </c>
      <c r="G5" s="384" t="s">
        <v>45</v>
      </c>
      <c r="H5" s="120">
        <v>104.1</v>
      </c>
      <c r="I5" s="384" t="s">
        <v>45</v>
      </c>
      <c r="J5" s="120">
        <v>103.9</v>
      </c>
      <c r="K5" s="384" t="s">
        <v>45</v>
      </c>
      <c r="L5" s="120">
        <v>86.6</v>
      </c>
      <c r="M5" s="384" t="s">
        <v>45</v>
      </c>
      <c r="N5" s="120">
        <v>85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91.7</v>
      </c>
      <c r="G6" s="385"/>
      <c r="H6" s="123">
        <v>164.3</v>
      </c>
      <c r="I6" s="385"/>
      <c r="J6" s="123">
        <v>149.6</v>
      </c>
      <c r="K6" s="385"/>
      <c r="L6" s="123">
        <v>150.4</v>
      </c>
      <c r="M6" s="385"/>
      <c r="N6" s="123">
        <v>114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323.5</v>
      </c>
      <c r="G7" s="385"/>
      <c r="H7" s="126">
        <v>323.39999999999998</v>
      </c>
      <c r="I7" s="385"/>
      <c r="J7" s="126">
        <v>323.39999999999998</v>
      </c>
      <c r="K7" s="385"/>
      <c r="L7" s="126">
        <v>323.39999999999998</v>
      </c>
      <c r="M7" s="385"/>
      <c r="N7" s="126">
        <v>323.3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14.899999999999812</v>
      </c>
      <c r="G8" s="385"/>
      <c r="H8" s="129">
        <v>16.899999999999999</v>
      </c>
      <c r="I8" s="385"/>
      <c r="J8" s="129">
        <v>15.60000000000008</v>
      </c>
      <c r="K8" s="385"/>
      <c r="L8" s="129">
        <v>16.499999999999716</v>
      </c>
      <c r="M8" s="385"/>
      <c r="N8" s="129">
        <v>17.000000000000021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16.899999999999999</v>
      </c>
      <c r="G9" s="385"/>
      <c r="H9" s="131">
        <v>16.7</v>
      </c>
      <c r="I9" s="385"/>
      <c r="J9" s="131">
        <v>16.8</v>
      </c>
      <c r="K9" s="385"/>
      <c r="L9" s="131">
        <v>16.899999999999999</v>
      </c>
      <c r="M9" s="385"/>
      <c r="N9" s="131">
        <v>16.899999999999999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46.7</v>
      </c>
      <c r="G10" s="385"/>
      <c r="H10" s="133">
        <v>41.8</v>
      </c>
      <c r="I10" s="385"/>
      <c r="J10" s="133">
        <v>52.4</v>
      </c>
      <c r="K10" s="385"/>
      <c r="L10" s="133">
        <v>51.5</v>
      </c>
      <c r="M10" s="385"/>
      <c r="N10" s="133">
        <v>52.6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27</v>
      </c>
      <c r="G11" s="385"/>
      <c r="H11" s="135">
        <v>27.7</v>
      </c>
      <c r="I11" s="385"/>
      <c r="J11" s="135">
        <v>28.4</v>
      </c>
      <c r="K11" s="385"/>
      <c r="L11" s="135">
        <v>28.8</v>
      </c>
      <c r="M11" s="385"/>
      <c r="N11" s="135">
        <v>28.8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982.8</v>
      </c>
      <c r="G12" s="385"/>
      <c r="H12" s="137">
        <v>1042.0999999999999</v>
      </c>
      <c r="I12" s="385"/>
      <c r="J12" s="137">
        <v>901.7</v>
      </c>
      <c r="K12" s="385"/>
      <c r="L12" s="137">
        <v>769.9</v>
      </c>
      <c r="M12" s="385"/>
      <c r="N12" s="137">
        <v>943.6</v>
      </c>
      <c r="O12" s="385"/>
    </row>
    <row r="13" spans="2:15" ht="16">
      <c r="B13" s="376"/>
      <c r="C13" s="379"/>
      <c r="D13" s="388"/>
      <c r="E13" s="45" t="s">
        <v>27</v>
      </c>
      <c r="F13" s="137">
        <v>12.2</v>
      </c>
      <c r="G13" s="385"/>
      <c r="H13" s="137">
        <v>44.9</v>
      </c>
      <c r="I13" s="385"/>
      <c r="J13" s="137">
        <v>5.3</v>
      </c>
      <c r="K13" s="385"/>
      <c r="L13" s="137">
        <v>25.9</v>
      </c>
      <c r="M13" s="385"/>
      <c r="N13" s="137">
        <v>7.5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74</v>
      </c>
      <c r="G14" s="385"/>
      <c r="H14" s="139">
        <v>65.099999999999994</v>
      </c>
      <c r="I14" s="385"/>
      <c r="J14" s="139">
        <v>142</v>
      </c>
      <c r="K14" s="385"/>
      <c r="L14" s="139">
        <v>142</v>
      </c>
      <c r="M14" s="385"/>
      <c r="N14" s="139">
        <v>142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1694.1</v>
      </c>
      <c r="G15" s="385"/>
      <c r="H15" s="108">
        <v>1847</v>
      </c>
      <c r="I15" s="385"/>
      <c r="J15" s="108">
        <v>1739.1</v>
      </c>
      <c r="K15" s="385"/>
      <c r="L15" s="108">
        <v>1611.8999999999996</v>
      </c>
      <c r="M15" s="385"/>
      <c r="N15" s="108">
        <v>1730.6999999999998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1081.5999999999999</v>
      </c>
      <c r="G16" s="385"/>
      <c r="H16" s="320">
        <v>1065</v>
      </c>
      <c r="I16" s="385"/>
      <c r="J16" s="320">
        <v>1055</v>
      </c>
      <c r="K16" s="385"/>
      <c r="L16" s="320">
        <v>975</v>
      </c>
      <c r="M16" s="385"/>
      <c r="N16" s="320">
        <v>895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-194.6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  <c r="N17" s="145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5"/>
      <c r="H18" s="111">
        <v>0</v>
      </c>
      <c r="I18" s="385"/>
      <c r="J18" s="111">
        <v>0</v>
      </c>
      <c r="K18" s="385"/>
      <c r="L18" s="111">
        <v>0</v>
      </c>
      <c r="M18" s="385"/>
      <c r="N18" s="111">
        <v>0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-202.3</v>
      </c>
      <c r="G19" s="385"/>
      <c r="H19" s="148">
        <v>-202.3</v>
      </c>
      <c r="I19" s="385"/>
      <c r="J19" s="148">
        <v>-202.3</v>
      </c>
      <c r="K19" s="385"/>
      <c r="L19" s="148">
        <v>-186.6</v>
      </c>
      <c r="M19" s="385"/>
      <c r="N19" s="148">
        <v>-184.2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1478.4999999999998</v>
      </c>
      <c r="G21" s="386"/>
      <c r="H21" s="151">
        <v>1494.3999999999999</v>
      </c>
      <c r="I21" s="386"/>
      <c r="J21" s="151">
        <v>1484.3999999999999</v>
      </c>
      <c r="K21" s="386"/>
      <c r="L21" s="151">
        <v>1388.6999999999998</v>
      </c>
      <c r="M21" s="386"/>
      <c r="N21" s="151">
        <v>1306.3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1694.1</v>
      </c>
      <c r="G23" s="400"/>
      <c r="H23" s="152">
        <v>1847</v>
      </c>
      <c r="I23" s="400"/>
      <c r="J23" s="152">
        <v>1739.1</v>
      </c>
      <c r="K23" s="400"/>
      <c r="L23" s="152">
        <v>1611.8999999999996</v>
      </c>
      <c r="M23" s="400"/>
      <c r="N23" s="152">
        <v>1730.6999999999998</v>
      </c>
      <c r="O23" s="400"/>
    </row>
    <row r="24" spans="2:15" ht="16">
      <c r="B24" s="409"/>
      <c r="C24" s="403" t="s">
        <v>37</v>
      </c>
      <c r="D24" s="404"/>
      <c r="E24" s="405"/>
      <c r="F24" s="153">
        <v>1478.4999999999998</v>
      </c>
      <c r="G24" s="401"/>
      <c r="H24" s="153">
        <v>1494.3999999999999</v>
      </c>
      <c r="I24" s="401"/>
      <c r="J24" s="153">
        <v>1484.3999999999999</v>
      </c>
      <c r="K24" s="401"/>
      <c r="L24" s="153">
        <v>1388.6999999999998</v>
      </c>
      <c r="M24" s="401"/>
      <c r="N24" s="153">
        <v>1306.3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215.60000000000014</v>
      </c>
      <c r="G25" s="402"/>
      <c r="H25" s="154">
        <v>352.60000000000014</v>
      </c>
      <c r="I25" s="402"/>
      <c r="J25" s="154">
        <v>254.70000000000005</v>
      </c>
      <c r="K25" s="402"/>
      <c r="L25" s="154">
        <v>223.19999999999982</v>
      </c>
      <c r="M25" s="402"/>
      <c r="N25" s="154">
        <v>424.39999999999986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0A65-5DFD-435C-873C-6B848BC30E50}">
  <dimension ref="B1:O69"/>
  <sheetViews>
    <sheetView showGridLines="0" view="pageBreakPreview" zoomScale="70" zoomScaleNormal="70" zoomScaleSheetLayoutView="70" zoomScalePageLayoutView="70" workbookViewId="0">
      <selection activeCell="G43" sqref="G43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M1" s="32" t="s">
        <v>57</v>
      </c>
      <c r="O1" s="32"/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</row>
    <row r="3" spans="2:15" ht="16.5" thickBot="1">
      <c r="B3" s="3"/>
      <c r="C3" s="372" t="s">
        <v>3</v>
      </c>
      <c r="D3" s="373"/>
      <c r="E3" s="374"/>
      <c r="F3" s="115">
        <v>46075</v>
      </c>
      <c r="G3" s="357" t="s">
        <v>48</v>
      </c>
      <c r="H3" s="115">
        <v>46076</v>
      </c>
      <c r="I3" s="357" t="s">
        <v>48</v>
      </c>
      <c r="J3" s="115">
        <v>46079</v>
      </c>
      <c r="K3" s="357" t="s">
        <v>48</v>
      </c>
      <c r="L3" s="115">
        <v>46081</v>
      </c>
      <c r="M3" s="357" t="s">
        <v>48</v>
      </c>
      <c r="N3" s="157"/>
      <c r="O3" s="157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83</v>
      </c>
      <c r="G5" s="384" t="s">
        <v>45</v>
      </c>
      <c r="H5" s="120">
        <v>83.4</v>
      </c>
      <c r="I5" s="384" t="s">
        <v>45</v>
      </c>
      <c r="J5" s="120">
        <v>101.5</v>
      </c>
      <c r="K5" s="384" t="s">
        <v>45</v>
      </c>
      <c r="L5" s="120">
        <v>84</v>
      </c>
      <c r="M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88.7</v>
      </c>
      <c r="G6" s="385"/>
      <c r="H6" s="123">
        <v>89.1</v>
      </c>
      <c r="I6" s="385"/>
      <c r="J6" s="123">
        <v>148.19999999999999</v>
      </c>
      <c r="K6" s="385"/>
      <c r="L6" s="123">
        <v>116.8</v>
      </c>
      <c r="M6" s="385"/>
    </row>
    <row r="7" spans="2:15" ht="16">
      <c r="B7" s="376"/>
      <c r="C7" s="379"/>
      <c r="D7" s="35" t="s">
        <v>13</v>
      </c>
      <c r="E7" s="36" t="s">
        <v>5</v>
      </c>
      <c r="F7" s="126">
        <v>323.39999999999998</v>
      </c>
      <c r="G7" s="385"/>
      <c r="H7" s="126">
        <v>323.5</v>
      </c>
      <c r="I7" s="385"/>
      <c r="J7" s="126">
        <v>323.5</v>
      </c>
      <c r="K7" s="385"/>
      <c r="L7" s="126">
        <v>323.3</v>
      </c>
      <c r="M7" s="385"/>
    </row>
    <row r="8" spans="2:15" ht="16">
      <c r="B8" s="376"/>
      <c r="C8" s="379"/>
      <c r="D8" s="37" t="s">
        <v>14</v>
      </c>
      <c r="E8" s="38" t="s">
        <v>6</v>
      </c>
      <c r="F8" s="129">
        <v>17.100000000000421</v>
      </c>
      <c r="G8" s="385"/>
      <c r="H8" s="129">
        <v>17</v>
      </c>
      <c r="I8" s="385"/>
      <c r="J8" s="129">
        <v>17.600000000000001</v>
      </c>
      <c r="K8" s="385"/>
      <c r="L8" s="129">
        <v>18.099999999999863</v>
      </c>
      <c r="M8" s="385"/>
    </row>
    <row r="9" spans="2:15" ht="16">
      <c r="B9" s="376"/>
      <c r="C9" s="379"/>
      <c r="D9" s="39" t="s">
        <v>15</v>
      </c>
      <c r="E9" s="40" t="s">
        <v>7</v>
      </c>
      <c r="F9" s="131">
        <v>16.899999999999999</v>
      </c>
      <c r="G9" s="385"/>
      <c r="H9" s="131">
        <v>16.899999999999999</v>
      </c>
      <c r="I9" s="385"/>
      <c r="J9" s="131">
        <v>16.8</v>
      </c>
      <c r="K9" s="385"/>
      <c r="L9" s="131">
        <v>16.600000000000001</v>
      </c>
      <c r="M9" s="385"/>
    </row>
    <row r="10" spans="2:15" ht="16">
      <c r="B10" s="376"/>
      <c r="C10" s="379"/>
      <c r="D10" s="41" t="s">
        <v>17</v>
      </c>
      <c r="E10" s="42" t="s">
        <v>1</v>
      </c>
      <c r="F10" s="133">
        <v>51.8</v>
      </c>
      <c r="G10" s="385"/>
      <c r="H10" s="133">
        <v>50.7</v>
      </c>
      <c r="I10" s="385"/>
      <c r="J10" s="133">
        <v>43.6</v>
      </c>
      <c r="K10" s="385"/>
      <c r="L10" s="133">
        <v>42.7</v>
      </c>
      <c r="M10" s="385"/>
    </row>
    <row r="11" spans="2:15" ht="16">
      <c r="B11" s="376"/>
      <c r="C11" s="379"/>
      <c r="D11" s="43" t="s">
        <v>16</v>
      </c>
      <c r="E11" s="44" t="s">
        <v>2</v>
      </c>
      <c r="F11" s="135">
        <v>29.2</v>
      </c>
      <c r="G11" s="385"/>
      <c r="H11" s="135">
        <v>30.5</v>
      </c>
      <c r="I11" s="385"/>
      <c r="J11" s="135">
        <v>29.8</v>
      </c>
      <c r="K11" s="385"/>
      <c r="L11" s="135">
        <v>29.7</v>
      </c>
      <c r="M11" s="385"/>
    </row>
    <row r="12" spans="2:15" ht="16">
      <c r="B12" s="376"/>
      <c r="C12" s="379"/>
      <c r="D12" s="387" t="s">
        <v>18</v>
      </c>
      <c r="E12" s="45" t="s">
        <v>26</v>
      </c>
      <c r="F12" s="137">
        <v>688.3</v>
      </c>
      <c r="G12" s="385"/>
      <c r="H12" s="137">
        <v>946.4</v>
      </c>
      <c r="I12" s="385"/>
      <c r="J12" s="137">
        <v>809.5</v>
      </c>
      <c r="K12" s="385"/>
      <c r="L12" s="137">
        <v>921.3</v>
      </c>
      <c r="M12" s="385"/>
    </row>
    <row r="13" spans="2:15" ht="16">
      <c r="B13" s="376"/>
      <c r="C13" s="379"/>
      <c r="D13" s="388"/>
      <c r="E13" s="45" t="s">
        <v>27</v>
      </c>
      <c r="F13" s="137">
        <v>33.799999999999997</v>
      </c>
      <c r="G13" s="385"/>
      <c r="H13" s="137">
        <v>20.8</v>
      </c>
      <c r="I13" s="385"/>
      <c r="J13" s="137">
        <v>16.3</v>
      </c>
      <c r="K13" s="385"/>
      <c r="L13" s="137">
        <v>42.8</v>
      </c>
      <c r="M13" s="385"/>
    </row>
    <row r="14" spans="2:15" ht="16">
      <c r="B14" s="376"/>
      <c r="C14" s="379"/>
      <c r="D14" s="46" t="s">
        <v>19</v>
      </c>
      <c r="E14" s="47" t="s">
        <v>4</v>
      </c>
      <c r="F14" s="139">
        <v>236</v>
      </c>
      <c r="G14" s="385"/>
      <c r="H14" s="139">
        <v>142</v>
      </c>
      <c r="I14" s="385"/>
      <c r="J14" s="139">
        <v>142</v>
      </c>
      <c r="K14" s="385"/>
      <c r="L14" s="139">
        <v>142</v>
      </c>
      <c r="M14" s="385"/>
    </row>
    <row r="15" spans="2:15" ht="16.5" thickBot="1">
      <c r="B15" s="376"/>
      <c r="C15" s="380"/>
      <c r="D15" s="389" t="s">
        <v>28</v>
      </c>
      <c r="E15" s="390"/>
      <c r="F15" s="108">
        <v>1568.2000000000003</v>
      </c>
      <c r="G15" s="385"/>
      <c r="H15" s="108">
        <v>1720.3</v>
      </c>
      <c r="I15" s="385"/>
      <c r="J15" s="108">
        <v>1648.8</v>
      </c>
      <c r="K15" s="385"/>
      <c r="L15" s="108">
        <v>1737.3</v>
      </c>
      <c r="M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794.1</v>
      </c>
      <c r="G16" s="385"/>
      <c r="H16" s="320">
        <v>815</v>
      </c>
      <c r="I16" s="385"/>
      <c r="J16" s="320">
        <v>935</v>
      </c>
      <c r="K16" s="385"/>
      <c r="L16" s="320">
        <v>845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</row>
    <row r="18" spans="2:15" ht="16.5" thickBot="1">
      <c r="B18" s="376"/>
      <c r="C18" s="392"/>
      <c r="D18" s="395"/>
      <c r="E18" s="51" t="s">
        <v>31</v>
      </c>
      <c r="F18" s="111">
        <v>0</v>
      </c>
      <c r="G18" s="385"/>
      <c r="H18" s="111">
        <v>0</v>
      </c>
      <c r="I18" s="385"/>
      <c r="J18" s="111">
        <v>0</v>
      </c>
      <c r="K18" s="385"/>
      <c r="L18" s="111">
        <v>0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-184.2</v>
      </c>
      <c r="G19" s="385"/>
      <c r="H19" s="148">
        <v>-184.2</v>
      </c>
      <c r="I19" s="385"/>
      <c r="J19" s="148">
        <v>-149.30000000000001</v>
      </c>
      <c r="K19" s="385"/>
      <c r="L19" s="148">
        <v>-184.2</v>
      </c>
      <c r="M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-63.3</v>
      </c>
      <c r="K20" s="385"/>
      <c r="L20" s="150">
        <v>0</v>
      </c>
      <c r="M20" s="385"/>
    </row>
    <row r="21" spans="2:15" ht="16.5" thickBot="1">
      <c r="B21" s="377"/>
      <c r="C21" s="393"/>
      <c r="D21" s="398" t="s">
        <v>34</v>
      </c>
      <c r="E21" s="399"/>
      <c r="F21" s="151">
        <v>1205.4000000000001</v>
      </c>
      <c r="G21" s="386"/>
      <c r="H21" s="151">
        <v>1226.3</v>
      </c>
      <c r="I21" s="386"/>
      <c r="J21" s="151">
        <v>1374.6999999999998</v>
      </c>
      <c r="K21" s="386"/>
      <c r="L21" s="151">
        <v>1256.3</v>
      </c>
      <c r="M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1568.2000000000003</v>
      </c>
      <c r="G23" s="400"/>
      <c r="H23" s="152">
        <v>1720.3</v>
      </c>
      <c r="I23" s="400"/>
      <c r="J23" s="152">
        <v>1648.8</v>
      </c>
      <c r="K23" s="400"/>
      <c r="L23" s="152">
        <v>1737.3</v>
      </c>
      <c r="M23" s="400"/>
    </row>
    <row r="24" spans="2:15" ht="16">
      <c r="B24" s="409"/>
      <c r="C24" s="403" t="s">
        <v>37</v>
      </c>
      <c r="D24" s="404"/>
      <c r="E24" s="405"/>
      <c r="F24" s="153">
        <v>1205.4000000000001</v>
      </c>
      <c r="G24" s="401"/>
      <c r="H24" s="153">
        <v>1226.3</v>
      </c>
      <c r="I24" s="401"/>
      <c r="J24" s="153">
        <v>1374.6999999999998</v>
      </c>
      <c r="K24" s="401"/>
      <c r="L24" s="153">
        <v>1256.3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362.80000000000018</v>
      </c>
      <c r="G25" s="402"/>
      <c r="H25" s="154">
        <v>494</v>
      </c>
      <c r="I25" s="402"/>
      <c r="J25" s="154">
        <v>274.10000000000014</v>
      </c>
      <c r="K25" s="402"/>
      <c r="L25" s="154">
        <v>481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6">
    <mergeCell ref="D25:E25"/>
    <mergeCell ref="D19:D20"/>
    <mergeCell ref="D21:E21"/>
    <mergeCell ref="K5:K21"/>
    <mergeCell ref="M5:M21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C3:E3"/>
    <mergeCell ref="C2:E2"/>
    <mergeCell ref="F2:G2"/>
    <mergeCell ref="H2:I2"/>
    <mergeCell ref="J2:K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3F7E-9ED8-4A46-B0CD-F5B497F25735}">
  <dimension ref="A1:Y68"/>
  <sheetViews>
    <sheetView showGridLines="0" view="pageBreakPreview" topLeftCell="A14" zoomScale="70" zoomScaleNormal="55" zoomScaleSheetLayoutView="70" zoomScalePageLayoutView="55" workbookViewId="0">
      <selection activeCell="A58" sqref="A58:XFD66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46056</v>
      </c>
      <c r="G3" s="516"/>
      <c r="H3" s="516"/>
      <c r="I3" s="517"/>
      <c r="J3" s="515">
        <v>46060</v>
      </c>
      <c r="K3" s="516"/>
      <c r="L3" s="516"/>
      <c r="M3" s="517"/>
      <c r="N3" s="515">
        <v>46065</v>
      </c>
      <c r="O3" s="516"/>
      <c r="P3" s="516"/>
      <c r="Q3" s="517"/>
      <c r="R3" s="515">
        <v>46066</v>
      </c>
      <c r="S3" s="516"/>
      <c r="T3" s="516"/>
      <c r="U3" s="517"/>
      <c r="V3" s="515">
        <v>46068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f>G5-F5</f>
        <v>0</v>
      </c>
      <c r="I5" s="219"/>
      <c r="J5" s="166">
        <v>32.700000000000003</v>
      </c>
      <c r="K5" s="165">
        <v>32.700000000000003</v>
      </c>
      <c r="L5" s="164">
        <f>K5-J5</f>
        <v>0</v>
      </c>
      <c r="M5" s="219"/>
      <c r="N5" s="166">
        <v>28.1</v>
      </c>
      <c r="O5" s="165">
        <v>28.1</v>
      </c>
      <c r="P5" s="164">
        <f>O5-N5</f>
        <v>0</v>
      </c>
      <c r="Q5" s="219"/>
      <c r="R5" s="166">
        <v>12.4</v>
      </c>
      <c r="S5" s="165">
        <v>12.4</v>
      </c>
      <c r="T5" s="164">
        <f>S5-R5</f>
        <v>0</v>
      </c>
      <c r="U5" s="219"/>
      <c r="V5" s="166">
        <v>12.4</v>
      </c>
      <c r="W5" s="165">
        <v>12.4</v>
      </c>
      <c r="X5" s="164">
        <f>W5-V5</f>
        <v>0</v>
      </c>
      <c r="Y5" s="219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f>G6-F6</f>
        <v>0</v>
      </c>
      <c r="I6" s="219"/>
      <c r="J6" s="166">
        <v>17.5</v>
      </c>
      <c r="K6" s="165">
        <v>17.5</v>
      </c>
      <c r="L6" s="164">
        <f>K6-J6</f>
        <v>0</v>
      </c>
      <c r="M6" s="219"/>
      <c r="N6" s="166">
        <v>17.5</v>
      </c>
      <c r="O6" s="165">
        <v>17.5</v>
      </c>
      <c r="P6" s="164">
        <f>O6-N6</f>
        <v>0</v>
      </c>
      <c r="Q6" s="219"/>
      <c r="R6" s="166">
        <v>17.5</v>
      </c>
      <c r="S6" s="165">
        <v>17.5</v>
      </c>
      <c r="T6" s="164">
        <f>S6-R6</f>
        <v>0</v>
      </c>
      <c r="U6" s="219"/>
      <c r="V6" s="166">
        <v>17.5</v>
      </c>
      <c r="W6" s="165">
        <v>17.5</v>
      </c>
      <c r="X6" s="164">
        <f>W6-V6</f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>G7-F7</f>
        <v>0</v>
      </c>
      <c r="I7" s="219"/>
      <c r="J7" s="166">
        <v>0</v>
      </c>
      <c r="K7" s="165">
        <v>0</v>
      </c>
      <c r="L7" s="164">
        <f>K7-J7</f>
        <v>0</v>
      </c>
      <c r="M7" s="219"/>
      <c r="N7" s="166">
        <v>0</v>
      </c>
      <c r="O7" s="165">
        <v>0</v>
      </c>
      <c r="P7" s="164">
        <f>O7-N7</f>
        <v>0</v>
      </c>
      <c r="Q7" s="219"/>
      <c r="R7" s="166">
        <v>0</v>
      </c>
      <c r="S7" s="165">
        <v>0</v>
      </c>
      <c r="T7" s="164">
        <f>S7-R7</f>
        <v>0</v>
      </c>
      <c r="U7" s="219"/>
      <c r="V7" s="166">
        <v>0</v>
      </c>
      <c r="W7" s="165">
        <v>0</v>
      </c>
      <c r="X7" s="164">
        <f>W7-V7</f>
        <v>0</v>
      </c>
      <c r="Y7" s="219"/>
    </row>
    <row r="8" spans="3:25" ht="16">
      <c r="C8" s="520"/>
      <c r="D8" s="426"/>
      <c r="E8" s="218" t="s">
        <v>133</v>
      </c>
      <c r="F8" s="166">
        <v>59.7</v>
      </c>
      <c r="G8" s="216">
        <v>59.7</v>
      </c>
      <c r="H8" s="164">
        <f>G8-F8</f>
        <v>0</v>
      </c>
      <c r="I8" s="214"/>
      <c r="J8" s="166">
        <v>57.7</v>
      </c>
      <c r="K8" s="216">
        <v>57.7</v>
      </c>
      <c r="L8" s="164">
        <f>K8-J8</f>
        <v>0</v>
      </c>
      <c r="M8" s="214"/>
      <c r="N8" s="166">
        <v>57.7</v>
      </c>
      <c r="O8" s="216">
        <v>57.7</v>
      </c>
      <c r="P8" s="164">
        <f>O8-N8</f>
        <v>0</v>
      </c>
      <c r="Q8" s="214"/>
      <c r="R8" s="166">
        <v>57.5</v>
      </c>
      <c r="S8" s="216">
        <v>57.5</v>
      </c>
      <c r="T8" s="164">
        <f>S8-R8</f>
        <v>0</v>
      </c>
      <c r="U8" s="214"/>
      <c r="V8" s="166">
        <v>53.7</v>
      </c>
      <c r="W8" s="216">
        <v>53.7</v>
      </c>
      <c r="X8" s="164">
        <f>W8-V8</f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109.9</v>
      </c>
      <c r="G9" s="188">
        <f>SUM(G5:G8)</f>
        <v>109.9</v>
      </c>
      <c r="H9" s="187">
        <f>G9-F9</f>
        <v>0</v>
      </c>
      <c r="I9" s="213" t="s">
        <v>81</v>
      </c>
      <c r="J9" s="188">
        <f>SUM(J5:J8)</f>
        <v>107.9</v>
      </c>
      <c r="K9" s="188">
        <f>SUM(K5:K8)</f>
        <v>107.9</v>
      </c>
      <c r="L9" s="187">
        <f>K9-J9</f>
        <v>0</v>
      </c>
      <c r="M9" s="213" t="s">
        <v>81</v>
      </c>
      <c r="N9" s="188">
        <f>SUM(N5:N8)</f>
        <v>103.30000000000001</v>
      </c>
      <c r="O9" s="188">
        <f>SUM(O5:O8)</f>
        <v>103.30000000000001</v>
      </c>
      <c r="P9" s="187">
        <f>O9-N9</f>
        <v>0</v>
      </c>
      <c r="Q9" s="213" t="s">
        <v>81</v>
      </c>
      <c r="R9" s="188">
        <f>SUM(R5:R8)</f>
        <v>87.4</v>
      </c>
      <c r="S9" s="188">
        <f>SUM(S5:S8)</f>
        <v>87.4</v>
      </c>
      <c r="T9" s="187">
        <f>S9-R9</f>
        <v>0</v>
      </c>
      <c r="U9" s="213" t="s">
        <v>81</v>
      </c>
      <c r="V9" s="188">
        <f>SUM(V5:V8)</f>
        <v>83.6</v>
      </c>
      <c r="W9" s="188">
        <f>SUM(W5:W8)</f>
        <v>83.6</v>
      </c>
      <c r="X9" s="187">
        <f>W9-V9</f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46056</v>
      </c>
      <c r="G11" s="433"/>
      <c r="H11" s="433"/>
      <c r="I11" s="434"/>
      <c r="J11" s="432">
        <v>46060</v>
      </c>
      <c r="K11" s="433"/>
      <c r="L11" s="433"/>
      <c r="M11" s="434"/>
      <c r="N11" s="432">
        <v>46065</v>
      </c>
      <c r="O11" s="433"/>
      <c r="P11" s="433"/>
      <c r="Q11" s="434"/>
      <c r="R11" s="432">
        <v>46066</v>
      </c>
      <c r="S11" s="433"/>
      <c r="T11" s="433"/>
      <c r="U11" s="434"/>
      <c r="V11" s="432">
        <v>46068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  <c r="V14" s="166">
        <v>-26.1</v>
      </c>
      <c r="W14" s="165">
        <v>0</v>
      </c>
      <c r="X14" s="164">
        <v>26.1</v>
      </c>
      <c r="Y14" s="189" t="s">
        <v>232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  <c r="V21" s="188">
        <v>-253.2</v>
      </c>
      <c r="W21" s="187">
        <v>-227.1</v>
      </c>
      <c r="X21" s="187">
        <v>26.1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46056</v>
      </c>
      <c r="G23" s="433"/>
      <c r="H23" s="433"/>
      <c r="I23" s="434"/>
      <c r="J23" s="432">
        <v>46060</v>
      </c>
      <c r="K23" s="433"/>
      <c r="L23" s="433"/>
      <c r="M23" s="434"/>
      <c r="N23" s="432">
        <v>46065</v>
      </c>
      <c r="O23" s="433"/>
      <c r="P23" s="433"/>
      <c r="Q23" s="434"/>
      <c r="R23" s="432">
        <v>46066</v>
      </c>
      <c r="S23" s="433"/>
      <c r="T23" s="433"/>
      <c r="U23" s="434"/>
      <c r="V23" s="432">
        <v>46068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0</v>
      </c>
      <c r="H25" s="207">
        <v>5</v>
      </c>
      <c r="I25" s="206" t="s">
        <v>232</v>
      </c>
      <c r="J25" s="209">
        <v>-5</v>
      </c>
      <c r="K25" s="208">
        <v>0</v>
      </c>
      <c r="L25" s="207">
        <v>5</v>
      </c>
      <c r="M25" s="206" t="s">
        <v>232</v>
      </c>
      <c r="N25" s="209">
        <v>-5</v>
      </c>
      <c r="O25" s="208">
        <v>0</v>
      </c>
      <c r="P25" s="207">
        <v>5</v>
      </c>
      <c r="Q25" s="206" t="s">
        <v>232</v>
      </c>
      <c r="R25" s="209">
        <v>-5</v>
      </c>
      <c r="S25" s="208">
        <v>0</v>
      </c>
      <c r="T25" s="207">
        <v>5</v>
      </c>
      <c r="U25" s="206" t="s">
        <v>232</v>
      </c>
      <c r="V25" s="209">
        <v>-5</v>
      </c>
      <c r="W25" s="208">
        <v>0</v>
      </c>
      <c r="X25" s="207">
        <v>5</v>
      </c>
      <c r="Y25" s="206" t="s">
        <v>232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46056</v>
      </c>
      <c r="G27" s="433"/>
      <c r="H27" s="433"/>
      <c r="I27" s="434"/>
      <c r="J27" s="432">
        <v>46060</v>
      </c>
      <c r="K27" s="433"/>
      <c r="L27" s="433"/>
      <c r="M27" s="434"/>
      <c r="N27" s="432">
        <v>46065</v>
      </c>
      <c r="O27" s="433"/>
      <c r="P27" s="433"/>
      <c r="Q27" s="434"/>
      <c r="R27" s="432">
        <v>46066</v>
      </c>
      <c r="S27" s="433"/>
      <c r="T27" s="433"/>
      <c r="U27" s="434"/>
      <c r="V27" s="432">
        <v>46068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70.2</v>
      </c>
      <c r="H31" s="457">
        <v>15.800000000000004</v>
      </c>
      <c r="I31" s="459" t="s">
        <v>234</v>
      </c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111.9</v>
      </c>
      <c r="P31" s="457">
        <v>57.500000000000007</v>
      </c>
      <c r="Q31" s="459" t="s">
        <v>234</v>
      </c>
      <c r="R31" s="200">
        <v>54.4</v>
      </c>
      <c r="S31" s="455">
        <v>69.599999999999994</v>
      </c>
      <c r="T31" s="457">
        <v>15.199999999999996</v>
      </c>
      <c r="U31" s="459" t="s">
        <v>234</v>
      </c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24.9</v>
      </c>
      <c r="G33" s="199">
        <v>39.1</v>
      </c>
      <c r="H33" s="457">
        <v>14.200000000000003</v>
      </c>
      <c r="I33" s="459" t="s">
        <v>247</v>
      </c>
      <c r="J33" s="200">
        <v>24.9</v>
      </c>
      <c r="K33" s="199">
        <v>39.299999999999997</v>
      </c>
      <c r="L33" s="457">
        <v>14.399999999999999</v>
      </c>
      <c r="M33" s="459" t="s">
        <v>247</v>
      </c>
      <c r="N33" s="200">
        <v>73.099999999999994</v>
      </c>
      <c r="O33" s="199">
        <v>80.7</v>
      </c>
      <c r="P33" s="457">
        <v>7.6000000000000085</v>
      </c>
      <c r="Q33" s="459" t="s">
        <v>247</v>
      </c>
      <c r="R33" s="200">
        <v>84.5</v>
      </c>
      <c r="S33" s="199">
        <v>98.1</v>
      </c>
      <c r="T33" s="457">
        <v>13.599999999999994</v>
      </c>
      <c r="U33" s="459" t="s">
        <v>247</v>
      </c>
      <c r="V33" s="200">
        <v>24.9</v>
      </c>
      <c r="W33" s="199">
        <v>44.2</v>
      </c>
      <c r="X33" s="457">
        <v>19.300000000000004</v>
      </c>
      <c r="Y33" s="459" t="s">
        <v>247</v>
      </c>
    </row>
    <row r="34" spans="3:25" ht="16">
      <c r="C34" s="528"/>
      <c r="D34" s="467"/>
      <c r="E34" s="463" t="s">
        <v>104</v>
      </c>
      <c r="F34" s="198">
        <v>0.13</v>
      </c>
      <c r="G34" s="197">
        <v>0.2</v>
      </c>
      <c r="H34" s="458"/>
      <c r="I34" s="460"/>
      <c r="J34" s="198">
        <v>0.13</v>
      </c>
      <c r="K34" s="197">
        <v>0.2</v>
      </c>
      <c r="L34" s="458"/>
      <c r="M34" s="460"/>
      <c r="N34" s="198">
        <v>0.38</v>
      </c>
      <c r="O34" s="197">
        <v>0.42</v>
      </c>
      <c r="P34" s="458"/>
      <c r="Q34" s="460"/>
      <c r="R34" s="198">
        <v>0.44</v>
      </c>
      <c r="S34" s="197">
        <v>0.51</v>
      </c>
      <c r="T34" s="458"/>
      <c r="U34" s="460"/>
      <c r="V34" s="198">
        <v>0.13</v>
      </c>
      <c r="W34" s="197">
        <v>0.23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0.5</v>
      </c>
      <c r="H37" s="164">
        <v>-9.5</v>
      </c>
      <c r="I37" s="189" t="s">
        <v>246</v>
      </c>
      <c r="J37" s="166">
        <v>10</v>
      </c>
      <c r="K37" s="165">
        <f>0.1+0.2</f>
        <v>0.30000000000000004</v>
      </c>
      <c r="L37" s="164">
        <f>K37-J37</f>
        <v>-9.6999999999999993</v>
      </c>
      <c r="M37" s="189" t="s">
        <v>246</v>
      </c>
      <c r="N37" s="166">
        <v>10</v>
      </c>
      <c r="O37" s="165">
        <v>0.1</v>
      </c>
      <c r="P37" s="164">
        <v>-9.9</v>
      </c>
      <c r="Q37" s="189" t="s">
        <v>246</v>
      </c>
      <c r="R37" s="166">
        <v>10</v>
      </c>
      <c r="S37" s="165">
        <v>0.1</v>
      </c>
      <c r="T37" s="164">
        <f>S37-R37</f>
        <v>-9.9</v>
      </c>
      <c r="U37" s="189" t="s">
        <v>246</v>
      </c>
      <c r="V37" s="166">
        <v>10</v>
      </c>
      <c r="W37" s="165">
        <v>0.3</v>
      </c>
      <c r="X37" s="164">
        <f>W37-V37</f>
        <v>-9.6999999999999993</v>
      </c>
      <c r="Y37" s="189" t="s">
        <v>246</v>
      </c>
    </row>
    <row r="38" spans="3:25" ht="16.5" thickBot="1">
      <c r="C38" s="529"/>
      <c r="D38" s="427" t="s">
        <v>101</v>
      </c>
      <c r="E38" s="428"/>
      <c r="F38" s="188">
        <v>89.3</v>
      </c>
      <c r="G38" s="187">
        <v>109.80000000000001</v>
      </c>
      <c r="H38" s="187">
        <v>20.500000000000007</v>
      </c>
      <c r="I38" s="186"/>
      <c r="J38" s="188">
        <v>89.3</v>
      </c>
      <c r="K38" s="187">
        <f>93.8+0.2</f>
        <v>94</v>
      </c>
      <c r="L38" s="187">
        <f>K38-J38</f>
        <v>4.7000000000000028</v>
      </c>
      <c r="M38" s="186"/>
      <c r="N38" s="188">
        <v>137.5</v>
      </c>
      <c r="O38" s="187">
        <v>192.70000000000002</v>
      </c>
      <c r="P38" s="187">
        <v>55.200000000000024</v>
      </c>
      <c r="Q38" s="186"/>
      <c r="R38" s="188">
        <v>148.9</v>
      </c>
      <c r="S38" s="187">
        <f>SUM(S29:S33,S37)</f>
        <v>167.79999999999998</v>
      </c>
      <c r="T38" s="187">
        <f>S38-R38</f>
        <v>18.899999999999977</v>
      </c>
      <c r="U38" s="186"/>
      <c r="V38" s="188">
        <v>89.3</v>
      </c>
      <c r="W38" s="187">
        <f>SUM(W29:W33,W37)</f>
        <v>98.899999999999991</v>
      </c>
      <c r="X38" s="187">
        <f>W38-V38</f>
        <v>9.5999999999999943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46056</v>
      </c>
      <c r="G40" s="470"/>
      <c r="H40" s="470"/>
      <c r="I40" s="471"/>
      <c r="J40" s="469">
        <v>46060</v>
      </c>
      <c r="K40" s="470"/>
      <c r="L40" s="470"/>
      <c r="M40" s="471"/>
      <c r="N40" s="469">
        <v>46065</v>
      </c>
      <c r="O40" s="470"/>
      <c r="P40" s="470"/>
      <c r="Q40" s="471"/>
      <c r="R40" s="432">
        <v>46066</v>
      </c>
      <c r="S40" s="433"/>
      <c r="T40" s="433"/>
      <c r="U40" s="434"/>
      <c r="V40" s="432">
        <v>46068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25.3</v>
      </c>
      <c r="W42" s="478">
        <v>24.8</v>
      </c>
      <c r="X42" s="457">
        <f>W42-V42</f>
        <v>-0.5</v>
      </c>
      <c r="Y42" s="459" t="s">
        <v>234</v>
      </c>
    </row>
    <row r="43" spans="3:25" ht="16.5" thickBot="1">
      <c r="C43" s="531"/>
      <c r="D43" s="475"/>
      <c r="E43" s="477"/>
      <c r="F43" s="183">
        <v>239.2</v>
      </c>
      <c r="G43" s="479"/>
      <c r="H43" s="480"/>
      <c r="I43" s="481"/>
      <c r="J43" s="183">
        <v>205</v>
      </c>
      <c r="K43" s="479"/>
      <c r="L43" s="480"/>
      <c r="M43" s="481"/>
      <c r="N43" s="183">
        <v>256</v>
      </c>
      <c r="O43" s="479"/>
      <c r="P43" s="480"/>
      <c r="Q43" s="481"/>
      <c r="R43" s="183">
        <v>217.5</v>
      </c>
      <c r="S43" s="479"/>
      <c r="T43" s="480"/>
      <c r="U43" s="481"/>
      <c r="V43" s="183">
        <v>171.6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46056</v>
      </c>
      <c r="G45" s="470"/>
      <c r="H45" s="470"/>
      <c r="I45" s="471"/>
      <c r="J45" s="469">
        <v>46060</v>
      </c>
      <c r="K45" s="470"/>
      <c r="L45" s="470"/>
      <c r="M45" s="471"/>
      <c r="N45" s="469">
        <v>46065</v>
      </c>
      <c r="O45" s="470"/>
      <c r="P45" s="470"/>
      <c r="Q45" s="471"/>
      <c r="R45" s="432">
        <v>46066</v>
      </c>
      <c r="S45" s="433"/>
      <c r="T45" s="433"/>
      <c r="U45" s="434"/>
      <c r="V45" s="432">
        <v>46068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31.4</v>
      </c>
      <c r="G47" s="478">
        <v>34.5</v>
      </c>
      <c r="H47" s="457">
        <v>3.1000000000000014</v>
      </c>
      <c r="I47" s="459" t="s">
        <v>245</v>
      </c>
      <c r="J47" s="178">
        <v>36.6</v>
      </c>
      <c r="K47" s="478">
        <v>44.5</v>
      </c>
      <c r="L47" s="457">
        <f>K47-J47</f>
        <v>7.8999999999999986</v>
      </c>
      <c r="M47" s="459" t="s">
        <v>232</v>
      </c>
      <c r="N47" s="178">
        <v>36.6</v>
      </c>
      <c r="O47" s="478">
        <v>41.8</v>
      </c>
      <c r="P47" s="457">
        <v>5.1999999999999957</v>
      </c>
      <c r="Q47" s="459" t="s">
        <v>245</v>
      </c>
      <c r="R47" s="178">
        <v>36.6</v>
      </c>
      <c r="S47" s="478">
        <v>40.200000000000003</v>
      </c>
      <c r="T47" s="457">
        <v>3.6000000000000014</v>
      </c>
      <c r="U47" s="459" t="s">
        <v>245</v>
      </c>
      <c r="V47" s="178">
        <v>39.1</v>
      </c>
      <c r="W47" s="478">
        <v>44.5</v>
      </c>
      <c r="X47" s="457">
        <v>5.3999999999999986</v>
      </c>
      <c r="Y47" s="459" t="s">
        <v>232</v>
      </c>
    </row>
    <row r="48" spans="3:25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0.55000000000000004</v>
      </c>
      <c r="K48" s="479"/>
      <c r="L48" s="480"/>
      <c r="M48" s="481"/>
      <c r="N48" s="177">
        <v>0.55000000000000004</v>
      </c>
      <c r="O48" s="479"/>
      <c r="P48" s="480"/>
      <c r="Q48" s="481"/>
      <c r="R48" s="177">
        <v>0.55000000000000004</v>
      </c>
      <c r="S48" s="479"/>
      <c r="T48" s="509"/>
      <c r="U48" s="481"/>
      <c r="V48" s="177">
        <v>0.55000000000000004</v>
      </c>
      <c r="W48" s="479"/>
      <c r="X48" s="509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46056</v>
      </c>
      <c r="G50" s="470"/>
      <c r="H50" s="470"/>
      <c r="I50" s="471"/>
      <c r="J50" s="469">
        <v>46060</v>
      </c>
      <c r="K50" s="470"/>
      <c r="L50" s="470"/>
      <c r="M50" s="471"/>
      <c r="N50" s="469">
        <v>46065</v>
      </c>
      <c r="O50" s="470"/>
      <c r="P50" s="470"/>
      <c r="Q50" s="471"/>
      <c r="R50" s="432">
        <v>46066</v>
      </c>
      <c r="S50" s="433"/>
      <c r="T50" s="433"/>
      <c r="U50" s="434"/>
      <c r="V50" s="432">
        <v>46068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24.1</v>
      </c>
      <c r="H53" s="159" t="s">
        <v>81</v>
      </c>
      <c r="I53" s="158" t="s">
        <v>230</v>
      </c>
      <c r="J53" s="161">
        <v>0</v>
      </c>
      <c r="K53" s="160">
        <v>26.3</v>
      </c>
      <c r="L53" s="159" t="s">
        <v>81</v>
      </c>
      <c r="M53" s="158" t="s">
        <v>230</v>
      </c>
      <c r="N53" s="161">
        <v>0</v>
      </c>
      <c r="O53" s="160">
        <v>29.4</v>
      </c>
      <c r="P53" s="159" t="s">
        <v>81</v>
      </c>
      <c r="Q53" s="158" t="s">
        <v>230</v>
      </c>
      <c r="R53" s="161">
        <v>0</v>
      </c>
      <c r="S53" s="160">
        <v>26.3</v>
      </c>
      <c r="T53" s="159" t="s">
        <v>81</v>
      </c>
      <c r="U53" s="158" t="s">
        <v>230</v>
      </c>
      <c r="V53" s="161">
        <v>0</v>
      </c>
      <c r="W53" s="160">
        <v>27</v>
      </c>
      <c r="X53" s="159" t="s">
        <v>81</v>
      </c>
      <c r="Y53" s="158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  <row r="67" spans="6:24">
      <c r="H67" s="87"/>
    </row>
    <row r="68" spans="6:24">
      <c r="H68" s="86"/>
    </row>
  </sheetData>
  <mergeCells count="135">
    <mergeCell ref="R40:U40"/>
    <mergeCell ref="T33:T34"/>
    <mergeCell ref="U33:U34"/>
    <mergeCell ref="R11:U11"/>
    <mergeCell ref="R27:U27"/>
    <mergeCell ref="R23:U23"/>
    <mergeCell ref="R3:U3"/>
    <mergeCell ref="R50:U50"/>
    <mergeCell ref="U47:U48"/>
    <mergeCell ref="T47:T48"/>
    <mergeCell ref="S47:S48"/>
    <mergeCell ref="R45:U45"/>
    <mergeCell ref="U42:U43"/>
    <mergeCell ref="T42:T43"/>
    <mergeCell ref="S42:S43"/>
    <mergeCell ref="U31:U32"/>
    <mergeCell ref="T29:T30"/>
    <mergeCell ref="U29:U30"/>
    <mergeCell ref="P29:P30"/>
    <mergeCell ref="C27:E27"/>
    <mergeCell ref="F27:I27"/>
    <mergeCell ref="J27:M27"/>
    <mergeCell ref="N27:Q27"/>
    <mergeCell ref="S29:S30"/>
    <mergeCell ref="J11:M11"/>
    <mergeCell ref="N11:Q11"/>
    <mergeCell ref="C12:C21"/>
    <mergeCell ref="D13:D14"/>
    <mergeCell ref="D15:D16"/>
    <mergeCell ref="D17:D20"/>
    <mergeCell ref="D21:E21"/>
    <mergeCell ref="Q29:Q30"/>
    <mergeCell ref="C23:E23"/>
    <mergeCell ref="F23:I23"/>
    <mergeCell ref="J23:M23"/>
    <mergeCell ref="N23:Q23"/>
    <mergeCell ref="C24:D25"/>
    <mergeCell ref="E24:E25"/>
    <mergeCell ref="I29:I30"/>
    <mergeCell ref="K29:K30"/>
    <mergeCell ref="L29:L30"/>
    <mergeCell ref="N3:Q3"/>
    <mergeCell ref="C4:C9"/>
    <mergeCell ref="D5:D6"/>
    <mergeCell ref="D7:D8"/>
    <mergeCell ref="D9:E9"/>
    <mergeCell ref="C11:E11"/>
    <mergeCell ref="F11:I11"/>
    <mergeCell ref="C3:E3"/>
    <mergeCell ref="F3:I3"/>
    <mergeCell ref="J3:M3"/>
    <mergeCell ref="Q33:Q34"/>
    <mergeCell ref="M31:M32"/>
    <mergeCell ref="O31:O32"/>
    <mergeCell ref="P31:P32"/>
    <mergeCell ref="Q31:Q32"/>
    <mergeCell ref="S31:S32"/>
    <mergeCell ref="T31:T32"/>
    <mergeCell ref="E31:E32"/>
    <mergeCell ref="G31:G32"/>
    <mergeCell ref="I31:I32"/>
    <mergeCell ref="K31:K32"/>
    <mergeCell ref="L31:L32"/>
    <mergeCell ref="C40:E40"/>
    <mergeCell ref="F40:I40"/>
    <mergeCell ref="J40:M40"/>
    <mergeCell ref="N40:Q40"/>
    <mergeCell ref="C28:C38"/>
    <mergeCell ref="E34:E36"/>
    <mergeCell ref="D38:E38"/>
    <mergeCell ref="H29:H30"/>
    <mergeCell ref="K42:K43"/>
    <mergeCell ref="L42:L43"/>
    <mergeCell ref="M42:M43"/>
    <mergeCell ref="O42:O43"/>
    <mergeCell ref="D29:D32"/>
    <mergeCell ref="E29:E30"/>
    <mergeCell ref="G29:G30"/>
    <mergeCell ref="H31:H32"/>
    <mergeCell ref="M29:M30"/>
    <mergeCell ref="O29:O30"/>
    <mergeCell ref="D33:D37"/>
    <mergeCell ref="H33:H34"/>
    <mergeCell ref="I33:I34"/>
    <mergeCell ref="L33:L34"/>
    <mergeCell ref="M33:M34"/>
    <mergeCell ref="P33:P34"/>
    <mergeCell ref="P42:P43"/>
    <mergeCell ref="Q42:Q43"/>
    <mergeCell ref="C45:E45"/>
    <mergeCell ref="F45:I45"/>
    <mergeCell ref="J45:M45"/>
    <mergeCell ref="N45:Q45"/>
    <mergeCell ref="C46:D48"/>
    <mergeCell ref="E47:E48"/>
    <mergeCell ref="G47:G48"/>
    <mergeCell ref="H47:H48"/>
    <mergeCell ref="I47:I48"/>
    <mergeCell ref="C41:D43"/>
    <mergeCell ref="E42:E43"/>
    <mergeCell ref="G42:G43"/>
    <mergeCell ref="H42:H43"/>
    <mergeCell ref="I42:I43"/>
    <mergeCell ref="P47:P48"/>
    <mergeCell ref="Y47:Y48"/>
    <mergeCell ref="V50:Y50"/>
    <mergeCell ref="X33:X34"/>
    <mergeCell ref="Y33:Y34"/>
    <mergeCell ref="V40:Y40"/>
    <mergeCell ref="W42:W43"/>
    <mergeCell ref="X42:X43"/>
    <mergeCell ref="Y42:Y43"/>
    <mergeCell ref="V45:Y45"/>
    <mergeCell ref="W47:W48"/>
    <mergeCell ref="X47:X48"/>
    <mergeCell ref="C50:E50"/>
    <mergeCell ref="F50:I50"/>
    <mergeCell ref="J50:M50"/>
    <mergeCell ref="N50:Q50"/>
    <mergeCell ref="C51:D53"/>
    <mergeCell ref="K47:K48"/>
    <mergeCell ref="L47:L48"/>
    <mergeCell ref="M47:M48"/>
    <mergeCell ref="O47:O48"/>
    <mergeCell ref="Q47:Q48"/>
    <mergeCell ref="V3:Y3"/>
    <mergeCell ref="V11:Y11"/>
    <mergeCell ref="V23:Y23"/>
    <mergeCell ref="V27:Y27"/>
    <mergeCell ref="W29:W30"/>
    <mergeCell ref="X29:X30"/>
    <mergeCell ref="Y29:Y30"/>
    <mergeCell ref="W31:W32"/>
    <mergeCell ref="X31:X32"/>
    <mergeCell ref="Y31:Y3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&amp;"メイリオ,ボールド"&amp;22日別の優先給電ルールに基づく抑制、調整状況（2026年2月）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2E49-1D01-4702-9FB4-8320F73B822A}">
  <dimension ref="B1:O64"/>
  <sheetViews>
    <sheetView showGridLines="0" view="pageBreakPreview" zoomScale="55" zoomScaleNormal="70" zoomScaleSheetLayoutView="55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45768</v>
      </c>
      <c r="G3" s="26" t="s">
        <v>187</v>
      </c>
      <c r="H3" s="25">
        <v>45771</v>
      </c>
      <c r="I3" s="26" t="s">
        <v>186</v>
      </c>
      <c r="J3" s="25">
        <v>45772</v>
      </c>
      <c r="K3" s="26" t="s">
        <v>186</v>
      </c>
      <c r="L3" s="25">
        <v>45773</v>
      </c>
      <c r="M3" s="26" t="s">
        <v>186</v>
      </c>
      <c r="N3" s="25">
        <v>45774</v>
      </c>
      <c r="O3" s="26" t="s">
        <v>186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75.900000000000006</v>
      </c>
      <c r="G5" s="384" t="s">
        <v>45</v>
      </c>
      <c r="H5" s="9">
        <v>75.5</v>
      </c>
      <c r="I5" s="384" t="s">
        <v>45</v>
      </c>
      <c r="J5" s="9">
        <v>75.7</v>
      </c>
      <c r="K5" s="384" t="s">
        <v>45</v>
      </c>
      <c r="L5" s="9">
        <v>74.5</v>
      </c>
      <c r="M5" s="384" t="s">
        <v>45</v>
      </c>
      <c r="N5" s="9">
        <v>72.900000000000006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61.3</v>
      </c>
      <c r="G6" s="385"/>
      <c r="H6" s="10">
        <v>57.1</v>
      </c>
      <c r="I6" s="385"/>
      <c r="J6" s="10">
        <v>50.1</v>
      </c>
      <c r="K6" s="385"/>
      <c r="L6" s="10">
        <v>20.399999999999999</v>
      </c>
      <c r="M6" s="385"/>
      <c r="N6" s="10">
        <v>19.600000000000001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295.2</v>
      </c>
      <c r="G7" s="385"/>
      <c r="H7" s="28">
        <v>298.10000000000002</v>
      </c>
      <c r="I7" s="385"/>
      <c r="J7" s="28">
        <v>298.10000000000002</v>
      </c>
      <c r="K7" s="385"/>
      <c r="L7" s="28">
        <v>298.2</v>
      </c>
      <c r="M7" s="385"/>
      <c r="N7" s="28">
        <v>298.39999999999998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23.3</v>
      </c>
      <c r="G8" s="385"/>
      <c r="H8" s="29">
        <v>30.5</v>
      </c>
      <c r="I8" s="385"/>
      <c r="J8" s="29">
        <v>29.9</v>
      </c>
      <c r="K8" s="385"/>
      <c r="L8" s="29">
        <v>22.1</v>
      </c>
      <c r="M8" s="385"/>
      <c r="N8" s="29">
        <v>28.499999999999865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16.7</v>
      </c>
      <c r="G9" s="385"/>
      <c r="H9" s="30">
        <v>16.600000000000001</v>
      </c>
      <c r="I9" s="385"/>
      <c r="J9" s="30">
        <v>16.600000000000001</v>
      </c>
      <c r="K9" s="385"/>
      <c r="L9" s="30">
        <v>16.7</v>
      </c>
      <c r="M9" s="385"/>
      <c r="N9" s="30">
        <v>16.7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33</v>
      </c>
      <c r="G10" s="385"/>
      <c r="H10" s="11">
        <v>40.6</v>
      </c>
      <c r="I10" s="385"/>
      <c r="J10" s="11">
        <v>38.4</v>
      </c>
      <c r="K10" s="385"/>
      <c r="L10" s="11">
        <v>35.299999999999997</v>
      </c>
      <c r="M10" s="385"/>
      <c r="N10" s="11">
        <v>35.299999999999997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28</v>
      </c>
      <c r="G11" s="385"/>
      <c r="H11" s="12">
        <v>28</v>
      </c>
      <c r="I11" s="385"/>
      <c r="J11" s="12">
        <v>29</v>
      </c>
      <c r="K11" s="385"/>
      <c r="L11" s="12">
        <v>27.6</v>
      </c>
      <c r="M11" s="385"/>
      <c r="N11" s="12">
        <v>28.1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964.7</v>
      </c>
      <c r="G12" s="385"/>
      <c r="H12" s="13">
        <v>1034.5999999999999</v>
      </c>
      <c r="I12" s="385"/>
      <c r="J12" s="13">
        <v>699.8</v>
      </c>
      <c r="K12" s="385"/>
      <c r="L12" s="13">
        <v>1056.7</v>
      </c>
      <c r="M12" s="385"/>
      <c r="N12" s="13">
        <v>916.6</v>
      </c>
      <c r="O12" s="385"/>
    </row>
    <row r="13" spans="2:15" ht="16">
      <c r="B13" s="376"/>
      <c r="C13" s="379"/>
      <c r="D13" s="388"/>
      <c r="E13" s="45" t="s">
        <v>27</v>
      </c>
      <c r="F13" s="13">
        <v>7.3</v>
      </c>
      <c r="G13" s="385"/>
      <c r="H13" s="13">
        <v>10.5</v>
      </c>
      <c r="I13" s="385"/>
      <c r="J13" s="13">
        <v>12.5</v>
      </c>
      <c r="K13" s="385"/>
      <c r="L13" s="13">
        <v>9</v>
      </c>
      <c r="M13" s="385"/>
      <c r="N13" s="13">
        <v>6.9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32</v>
      </c>
      <c r="G14" s="385"/>
      <c r="H14" s="14">
        <v>19</v>
      </c>
      <c r="I14" s="385"/>
      <c r="J14" s="14">
        <v>234</v>
      </c>
      <c r="K14" s="385"/>
      <c r="L14" s="14">
        <v>19</v>
      </c>
      <c r="M14" s="385"/>
      <c r="N14" s="14">
        <v>32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1537.3999999999999</v>
      </c>
      <c r="G15" s="385"/>
      <c r="H15" s="15">
        <v>1610.5</v>
      </c>
      <c r="I15" s="385"/>
      <c r="J15" s="15">
        <v>1484.1</v>
      </c>
      <c r="K15" s="385"/>
      <c r="L15" s="15">
        <v>1579.5</v>
      </c>
      <c r="M15" s="385"/>
      <c r="N15" s="15">
        <v>1455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875</v>
      </c>
      <c r="G16" s="385"/>
      <c r="H16" s="8">
        <v>855</v>
      </c>
      <c r="I16" s="385"/>
      <c r="J16" s="8">
        <v>865</v>
      </c>
      <c r="K16" s="385"/>
      <c r="L16" s="8">
        <v>804.3</v>
      </c>
      <c r="M16" s="385"/>
      <c r="N16" s="8">
        <v>725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-142.6</v>
      </c>
      <c r="G19" s="385"/>
      <c r="H19" s="18">
        <v>-142.6</v>
      </c>
      <c r="I19" s="385"/>
      <c r="J19" s="18">
        <v>-172.1</v>
      </c>
      <c r="K19" s="385"/>
      <c r="L19" s="18">
        <v>-135.9</v>
      </c>
      <c r="M19" s="385"/>
      <c r="N19" s="18">
        <v>-135.9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34.4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1223.0999999999999</v>
      </c>
      <c r="G21" s="386"/>
      <c r="H21" s="27">
        <v>1229.1999999999998</v>
      </c>
      <c r="I21" s="386"/>
      <c r="J21" s="27">
        <v>1234.2999999999997</v>
      </c>
      <c r="K21" s="386"/>
      <c r="L21" s="27">
        <v>1171.8</v>
      </c>
      <c r="M21" s="386"/>
      <c r="N21" s="27">
        <v>1092.5</v>
      </c>
      <c r="O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 t="s">
        <v>44</v>
      </c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1537.3999999999999</v>
      </c>
      <c r="G23" s="400"/>
      <c r="H23" s="20">
        <v>1610.5</v>
      </c>
      <c r="I23" s="400"/>
      <c r="J23" s="20">
        <v>1484.1</v>
      </c>
      <c r="K23" s="400"/>
      <c r="L23" s="20">
        <v>1579.5</v>
      </c>
      <c r="M23" s="400"/>
      <c r="N23" s="20">
        <v>1455</v>
      </c>
      <c r="O23" s="400"/>
    </row>
    <row r="24" spans="2:15" ht="16">
      <c r="B24" s="409"/>
      <c r="C24" s="403" t="s">
        <v>37</v>
      </c>
      <c r="D24" s="404"/>
      <c r="E24" s="405"/>
      <c r="F24" s="21">
        <v>1223.0999999999999</v>
      </c>
      <c r="G24" s="401"/>
      <c r="H24" s="21">
        <v>1229.1999999999998</v>
      </c>
      <c r="I24" s="401"/>
      <c r="J24" s="21">
        <v>1234.2999999999997</v>
      </c>
      <c r="K24" s="401"/>
      <c r="L24" s="21">
        <v>1171.8</v>
      </c>
      <c r="M24" s="401"/>
      <c r="N24" s="21">
        <v>1092.5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314.29999999999995</v>
      </c>
      <c r="G25" s="402"/>
      <c r="H25" s="67">
        <v>381.30000000000018</v>
      </c>
      <c r="I25" s="402"/>
      <c r="J25" s="67">
        <v>249.80000000000018</v>
      </c>
      <c r="K25" s="402"/>
      <c r="L25" s="67">
        <v>407.70000000000005</v>
      </c>
      <c r="M25" s="402"/>
      <c r="N25" s="67">
        <v>362.5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ED7B-97F0-40FB-83C2-FE46CA34D81B}">
  <dimension ref="A1:Y66"/>
  <sheetViews>
    <sheetView showGridLines="0" view="pageBreakPreview" topLeftCell="A8" zoomScale="70" zoomScaleNormal="55" zoomScaleSheetLayoutView="70" zoomScalePageLayoutView="55" workbookViewId="0">
      <selection activeCell="A58" sqref="A58:XFD66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46070</v>
      </c>
      <c r="G3" s="516"/>
      <c r="H3" s="516"/>
      <c r="I3" s="517"/>
      <c r="J3" s="515">
        <v>46071</v>
      </c>
      <c r="K3" s="516"/>
      <c r="L3" s="516"/>
      <c r="M3" s="517"/>
      <c r="N3" s="515">
        <v>46072</v>
      </c>
      <c r="O3" s="516"/>
      <c r="P3" s="516"/>
      <c r="Q3" s="517"/>
      <c r="R3" s="515">
        <v>46073</v>
      </c>
      <c r="S3" s="516"/>
      <c r="T3" s="516"/>
      <c r="U3" s="517"/>
      <c r="V3" s="515">
        <v>46074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28.1</v>
      </c>
      <c r="G5" s="165">
        <v>28.1</v>
      </c>
      <c r="H5" s="164">
        <f>G5-F5</f>
        <v>0</v>
      </c>
      <c r="I5" s="219"/>
      <c r="J5" s="166">
        <v>28.1</v>
      </c>
      <c r="K5" s="165">
        <v>28.1</v>
      </c>
      <c r="L5" s="164">
        <f>K5-J5</f>
        <v>0</v>
      </c>
      <c r="M5" s="219"/>
      <c r="N5" s="166">
        <v>28.1</v>
      </c>
      <c r="O5" s="165">
        <v>28.1</v>
      </c>
      <c r="P5" s="164">
        <f>O5-N5</f>
        <v>0</v>
      </c>
      <c r="Q5" s="219"/>
      <c r="R5" s="166">
        <v>12.4</v>
      </c>
      <c r="S5" s="165">
        <v>12.4</v>
      </c>
      <c r="T5" s="164">
        <f>S5-R5</f>
        <v>0</v>
      </c>
      <c r="U5" s="219"/>
      <c r="V5" s="166">
        <v>12.4</v>
      </c>
      <c r="W5" s="165">
        <v>12.4</v>
      </c>
      <c r="X5" s="164">
        <f>W5-V5</f>
        <v>0</v>
      </c>
      <c r="Y5" s="219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f>G6-F6</f>
        <v>0</v>
      </c>
      <c r="I6" s="219"/>
      <c r="J6" s="166">
        <v>17.5</v>
      </c>
      <c r="K6" s="165">
        <v>17.5</v>
      </c>
      <c r="L6" s="164">
        <f>K6-J6</f>
        <v>0</v>
      </c>
      <c r="M6" s="219"/>
      <c r="N6" s="166">
        <v>17.5</v>
      </c>
      <c r="O6" s="165">
        <v>17.5</v>
      </c>
      <c r="P6" s="164">
        <f>O6-N6</f>
        <v>0</v>
      </c>
      <c r="Q6" s="219"/>
      <c r="R6" s="166">
        <v>17.5</v>
      </c>
      <c r="S6" s="165">
        <v>17.5</v>
      </c>
      <c r="T6" s="164">
        <f>S6-R6</f>
        <v>0</v>
      </c>
      <c r="U6" s="219"/>
      <c r="V6" s="166">
        <v>17.5</v>
      </c>
      <c r="W6" s="165">
        <v>17.5</v>
      </c>
      <c r="X6" s="164">
        <f>W6-V6</f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>G7-F7</f>
        <v>0</v>
      </c>
      <c r="I7" s="219"/>
      <c r="J7" s="166">
        <v>0</v>
      </c>
      <c r="K7" s="165">
        <v>0</v>
      </c>
      <c r="L7" s="164">
        <f>K7-J7</f>
        <v>0</v>
      </c>
      <c r="M7" s="219"/>
      <c r="N7" s="166">
        <v>0</v>
      </c>
      <c r="O7" s="165">
        <v>0</v>
      </c>
      <c r="P7" s="164">
        <f>O7-N7</f>
        <v>0</v>
      </c>
      <c r="Q7" s="219"/>
      <c r="R7" s="166">
        <v>0</v>
      </c>
      <c r="S7" s="165">
        <v>0</v>
      </c>
      <c r="T7" s="164">
        <f>S7-R7</f>
        <v>0</v>
      </c>
      <c r="U7" s="219"/>
      <c r="V7" s="166">
        <v>0</v>
      </c>
      <c r="W7" s="165">
        <v>0</v>
      </c>
      <c r="X7" s="164">
        <f>W7-V7</f>
        <v>0</v>
      </c>
      <c r="Y7" s="219"/>
    </row>
    <row r="8" spans="3:25" ht="16">
      <c r="C8" s="520"/>
      <c r="D8" s="426"/>
      <c r="E8" s="218" t="s">
        <v>133</v>
      </c>
      <c r="F8" s="166">
        <v>58.800000000000004</v>
      </c>
      <c r="G8" s="216">
        <v>58.800000000000004</v>
      </c>
      <c r="H8" s="164">
        <f>G8-F8</f>
        <v>0</v>
      </c>
      <c r="I8" s="214"/>
      <c r="J8" s="166">
        <v>58.5</v>
      </c>
      <c r="K8" s="216">
        <v>58.5</v>
      </c>
      <c r="L8" s="164">
        <f>K8-J8</f>
        <v>0</v>
      </c>
      <c r="M8" s="214"/>
      <c r="N8" s="166">
        <v>58.300000000000004</v>
      </c>
      <c r="O8" s="216">
        <v>58.300000000000004</v>
      </c>
      <c r="P8" s="164">
        <f>O8-N8</f>
        <v>0</v>
      </c>
      <c r="Q8" s="214"/>
      <c r="R8" s="166">
        <v>56.7</v>
      </c>
      <c r="S8" s="216">
        <v>56.7</v>
      </c>
      <c r="T8" s="164">
        <f>S8-R8</f>
        <v>0</v>
      </c>
      <c r="U8" s="214"/>
      <c r="V8" s="166">
        <v>55.1</v>
      </c>
      <c r="W8" s="216">
        <v>55.1</v>
      </c>
      <c r="X8" s="164">
        <f>W8-V8</f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104.4</v>
      </c>
      <c r="G9" s="188">
        <f>SUM(G5:G8)</f>
        <v>104.4</v>
      </c>
      <c r="H9" s="187">
        <f>G9-F9</f>
        <v>0</v>
      </c>
      <c r="I9" s="213" t="s">
        <v>81</v>
      </c>
      <c r="J9" s="188">
        <f>SUM(J5:J8)</f>
        <v>104.1</v>
      </c>
      <c r="K9" s="188">
        <f>SUM(K5:K8)</f>
        <v>104.1</v>
      </c>
      <c r="L9" s="187">
        <f>K9-J9</f>
        <v>0</v>
      </c>
      <c r="M9" s="213" t="s">
        <v>81</v>
      </c>
      <c r="N9" s="188">
        <f>SUM(N5:N8)</f>
        <v>103.9</v>
      </c>
      <c r="O9" s="188">
        <f>SUM(O5:O8)</f>
        <v>103.9</v>
      </c>
      <c r="P9" s="187">
        <f>O9-N9</f>
        <v>0</v>
      </c>
      <c r="Q9" s="213" t="s">
        <v>81</v>
      </c>
      <c r="R9" s="188">
        <f>SUM(R5:R8)</f>
        <v>86.6</v>
      </c>
      <c r="S9" s="188">
        <f>SUM(S5:S8)</f>
        <v>86.6</v>
      </c>
      <c r="T9" s="187">
        <f>S9-R9</f>
        <v>0</v>
      </c>
      <c r="U9" s="213" t="s">
        <v>81</v>
      </c>
      <c r="V9" s="188">
        <f>SUM(V5:V8)</f>
        <v>85</v>
      </c>
      <c r="W9" s="188">
        <f>SUM(W5:W8)</f>
        <v>85</v>
      </c>
      <c r="X9" s="187">
        <f>W9-V9</f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46070</v>
      </c>
      <c r="G11" s="433"/>
      <c r="H11" s="433"/>
      <c r="I11" s="434"/>
      <c r="J11" s="432">
        <v>46071</v>
      </c>
      <c r="K11" s="433"/>
      <c r="L11" s="433"/>
      <c r="M11" s="434"/>
      <c r="N11" s="432">
        <v>46072</v>
      </c>
      <c r="O11" s="433"/>
      <c r="P11" s="433"/>
      <c r="Q11" s="434"/>
      <c r="R11" s="432">
        <v>46073</v>
      </c>
      <c r="S11" s="433"/>
      <c r="T11" s="433"/>
      <c r="U11" s="434"/>
      <c r="V11" s="432">
        <v>46074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  <c r="V14" s="166">
        <v>-26.1</v>
      </c>
      <c r="W14" s="165">
        <v>0</v>
      </c>
      <c r="X14" s="164">
        <v>26.1</v>
      </c>
      <c r="Y14" s="189" t="s">
        <v>232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0</v>
      </c>
      <c r="H16" s="164">
        <f>G16-F16</f>
        <v>32.5</v>
      </c>
      <c r="I16" s="189" t="s">
        <v>231</v>
      </c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f>SUM(G13:G20)</f>
        <v>-194.6</v>
      </c>
      <c r="H21" s="187">
        <f>SUM(H13:H20)</f>
        <v>58.6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  <c r="V21" s="188">
        <v>-253.2</v>
      </c>
      <c r="W21" s="187">
        <v>-227.1</v>
      </c>
      <c r="X21" s="187">
        <v>26.1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46070</v>
      </c>
      <c r="G23" s="433"/>
      <c r="H23" s="433"/>
      <c r="I23" s="434"/>
      <c r="J23" s="432">
        <v>46071</v>
      </c>
      <c r="K23" s="433"/>
      <c r="L23" s="433"/>
      <c r="M23" s="434"/>
      <c r="N23" s="432">
        <v>46072</v>
      </c>
      <c r="O23" s="433"/>
      <c r="P23" s="433"/>
      <c r="Q23" s="434"/>
      <c r="R23" s="432">
        <v>46073</v>
      </c>
      <c r="S23" s="433"/>
      <c r="T23" s="433"/>
      <c r="U23" s="434"/>
      <c r="V23" s="432">
        <v>46074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0</v>
      </c>
      <c r="H25" s="207">
        <v>5</v>
      </c>
      <c r="I25" s="206" t="s">
        <v>232</v>
      </c>
      <c r="J25" s="209">
        <v>-5</v>
      </c>
      <c r="K25" s="208">
        <v>0</v>
      </c>
      <c r="L25" s="207">
        <v>5</v>
      </c>
      <c r="M25" s="206" t="s">
        <v>232</v>
      </c>
      <c r="N25" s="209">
        <v>-5</v>
      </c>
      <c r="O25" s="208">
        <v>0</v>
      </c>
      <c r="P25" s="207">
        <v>5</v>
      </c>
      <c r="Q25" s="206" t="s">
        <v>232</v>
      </c>
      <c r="R25" s="209">
        <v>-5</v>
      </c>
      <c r="S25" s="208">
        <v>0</v>
      </c>
      <c r="T25" s="207">
        <v>5</v>
      </c>
      <c r="U25" s="206" t="s">
        <v>232</v>
      </c>
      <c r="V25" s="209">
        <v>-5</v>
      </c>
      <c r="W25" s="208">
        <v>0</v>
      </c>
      <c r="X25" s="207">
        <v>5</v>
      </c>
      <c r="Y25" s="206" t="s">
        <v>232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46070</v>
      </c>
      <c r="G27" s="433"/>
      <c r="H27" s="433"/>
      <c r="I27" s="434"/>
      <c r="J27" s="432">
        <v>46071</v>
      </c>
      <c r="K27" s="433"/>
      <c r="L27" s="433"/>
      <c r="M27" s="434"/>
      <c r="N27" s="432">
        <v>46072</v>
      </c>
      <c r="O27" s="433"/>
      <c r="P27" s="433"/>
      <c r="Q27" s="434"/>
      <c r="R27" s="432">
        <v>46073</v>
      </c>
      <c r="S27" s="433"/>
      <c r="T27" s="433"/>
      <c r="U27" s="434"/>
      <c r="V27" s="432">
        <v>46074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24.9</v>
      </c>
      <c r="G33" s="199">
        <v>37.200000000000003</v>
      </c>
      <c r="H33" s="457">
        <v>12.300000000000004</v>
      </c>
      <c r="I33" s="459" t="s">
        <v>247</v>
      </c>
      <c r="J33" s="200">
        <v>84.5</v>
      </c>
      <c r="K33" s="199">
        <v>109.9</v>
      </c>
      <c r="L33" s="457">
        <v>25.400000000000006</v>
      </c>
      <c r="M33" s="459" t="s">
        <v>247</v>
      </c>
      <c r="N33" s="200">
        <v>84.5</v>
      </c>
      <c r="O33" s="199">
        <v>95.2</v>
      </c>
      <c r="P33" s="457">
        <v>10.700000000000003</v>
      </c>
      <c r="Q33" s="459" t="s">
        <v>247</v>
      </c>
      <c r="R33" s="200">
        <v>80.599999999999994</v>
      </c>
      <c r="S33" s="199">
        <v>95.9</v>
      </c>
      <c r="T33" s="457">
        <v>15.300000000000011</v>
      </c>
      <c r="U33" s="459" t="s">
        <v>247</v>
      </c>
      <c r="V33" s="200">
        <v>44.6</v>
      </c>
      <c r="W33" s="199">
        <v>59.6</v>
      </c>
      <c r="X33" s="457">
        <v>15</v>
      </c>
      <c r="Y33" s="459" t="s">
        <v>247</v>
      </c>
    </row>
    <row r="34" spans="3:25" ht="16">
      <c r="C34" s="528"/>
      <c r="D34" s="467"/>
      <c r="E34" s="463" t="s">
        <v>104</v>
      </c>
      <c r="F34" s="198">
        <v>0.13</v>
      </c>
      <c r="G34" s="197">
        <v>0.19</v>
      </c>
      <c r="H34" s="458"/>
      <c r="I34" s="460"/>
      <c r="J34" s="198">
        <v>0.44</v>
      </c>
      <c r="K34" s="197">
        <v>0.56999999999999995</v>
      </c>
      <c r="L34" s="458"/>
      <c r="M34" s="460"/>
      <c r="N34" s="198">
        <v>0.44</v>
      </c>
      <c r="O34" s="197">
        <v>0.5</v>
      </c>
      <c r="P34" s="458"/>
      <c r="Q34" s="460"/>
      <c r="R34" s="198">
        <v>0.45</v>
      </c>
      <c r="S34" s="197">
        <v>0.54</v>
      </c>
      <c r="T34" s="458"/>
      <c r="U34" s="460"/>
      <c r="V34" s="198">
        <v>0.25</v>
      </c>
      <c r="W34" s="197">
        <v>0.33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0.1</v>
      </c>
      <c r="H37" s="164">
        <f>G37-F37</f>
        <v>-9.9</v>
      </c>
      <c r="I37" s="189" t="s">
        <v>246</v>
      </c>
      <c r="J37" s="166">
        <v>10</v>
      </c>
      <c r="K37" s="165">
        <v>-8.5209617139980764E-15</v>
      </c>
      <c r="L37" s="164">
        <f>K37-J37</f>
        <v>-10.000000000000009</v>
      </c>
      <c r="M37" s="189" t="s">
        <v>246</v>
      </c>
      <c r="N37" s="166">
        <v>10</v>
      </c>
      <c r="O37" s="165">
        <v>0</v>
      </c>
      <c r="P37" s="164">
        <f>O37-N37</f>
        <v>-10</v>
      </c>
      <c r="Q37" s="189" t="s">
        <v>246</v>
      </c>
      <c r="R37" s="166">
        <v>10</v>
      </c>
      <c r="S37" s="165">
        <v>0.1</v>
      </c>
      <c r="T37" s="164">
        <f>S37-R37</f>
        <v>-9.9</v>
      </c>
      <c r="U37" s="189" t="s">
        <v>246</v>
      </c>
      <c r="V37" s="166">
        <v>10</v>
      </c>
      <c r="W37" s="165">
        <v>-1.4155343563970746E-15</v>
      </c>
      <c r="X37" s="164">
        <f>W37-V37</f>
        <v>-10.000000000000002</v>
      </c>
      <c r="Y37" s="189" t="s">
        <v>246</v>
      </c>
    </row>
    <row r="38" spans="3:25" ht="16.5" thickBot="1">
      <c r="C38" s="529"/>
      <c r="D38" s="427" t="s">
        <v>101</v>
      </c>
      <c r="E38" s="428"/>
      <c r="F38" s="188">
        <v>89.3</v>
      </c>
      <c r="G38" s="187">
        <f>SUM(G29:G33,G37)</f>
        <v>91.699999999999989</v>
      </c>
      <c r="H38" s="187">
        <f>G38-F38</f>
        <v>2.3999999999999915</v>
      </c>
      <c r="I38" s="186"/>
      <c r="J38" s="188">
        <v>148.9</v>
      </c>
      <c r="K38" s="187">
        <f>SUM(K29:K33,K37)</f>
        <v>164.3</v>
      </c>
      <c r="L38" s="187">
        <f>K38-J38</f>
        <v>15.400000000000006</v>
      </c>
      <c r="M38" s="186"/>
      <c r="N38" s="188">
        <v>148.9</v>
      </c>
      <c r="O38" s="187">
        <v>149.6</v>
      </c>
      <c r="P38" s="187">
        <v>0.70000000000000284</v>
      </c>
      <c r="Q38" s="186"/>
      <c r="R38" s="188">
        <v>145</v>
      </c>
      <c r="S38" s="187">
        <v>150.4</v>
      </c>
      <c r="T38" s="187">
        <v>5.400000000000011</v>
      </c>
      <c r="U38" s="186"/>
      <c r="V38" s="188">
        <v>109</v>
      </c>
      <c r="W38" s="187">
        <f>SUM(W29:W33,W37)</f>
        <v>114</v>
      </c>
      <c r="X38" s="187">
        <f>W38-V38</f>
        <v>5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46070</v>
      </c>
      <c r="G40" s="470"/>
      <c r="H40" s="470"/>
      <c r="I40" s="471"/>
      <c r="J40" s="469">
        <v>46071</v>
      </c>
      <c r="K40" s="470"/>
      <c r="L40" s="470"/>
      <c r="M40" s="471"/>
      <c r="N40" s="469">
        <v>46072</v>
      </c>
      <c r="O40" s="470"/>
      <c r="P40" s="470"/>
      <c r="Q40" s="471"/>
      <c r="R40" s="432">
        <v>46073</v>
      </c>
      <c r="S40" s="433"/>
      <c r="T40" s="433"/>
      <c r="U40" s="434"/>
      <c r="V40" s="432">
        <v>46074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202.3</v>
      </c>
      <c r="G43" s="479"/>
      <c r="H43" s="480"/>
      <c r="I43" s="481"/>
      <c r="J43" s="183">
        <v>202.3</v>
      </c>
      <c r="K43" s="479"/>
      <c r="L43" s="480"/>
      <c r="M43" s="481"/>
      <c r="N43" s="183">
        <v>202.3</v>
      </c>
      <c r="O43" s="479"/>
      <c r="P43" s="480"/>
      <c r="Q43" s="481"/>
      <c r="R43" s="183">
        <v>186.6</v>
      </c>
      <c r="S43" s="479"/>
      <c r="T43" s="480"/>
      <c r="U43" s="481"/>
      <c r="V43" s="183">
        <v>184.2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46070</v>
      </c>
      <c r="G45" s="470"/>
      <c r="H45" s="470"/>
      <c r="I45" s="471"/>
      <c r="J45" s="469">
        <v>46071</v>
      </c>
      <c r="K45" s="470"/>
      <c r="L45" s="470"/>
      <c r="M45" s="471"/>
      <c r="N45" s="469">
        <v>46072</v>
      </c>
      <c r="O45" s="470"/>
      <c r="P45" s="470"/>
      <c r="Q45" s="471"/>
      <c r="R45" s="432">
        <v>46073</v>
      </c>
      <c r="S45" s="433"/>
      <c r="T45" s="433"/>
      <c r="U45" s="434"/>
      <c r="V45" s="432">
        <v>46074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36.6</v>
      </c>
      <c r="G47" s="478">
        <v>46.7</v>
      </c>
      <c r="H47" s="457">
        <v>10.100000000000001</v>
      </c>
      <c r="I47" s="459" t="s">
        <v>232</v>
      </c>
      <c r="J47" s="178">
        <v>39.1</v>
      </c>
      <c r="K47" s="478">
        <v>41.8</v>
      </c>
      <c r="L47" s="457">
        <v>2.6999999999999957</v>
      </c>
      <c r="M47" s="459" t="s">
        <v>245</v>
      </c>
      <c r="N47" s="178">
        <v>39.1</v>
      </c>
      <c r="O47" s="478">
        <v>52.4</v>
      </c>
      <c r="P47" s="457">
        <f>O47-N47</f>
        <v>13.299999999999997</v>
      </c>
      <c r="Q47" s="459" t="s">
        <v>232</v>
      </c>
      <c r="R47" s="178">
        <v>44.3</v>
      </c>
      <c r="S47" s="478">
        <v>51.5</v>
      </c>
      <c r="T47" s="457">
        <v>7.2000000000000028</v>
      </c>
      <c r="U47" s="459" t="s">
        <v>245</v>
      </c>
      <c r="V47" s="178">
        <v>44.3</v>
      </c>
      <c r="W47" s="478">
        <v>52.6</v>
      </c>
      <c r="X47" s="457">
        <f>W47-V47</f>
        <v>8.3000000000000043</v>
      </c>
      <c r="Y47" s="459" t="s">
        <v>232</v>
      </c>
    </row>
    <row r="48" spans="3:25" ht="16.5" thickBot="1">
      <c r="C48" s="533"/>
      <c r="D48" s="487"/>
      <c r="E48" s="489"/>
      <c r="F48" s="177">
        <v>0.55000000000000004</v>
      </c>
      <c r="G48" s="479"/>
      <c r="H48" s="480"/>
      <c r="I48" s="481"/>
      <c r="J48" s="177">
        <v>0.55000000000000004</v>
      </c>
      <c r="K48" s="479"/>
      <c r="L48" s="480"/>
      <c r="M48" s="481"/>
      <c r="N48" s="177">
        <v>0.55000000000000004</v>
      </c>
      <c r="O48" s="479"/>
      <c r="P48" s="480"/>
      <c r="Q48" s="481"/>
      <c r="R48" s="177">
        <v>0.56999999999999995</v>
      </c>
      <c r="S48" s="479"/>
      <c r="T48" s="509"/>
      <c r="U48" s="481"/>
      <c r="V48" s="177">
        <v>0.56999999999999995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46070</v>
      </c>
      <c r="G50" s="470"/>
      <c r="H50" s="470"/>
      <c r="I50" s="471"/>
      <c r="J50" s="469">
        <v>46071</v>
      </c>
      <c r="K50" s="470"/>
      <c r="L50" s="470"/>
      <c r="M50" s="471"/>
      <c r="N50" s="469">
        <v>46072</v>
      </c>
      <c r="O50" s="470"/>
      <c r="P50" s="470"/>
      <c r="Q50" s="471"/>
      <c r="R50" s="432">
        <v>46073</v>
      </c>
      <c r="S50" s="433"/>
      <c r="T50" s="433"/>
      <c r="U50" s="434"/>
      <c r="V50" s="432">
        <v>46074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27</v>
      </c>
      <c r="H53" s="159" t="s">
        <v>81</v>
      </c>
      <c r="I53" s="158" t="s">
        <v>230</v>
      </c>
      <c r="J53" s="161">
        <v>0</v>
      </c>
      <c r="K53" s="160">
        <v>27.7</v>
      </c>
      <c r="L53" s="159" t="s">
        <v>81</v>
      </c>
      <c r="M53" s="158" t="s">
        <v>230</v>
      </c>
      <c r="N53" s="161">
        <v>0</v>
      </c>
      <c r="O53" s="160">
        <v>28.4</v>
      </c>
      <c r="P53" s="159" t="s">
        <v>81</v>
      </c>
      <c r="Q53" s="158" t="s">
        <v>230</v>
      </c>
      <c r="R53" s="161">
        <v>0</v>
      </c>
      <c r="S53" s="160">
        <v>28.8</v>
      </c>
      <c r="T53" s="159" t="s">
        <v>81</v>
      </c>
      <c r="U53" s="158" t="s">
        <v>230</v>
      </c>
      <c r="V53" s="161">
        <v>0</v>
      </c>
      <c r="W53" s="160">
        <v>28.8</v>
      </c>
      <c r="X53" s="159" t="s">
        <v>81</v>
      </c>
      <c r="Y53" s="158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</sheetData>
  <mergeCells count="135">
    <mergeCell ref="Y31:Y32"/>
    <mergeCell ref="N3:Q3"/>
    <mergeCell ref="R3:U3"/>
    <mergeCell ref="V3:Y3"/>
    <mergeCell ref="R23:U23"/>
    <mergeCell ref="V23:Y23"/>
    <mergeCell ref="N11:Q11"/>
    <mergeCell ref="R11:U11"/>
    <mergeCell ref="U33:U34"/>
    <mergeCell ref="O31:O32"/>
    <mergeCell ref="T33:T34"/>
    <mergeCell ref="O29:O30"/>
    <mergeCell ref="N27:Q27"/>
    <mergeCell ref="V11:Y11"/>
    <mergeCell ref="X31:X32"/>
    <mergeCell ref="W29:W30"/>
    <mergeCell ref="X29:X30"/>
    <mergeCell ref="P29:P30"/>
    <mergeCell ref="Q29:Q30"/>
    <mergeCell ref="S29:S30"/>
    <mergeCell ref="T29:T30"/>
    <mergeCell ref="U29:U30"/>
    <mergeCell ref="C3:E3"/>
    <mergeCell ref="F3:I3"/>
    <mergeCell ref="J3:M3"/>
    <mergeCell ref="J11:M11"/>
    <mergeCell ref="R45:U45"/>
    <mergeCell ref="Y42:Y43"/>
    <mergeCell ref="X42:X43"/>
    <mergeCell ref="W42:W43"/>
    <mergeCell ref="U42:U43"/>
    <mergeCell ref="T42:T43"/>
    <mergeCell ref="F27:I27"/>
    <mergeCell ref="C4:C9"/>
    <mergeCell ref="D5:D6"/>
    <mergeCell ref="D7:D8"/>
    <mergeCell ref="D9:E9"/>
    <mergeCell ref="C11:E11"/>
    <mergeCell ref="F11:I11"/>
    <mergeCell ref="P33:P34"/>
    <mergeCell ref="Q33:Q34"/>
    <mergeCell ref="C12:C21"/>
    <mergeCell ref="D13:D14"/>
    <mergeCell ref="D15:D16"/>
    <mergeCell ref="D17:D20"/>
    <mergeCell ref="D21:E21"/>
    <mergeCell ref="E24:E25"/>
    <mergeCell ref="C27:E27"/>
    <mergeCell ref="K29:K30"/>
    <mergeCell ref="L29:L30"/>
    <mergeCell ref="M29:M30"/>
    <mergeCell ref="D33:D37"/>
    <mergeCell ref="H33:H34"/>
    <mergeCell ref="I33:I34"/>
    <mergeCell ref="L33:L34"/>
    <mergeCell ref="M33:M34"/>
    <mergeCell ref="C28:C38"/>
    <mergeCell ref="D29:D32"/>
    <mergeCell ref="E29:E30"/>
    <mergeCell ref="G29:G30"/>
    <mergeCell ref="H29:H30"/>
    <mergeCell ref="I29:I30"/>
    <mergeCell ref="J27:M27"/>
    <mergeCell ref="C23:E23"/>
    <mergeCell ref="F23:I23"/>
    <mergeCell ref="J23:M23"/>
    <mergeCell ref="N23:Q23"/>
    <mergeCell ref="R27:U27"/>
    <mergeCell ref="X33:X34"/>
    <mergeCell ref="Y33:Y34"/>
    <mergeCell ref="E34:E36"/>
    <mergeCell ref="E31:E32"/>
    <mergeCell ref="G31:G32"/>
    <mergeCell ref="H31:H32"/>
    <mergeCell ref="I31:I32"/>
    <mergeCell ref="K31:K32"/>
    <mergeCell ref="L31:L32"/>
    <mergeCell ref="M31:M32"/>
    <mergeCell ref="P31:P32"/>
    <mergeCell ref="Q31:Q32"/>
    <mergeCell ref="S31:S32"/>
    <mergeCell ref="T31:T32"/>
    <mergeCell ref="U31:U32"/>
    <mergeCell ref="W31:W32"/>
    <mergeCell ref="V27:Y27"/>
    <mergeCell ref="Y29:Y30"/>
    <mergeCell ref="C24:D25"/>
    <mergeCell ref="R40:U40"/>
    <mergeCell ref="V40:Y40"/>
    <mergeCell ref="C45:E45"/>
    <mergeCell ref="F45:I45"/>
    <mergeCell ref="J45:M45"/>
    <mergeCell ref="N45:Q45"/>
    <mergeCell ref="L42:L43"/>
    <mergeCell ref="M42:M43"/>
    <mergeCell ref="O42:O43"/>
    <mergeCell ref="P42:P43"/>
    <mergeCell ref="V45:Y45"/>
    <mergeCell ref="S42:S43"/>
    <mergeCell ref="Q42:Q43"/>
    <mergeCell ref="D38:E38"/>
    <mergeCell ref="C40:E40"/>
    <mergeCell ref="F40:I40"/>
    <mergeCell ref="J40:M40"/>
    <mergeCell ref="N40:Q40"/>
    <mergeCell ref="C46:D48"/>
    <mergeCell ref="E47:E48"/>
    <mergeCell ref="G47:G48"/>
    <mergeCell ref="H47:H48"/>
    <mergeCell ref="I47:I48"/>
    <mergeCell ref="K47:K48"/>
    <mergeCell ref="L47:L48"/>
    <mergeCell ref="M47:M48"/>
    <mergeCell ref="O47:O48"/>
    <mergeCell ref="P47:P48"/>
    <mergeCell ref="Q47:Q48"/>
    <mergeCell ref="C41:D43"/>
    <mergeCell ref="E42:E43"/>
    <mergeCell ref="G42:G43"/>
    <mergeCell ref="H42:H43"/>
    <mergeCell ref="I42:I43"/>
    <mergeCell ref="K42:K43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V50:Y50"/>
    <mergeCell ref="R50:U50"/>
    <mergeCell ref="S47:S48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&amp;"メイリオ,ボールド"&amp;22日別の優先給電ルールに基づく抑制、調整状況（2026年2月）</oddHeader>
    <oddFooter>&amp;R&amp;"メイリオ,レギュラー"&amp;14九州電力送配電株式会社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8D49-C644-4A2E-8ECE-53C3AF09E0CD}">
  <dimension ref="A1:U66"/>
  <sheetViews>
    <sheetView showGridLines="0" view="pageBreakPreview" zoomScale="70" zoomScaleNormal="55" zoomScaleSheetLayoutView="70" zoomScalePageLayoutView="55" workbookViewId="0">
      <selection activeCell="A58" sqref="A58:XFD66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16384" width="9" style="1"/>
  </cols>
  <sheetData>
    <row r="1" spans="3:21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1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</row>
    <row r="3" spans="3:21" ht="16.5" thickBot="1">
      <c r="C3" s="514" t="s">
        <v>142</v>
      </c>
      <c r="D3" s="430"/>
      <c r="E3" s="431"/>
      <c r="F3" s="515">
        <v>46075</v>
      </c>
      <c r="G3" s="516"/>
      <c r="H3" s="516"/>
      <c r="I3" s="517"/>
      <c r="J3" s="515">
        <v>46076</v>
      </c>
      <c r="K3" s="516"/>
      <c r="L3" s="516"/>
      <c r="M3" s="517"/>
      <c r="N3" s="515">
        <v>46079</v>
      </c>
      <c r="O3" s="516"/>
      <c r="P3" s="516"/>
      <c r="Q3" s="517"/>
      <c r="R3" s="515">
        <v>46081</v>
      </c>
      <c r="S3" s="516"/>
      <c r="T3" s="516"/>
      <c r="U3" s="517"/>
    </row>
    <row r="4" spans="3:21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</row>
    <row r="5" spans="3:21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f>G5-F5</f>
        <v>0</v>
      </c>
      <c r="I5" s="219"/>
      <c r="J5" s="166">
        <v>12.4</v>
      </c>
      <c r="K5" s="165">
        <v>12.4</v>
      </c>
      <c r="L5" s="164">
        <f>K5-J5</f>
        <v>0</v>
      </c>
      <c r="M5" s="219"/>
      <c r="N5" s="166">
        <v>28.1</v>
      </c>
      <c r="O5" s="165">
        <v>28.1</v>
      </c>
      <c r="P5" s="164">
        <f>O5-N5</f>
        <v>0</v>
      </c>
      <c r="Q5" s="219"/>
      <c r="R5" s="166">
        <v>12.4</v>
      </c>
      <c r="S5" s="165">
        <v>12.4</v>
      </c>
      <c r="T5" s="164">
        <f>S5-R5</f>
        <v>0</v>
      </c>
      <c r="U5" s="219"/>
    </row>
    <row r="6" spans="3:21" ht="16">
      <c r="C6" s="519"/>
      <c r="D6" s="426"/>
      <c r="E6" s="211" t="s">
        <v>136</v>
      </c>
      <c r="F6" s="166">
        <v>17.5</v>
      </c>
      <c r="G6" s="165">
        <v>17.5</v>
      </c>
      <c r="H6" s="164">
        <f>G6-F6</f>
        <v>0</v>
      </c>
      <c r="I6" s="219"/>
      <c r="J6" s="166">
        <v>17.5</v>
      </c>
      <c r="K6" s="165">
        <v>17.5</v>
      </c>
      <c r="L6" s="164">
        <f>K6-J6</f>
        <v>0</v>
      </c>
      <c r="M6" s="219"/>
      <c r="N6" s="166">
        <v>17.5</v>
      </c>
      <c r="O6" s="165">
        <v>17.5</v>
      </c>
      <c r="P6" s="164">
        <f>O6-N6</f>
        <v>0</v>
      </c>
      <c r="Q6" s="219"/>
      <c r="R6" s="166">
        <v>17.5</v>
      </c>
      <c r="S6" s="165">
        <v>17.5</v>
      </c>
      <c r="T6" s="164">
        <f>S6-R6</f>
        <v>0</v>
      </c>
      <c r="U6" s="219"/>
    </row>
    <row r="7" spans="3:21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>G7-F7</f>
        <v>0</v>
      </c>
      <c r="I7" s="219"/>
      <c r="J7" s="166">
        <v>0</v>
      </c>
      <c r="K7" s="165">
        <v>0</v>
      </c>
      <c r="L7" s="164">
        <f>K7-J7</f>
        <v>0</v>
      </c>
      <c r="M7" s="219"/>
      <c r="N7" s="166">
        <v>0</v>
      </c>
      <c r="O7" s="165">
        <v>0</v>
      </c>
      <c r="P7" s="164">
        <f>O7-N7</f>
        <v>0</v>
      </c>
      <c r="Q7" s="219"/>
      <c r="R7" s="166">
        <v>0</v>
      </c>
      <c r="S7" s="165">
        <v>0</v>
      </c>
      <c r="T7" s="164">
        <f>S7-R7</f>
        <v>0</v>
      </c>
      <c r="U7" s="219"/>
    </row>
    <row r="8" spans="3:21" ht="16">
      <c r="C8" s="520"/>
      <c r="D8" s="426"/>
      <c r="E8" s="218" t="s">
        <v>133</v>
      </c>
      <c r="F8" s="166">
        <v>53.1</v>
      </c>
      <c r="G8" s="216">
        <v>53.1</v>
      </c>
      <c r="H8" s="164">
        <f>G8-F8</f>
        <v>0</v>
      </c>
      <c r="I8" s="214"/>
      <c r="J8" s="166">
        <v>53.5</v>
      </c>
      <c r="K8" s="216">
        <v>53.5</v>
      </c>
      <c r="L8" s="164">
        <f>K8-J8</f>
        <v>0</v>
      </c>
      <c r="M8" s="214"/>
      <c r="N8" s="166">
        <v>55.900000000000006</v>
      </c>
      <c r="O8" s="216">
        <v>55.900000000000006</v>
      </c>
      <c r="P8" s="164">
        <f>O8-N8</f>
        <v>0</v>
      </c>
      <c r="Q8" s="214"/>
      <c r="R8" s="166">
        <v>54.1</v>
      </c>
      <c r="S8" s="216">
        <v>54.1</v>
      </c>
      <c r="T8" s="164">
        <f>S8-R8</f>
        <v>0</v>
      </c>
      <c r="U8" s="214"/>
    </row>
    <row r="9" spans="3:21" ht="16.5" thickBot="1">
      <c r="C9" s="521"/>
      <c r="D9" s="427" t="s">
        <v>101</v>
      </c>
      <c r="E9" s="428"/>
      <c r="F9" s="188">
        <f>SUM(F5:F8)</f>
        <v>83</v>
      </c>
      <c r="G9" s="188">
        <f>SUM(G5:G8)</f>
        <v>83</v>
      </c>
      <c r="H9" s="187">
        <f>G9-F9</f>
        <v>0</v>
      </c>
      <c r="I9" s="213" t="s">
        <v>81</v>
      </c>
      <c r="J9" s="188">
        <f>SUM(J5:J8)</f>
        <v>83.4</v>
      </c>
      <c r="K9" s="188">
        <f>SUM(K5:K8)</f>
        <v>83.4</v>
      </c>
      <c r="L9" s="187">
        <f>K9-J9</f>
        <v>0</v>
      </c>
      <c r="M9" s="213" t="s">
        <v>81</v>
      </c>
      <c r="N9" s="188">
        <f>SUM(N5:N8)</f>
        <v>101.5</v>
      </c>
      <c r="O9" s="188">
        <f>SUM(O5:O8)</f>
        <v>101.5</v>
      </c>
      <c r="P9" s="187">
        <f>O9-N9</f>
        <v>0</v>
      </c>
      <c r="Q9" s="213" t="s">
        <v>81</v>
      </c>
      <c r="R9" s="188">
        <f>SUM(R5:R8)</f>
        <v>84</v>
      </c>
      <c r="S9" s="188">
        <f>SUM(S5:S8)</f>
        <v>84</v>
      </c>
      <c r="T9" s="187">
        <f>S9-R9</f>
        <v>0</v>
      </c>
      <c r="U9" s="213" t="s">
        <v>81</v>
      </c>
    </row>
    <row r="10" spans="3:21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3"/>
    </row>
    <row r="11" spans="3:21" ht="16.5" thickBot="1">
      <c r="C11" s="514" t="s">
        <v>132</v>
      </c>
      <c r="D11" s="430"/>
      <c r="E11" s="431"/>
      <c r="F11" s="432">
        <v>46075</v>
      </c>
      <c r="G11" s="433"/>
      <c r="H11" s="433"/>
      <c r="I11" s="434"/>
      <c r="J11" s="432">
        <v>46076</v>
      </c>
      <c r="K11" s="433"/>
      <c r="L11" s="433"/>
      <c r="M11" s="434"/>
      <c r="N11" s="432">
        <v>46079</v>
      </c>
      <c r="O11" s="433"/>
      <c r="P11" s="433"/>
      <c r="Q11" s="434"/>
      <c r="R11" s="432">
        <v>46081</v>
      </c>
      <c r="S11" s="433"/>
      <c r="T11" s="433"/>
      <c r="U11" s="434"/>
    </row>
    <row r="12" spans="3:21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</row>
    <row r="13" spans="3:21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</row>
    <row r="14" spans="3:21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</row>
    <row r="15" spans="3:21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</row>
    <row r="16" spans="3:21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</row>
    <row r="17" spans="3:21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</row>
    <row r="18" spans="3:21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</row>
    <row r="19" spans="3:21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</row>
    <row r="20" spans="3:21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</row>
    <row r="21" spans="3:21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</row>
    <row r="22" spans="3:21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3"/>
    </row>
    <row r="23" spans="3:21" ht="16.5" thickBot="1">
      <c r="C23" s="514" t="s">
        <v>120</v>
      </c>
      <c r="D23" s="430"/>
      <c r="E23" s="431"/>
      <c r="F23" s="432">
        <v>46075</v>
      </c>
      <c r="G23" s="433"/>
      <c r="H23" s="433"/>
      <c r="I23" s="434"/>
      <c r="J23" s="432">
        <v>46076</v>
      </c>
      <c r="K23" s="433"/>
      <c r="L23" s="433"/>
      <c r="M23" s="434"/>
      <c r="N23" s="432">
        <v>46079</v>
      </c>
      <c r="O23" s="433"/>
      <c r="P23" s="433"/>
      <c r="Q23" s="434"/>
      <c r="R23" s="432">
        <v>46081</v>
      </c>
      <c r="S23" s="433"/>
      <c r="T23" s="433"/>
      <c r="U23" s="434"/>
    </row>
    <row r="24" spans="3:21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</row>
    <row r="25" spans="3:21" ht="16.5" thickBot="1">
      <c r="C25" s="526"/>
      <c r="D25" s="447"/>
      <c r="E25" s="449"/>
      <c r="F25" s="209">
        <v>-5</v>
      </c>
      <c r="G25" s="208">
        <v>0</v>
      </c>
      <c r="H25" s="207">
        <v>5</v>
      </c>
      <c r="I25" s="206" t="s">
        <v>232</v>
      </c>
      <c r="J25" s="209">
        <v>-5</v>
      </c>
      <c r="K25" s="208">
        <v>0</v>
      </c>
      <c r="L25" s="207">
        <v>5</v>
      </c>
      <c r="M25" s="206" t="s">
        <v>232</v>
      </c>
      <c r="N25" s="209">
        <v>-5</v>
      </c>
      <c r="O25" s="208">
        <v>0</v>
      </c>
      <c r="P25" s="207">
        <v>5</v>
      </c>
      <c r="Q25" s="206" t="s">
        <v>232</v>
      </c>
      <c r="R25" s="209">
        <v>-5</v>
      </c>
      <c r="S25" s="208">
        <v>0</v>
      </c>
      <c r="T25" s="207">
        <v>5</v>
      </c>
      <c r="U25" s="206" t="s">
        <v>232</v>
      </c>
    </row>
    <row r="26" spans="3:21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3"/>
    </row>
    <row r="27" spans="3:21" ht="16.5" thickBot="1">
      <c r="C27" s="514" t="s">
        <v>116</v>
      </c>
      <c r="D27" s="430"/>
      <c r="E27" s="431"/>
      <c r="F27" s="432">
        <v>46075</v>
      </c>
      <c r="G27" s="433"/>
      <c r="H27" s="433"/>
      <c r="I27" s="434"/>
      <c r="J27" s="432">
        <v>46076</v>
      </c>
      <c r="K27" s="433"/>
      <c r="L27" s="433"/>
      <c r="M27" s="434"/>
      <c r="N27" s="432">
        <v>46079</v>
      </c>
      <c r="O27" s="433"/>
      <c r="P27" s="433"/>
      <c r="Q27" s="434"/>
      <c r="R27" s="432">
        <v>46081</v>
      </c>
      <c r="S27" s="433"/>
      <c r="T27" s="433"/>
      <c r="U27" s="434"/>
    </row>
    <row r="28" spans="3:21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</row>
    <row r="29" spans="3:21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</row>
    <row r="30" spans="3:21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</row>
    <row r="31" spans="3:21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54.4</v>
      </c>
      <c r="T31" s="457">
        <v>0</v>
      </c>
      <c r="U31" s="459"/>
    </row>
    <row r="32" spans="3:21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</row>
    <row r="33" spans="3:21" ht="16">
      <c r="C33" s="528"/>
      <c r="D33" s="466" t="s">
        <v>107</v>
      </c>
      <c r="E33" s="201" t="s">
        <v>106</v>
      </c>
      <c r="F33" s="200">
        <v>21</v>
      </c>
      <c r="G33" s="199">
        <v>34.200000000000003</v>
      </c>
      <c r="H33" s="457">
        <v>13.200000000000003</v>
      </c>
      <c r="I33" s="459" t="s">
        <v>247</v>
      </c>
      <c r="J33" s="200">
        <v>21</v>
      </c>
      <c r="K33" s="199">
        <v>34.200000000000003</v>
      </c>
      <c r="L33" s="457">
        <v>13.200000000000003</v>
      </c>
      <c r="M33" s="459" t="s">
        <v>247</v>
      </c>
      <c r="N33" s="200">
        <v>80.599999999999994</v>
      </c>
      <c r="O33" s="199">
        <v>93.3</v>
      </c>
      <c r="P33" s="457">
        <v>12.700000000000003</v>
      </c>
      <c r="Q33" s="459" t="s">
        <v>247</v>
      </c>
      <c r="R33" s="200">
        <v>50.7</v>
      </c>
      <c r="S33" s="199">
        <v>61.8</v>
      </c>
      <c r="T33" s="457">
        <v>11.099999999999994</v>
      </c>
      <c r="U33" s="459" t="s">
        <v>247</v>
      </c>
    </row>
    <row r="34" spans="3:21" ht="16">
      <c r="C34" s="528"/>
      <c r="D34" s="467"/>
      <c r="E34" s="463" t="s">
        <v>104</v>
      </c>
      <c r="F34" s="198">
        <v>0.12</v>
      </c>
      <c r="G34" s="197">
        <v>0.19</v>
      </c>
      <c r="H34" s="458"/>
      <c r="I34" s="460"/>
      <c r="J34" s="198">
        <v>0.12</v>
      </c>
      <c r="K34" s="197">
        <v>0.19</v>
      </c>
      <c r="L34" s="458"/>
      <c r="M34" s="460"/>
      <c r="N34" s="198">
        <v>0.45</v>
      </c>
      <c r="O34" s="197">
        <v>0.52</v>
      </c>
      <c r="P34" s="458"/>
      <c r="Q34" s="460"/>
      <c r="R34" s="198">
        <v>0.28000000000000003</v>
      </c>
      <c r="S34" s="197">
        <v>0.35</v>
      </c>
      <c r="T34" s="458"/>
      <c r="U34" s="460"/>
    </row>
    <row r="35" spans="3:21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</row>
    <row r="36" spans="3:21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</row>
    <row r="37" spans="3:21" ht="16">
      <c r="C37" s="528"/>
      <c r="D37" s="467"/>
      <c r="E37" s="190" t="s">
        <v>103</v>
      </c>
      <c r="F37" s="166">
        <v>10</v>
      </c>
      <c r="G37" s="165">
        <v>0.1</v>
      </c>
      <c r="H37" s="164">
        <v>-9.9</v>
      </c>
      <c r="I37" s="189" t="s">
        <v>246</v>
      </c>
      <c r="J37" s="166">
        <v>10</v>
      </c>
      <c r="K37" s="165">
        <v>0.5</v>
      </c>
      <c r="L37" s="164">
        <f>K37-J37</f>
        <v>-9.5</v>
      </c>
      <c r="M37" s="189" t="s">
        <v>246</v>
      </c>
      <c r="N37" s="166">
        <v>10</v>
      </c>
      <c r="O37" s="165">
        <v>0.5</v>
      </c>
      <c r="P37" s="164">
        <f>O37-N37</f>
        <v>-9.5</v>
      </c>
      <c r="Q37" s="189" t="s">
        <v>246</v>
      </c>
      <c r="R37" s="166">
        <v>10</v>
      </c>
      <c r="S37" s="165">
        <v>0.6</v>
      </c>
      <c r="T37" s="164">
        <f>S37-R37</f>
        <v>-9.4</v>
      </c>
      <c r="U37" s="189" t="s">
        <v>246</v>
      </c>
    </row>
    <row r="38" spans="3:21" ht="16.5" thickBot="1">
      <c r="C38" s="529"/>
      <c r="D38" s="427" t="s">
        <v>101</v>
      </c>
      <c r="E38" s="428"/>
      <c r="F38" s="188">
        <v>85.4</v>
      </c>
      <c r="G38" s="187">
        <v>88.699999999999989</v>
      </c>
      <c r="H38" s="187">
        <v>3.3000000000000025</v>
      </c>
      <c r="I38" s="186"/>
      <c r="J38" s="188">
        <v>85.4</v>
      </c>
      <c r="K38" s="187">
        <f>K29+K31+K33+K37</f>
        <v>89.1</v>
      </c>
      <c r="L38" s="187">
        <f>K38-J38</f>
        <v>3.6999999999999886</v>
      </c>
      <c r="M38" s="186"/>
      <c r="N38" s="188">
        <v>145</v>
      </c>
      <c r="O38" s="187">
        <f>O29+O31+O33+O37</f>
        <v>148.19999999999999</v>
      </c>
      <c r="P38" s="187">
        <v>3.2000000000000028</v>
      </c>
      <c r="Q38" s="186"/>
      <c r="R38" s="188">
        <v>115.1</v>
      </c>
      <c r="S38" s="187">
        <f>S29+S31+S33+S37</f>
        <v>116.79999999999998</v>
      </c>
      <c r="T38" s="187">
        <f>S38-R38</f>
        <v>1.6999999999999886</v>
      </c>
      <c r="U38" s="186"/>
    </row>
    <row r="39" spans="3:21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3"/>
    </row>
    <row r="40" spans="3:21" ht="16.5" thickBot="1">
      <c r="C40" s="514" t="s">
        <v>100</v>
      </c>
      <c r="D40" s="430"/>
      <c r="E40" s="431"/>
      <c r="F40" s="469">
        <v>46075</v>
      </c>
      <c r="G40" s="470"/>
      <c r="H40" s="470"/>
      <c r="I40" s="471"/>
      <c r="J40" s="469">
        <v>46076</v>
      </c>
      <c r="K40" s="470"/>
      <c r="L40" s="470"/>
      <c r="M40" s="471"/>
      <c r="N40" s="469">
        <v>46079</v>
      </c>
      <c r="O40" s="470"/>
      <c r="P40" s="470"/>
      <c r="Q40" s="471"/>
      <c r="R40" s="432">
        <v>46081</v>
      </c>
      <c r="S40" s="433"/>
      <c r="T40" s="433"/>
      <c r="U40" s="434"/>
    </row>
    <row r="41" spans="3:21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</row>
    <row r="42" spans="3:21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63.4</v>
      </c>
      <c r="O42" s="478">
        <v>63.3</v>
      </c>
      <c r="P42" s="457">
        <f>O42-N42</f>
        <v>-0.10000000000000142</v>
      </c>
      <c r="Q42" s="459" t="s">
        <v>234</v>
      </c>
      <c r="R42" s="178">
        <v>0</v>
      </c>
      <c r="S42" s="478">
        <v>0</v>
      </c>
      <c r="T42" s="457">
        <v>0</v>
      </c>
      <c r="U42" s="459"/>
    </row>
    <row r="43" spans="3:21" ht="16.5" thickBot="1">
      <c r="C43" s="531"/>
      <c r="D43" s="475"/>
      <c r="E43" s="477"/>
      <c r="F43" s="183">
        <v>184.2</v>
      </c>
      <c r="G43" s="479"/>
      <c r="H43" s="480"/>
      <c r="I43" s="481"/>
      <c r="J43" s="183">
        <v>184.2</v>
      </c>
      <c r="K43" s="479"/>
      <c r="L43" s="480"/>
      <c r="M43" s="481"/>
      <c r="N43" s="183">
        <v>214.9</v>
      </c>
      <c r="O43" s="479"/>
      <c r="P43" s="480"/>
      <c r="Q43" s="481"/>
      <c r="R43" s="183">
        <v>184.2</v>
      </c>
      <c r="S43" s="479"/>
      <c r="T43" s="480"/>
      <c r="U43" s="481"/>
    </row>
    <row r="44" spans="3:21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3"/>
    </row>
    <row r="45" spans="3:21" ht="16.5" thickBot="1">
      <c r="C45" s="514" t="s">
        <v>94</v>
      </c>
      <c r="D45" s="430"/>
      <c r="E45" s="431"/>
      <c r="F45" s="469">
        <v>46075</v>
      </c>
      <c r="G45" s="470"/>
      <c r="H45" s="470"/>
      <c r="I45" s="471"/>
      <c r="J45" s="469">
        <v>46076</v>
      </c>
      <c r="K45" s="470"/>
      <c r="L45" s="470"/>
      <c r="M45" s="471"/>
      <c r="N45" s="469">
        <v>46079</v>
      </c>
      <c r="O45" s="470"/>
      <c r="P45" s="470"/>
      <c r="Q45" s="471"/>
      <c r="R45" s="432">
        <v>46081</v>
      </c>
      <c r="S45" s="433"/>
      <c r="T45" s="433"/>
      <c r="U45" s="434"/>
    </row>
    <row r="46" spans="3:21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</row>
    <row r="47" spans="3:21" ht="16">
      <c r="C47" s="525"/>
      <c r="D47" s="483"/>
      <c r="E47" s="488" t="s">
        <v>91</v>
      </c>
      <c r="F47" s="178">
        <v>44.3</v>
      </c>
      <c r="G47" s="478">
        <v>51.8</v>
      </c>
      <c r="H47" s="457">
        <v>7.5</v>
      </c>
      <c r="I47" s="459" t="s">
        <v>232</v>
      </c>
      <c r="J47" s="178">
        <v>44.3</v>
      </c>
      <c r="K47" s="478">
        <v>50.7</v>
      </c>
      <c r="L47" s="457">
        <f>K47-J47</f>
        <v>6.4000000000000057</v>
      </c>
      <c r="M47" s="459" t="s">
        <v>232</v>
      </c>
      <c r="N47" s="178">
        <v>39.1</v>
      </c>
      <c r="O47" s="478">
        <v>43.6</v>
      </c>
      <c r="P47" s="457">
        <v>4.5</v>
      </c>
      <c r="Q47" s="459" t="s">
        <v>245</v>
      </c>
      <c r="R47" s="178">
        <v>44.3</v>
      </c>
      <c r="S47" s="478">
        <v>42.7</v>
      </c>
      <c r="T47" s="457">
        <v>-1.5999999999999943</v>
      </c>
      <c r="U47" s="459" t="s">
        <v>245</v>
      </c>
    </row>
    <row r="48" spans="3:21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0.56999999999999995</v>
      </c>
      <c r="K48" s="479"/>
      <c r="L48" s="480"/>
      <c r="M48" s="481"/>
      <c r="N48" s="177">
        <v>0.57999999999999996</v>
      </c>
      <c r="O48" s="479"/>
      <c r="P48" s="480"/>
      <c r="Q48" s="481"/>
      <c r="R48" s="177">
        <v>0.56999999999999995</v>
      </c>
      <c r="S48" s="479"/>
      <c r="T48" s="509"/>
      <c r="U48" s="481"/>
    </row>
    <row r="49" spans="1:21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3"/>
    </row>
    <row r="50" spans="1:21" ht="16.5" thickBot="1">
      <c r="C50" s="514" t="s">
        <v>89</v>
      </c>
      <c r="D50" s="430"/>
      <c r="E50" s="431"/>
      <c r="F50" s="469">
        <v>46075</v>
      </c>
      <c r="G50" s="470"/>
      <c r="H50" s="470"/>
      <c r="I50" s="471"/>
      <c r="J50" s="469">
        <v>46076</v>
      </c>
      <c r="K50" s="470"/>
      <c r="L50" s="470"/>
      <c r="M50" s="471"/>
      <c r="N50" s="469">
        <v>46079</v>
      </c>
      <c r="O50" s="470"/>
      <c r="P50" s="470"/>
      <c r="Q50" s="471"/>
      <c r="R50" s="432">
        <v>46081</v>
      </c>
      <c r="S50" s="433"/>
      <c r="T50" s="433"/>
      <c r="U50" s="434"/>
    </row>
    <row r="51" spans="1:21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</row>
    <row r="52" spans="1:21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</row>
    <row r="53" spans="1:21" ht="16.5" thickBot="1">
      <c r="C53" s="533"/>
      <c r="D53" s="487"/>
      <c r="E53" s="162" t="s">
        <v>82</v>
      </c>
      <c r="F53" s="161">
        <v>0</v>
      </c>
      <c r="G53" s="160">
        <v>29.2</v>
      </c>
      <c r="H53" s="159" t="s">
        <v>81</v>
      </c>
      <c r="I53" s="158" t="s">
        <v>230</v>
      </c>
      <c r="J53" s="161">
        <v>0</v>
      </c>
      <c r="K53" s="160">
        <v>30.5</v>
      </c>
      <c r="L53" s="159" t="s">
        <v>81</v>
      </c>
      <c r="M53" s="158" t="s">
        <v>230</v>
      </c>
      <c r="N53" s="161">
        <v>0</v>
      </c>
      <c r="O53" s="160">
        <v>29.8</v>
      </c>
      <c r="P53" s="159" t="s">
        <v>81</v>
      </c>
      <c r="Q53" s="158" t="s">
        <v>230</v>
      </c>
      <c r="R53" s="161">
        <v>0</v>
      </c>
      <c r="S53" s="160">
        <v>29.7</v>
      </c>
      <c r="T53" s="159" t="s">
        <v>81</v>
      </c>
      <c r="U53" s="158" t="s">
        <v>230</v>
      </c>
    </row>
    <row r="54" spans="1:21">
      <c r="C54" s="1" t="s">
        <v>79</v>
      </c>
    </row>
    <row r="56" spans="1:21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1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1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</row>
    <row r="60" spans="1:21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</row>
    <row r="62" spans="1:21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</row>
    <row r="63" spans="1:21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</row>
    <row r="65" spans="6:20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</row>
    <row r="66" spans="6:20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</row>
  </sheetData>
  <mergeCells count="114">
    <mergeCell ref="H47:H48"/>
    <mergeCell ref="I47:I48"/>
    <mergeCell ref="K47:K48"/>
    <mergeCell ref="R50:U50"/>
    <mergeCell ref="L47:L48"/>
    <mergeCell ref="M47:M48"/>
    <mergeCell ref="O47:O48"/>
    <mergeCell ref="P47:P48"/>
    <mergeCell ref="Q47:Q48"/>
    <mergeCell ref="S47:S48"/>
    <mergeCell ref="C51:D53"/>
    <mergeCell ref="T47:T48"/>
    <mergeCell ref="U47:U48"/>
    <mergeCell ref="C50:E50"/>
    <mergeCell ref="F50:I50"/>
    <mergeCell ref="J50:M50"/>
    <mergeCell ref="N50:Q50"/>
    <mergeCell ref="C41:D43"/>
    <mergeCell ref="E42:E43"/>
    <mergeCell ref="G42:G43"/>
    <mergeCell ref="H42:H43"/>
    <mergeCell ref="I42:I43"/>
    <mergeCell ref="K42:K43"/>
    <mergeCell ref="C45:E45"/>
    <mergeCell ref="F45:I45"/>
    <mergeCell ref="J45:M45"/>
    <mergeCell ref="N45:Q45"/>
    <mergeCell ref="R45:U45"/>
    <mergeCell ref="P42:P43"/>
    <mergeCell ref="Q42:Q43"/>
    <mergeCell ref="S42:S43"/>
    <mergeCell ref="C46:D48"/>
    <mergeCell ref="E47:E48"/>
    <mergeCell ref="G47:G48"/>
    <mergeCell ref="E31:E32"/>
    <mergeCell ref="G31:G32"/>
    <mergeCell ref="H31:H32"/>
    <mergeCell ref="I31:I32"/>
    <mergeCell ref="K31:K32"/>
    <mergeCell ref="L31:L32"/>
    <mergeCell ref="T42:T43"/>
    <mergeCell ref="U42:U43"/>
    <mergeCell ref="D33:D37"/>
    <mergeCell ref="H33:H34"/>
    <mergeCell ref="I33:I34"/>
    <mergeCell ref="L33:L34"/>
    <mergeCell ref="M33:M34"/>
    <mergeCell ref="P33:P34"/>
    <mergeCell ref="D38:E38"/>
    <mergeCell ref="C40:E40"/>
    <mergeCell ref="F40:I40"/>
    <mergeCell ref="J40:M40"/>
    <mergeCell ref="N40:Q40"/>
    <mergeCell ref="R40:U40"/>
    <mergeCell ref="L42:L43"/>
    <mergeCell ref="M42:M43"/>
    <mergeCell ref="O42:O43"/>
    <mergeCell ref="T33:T34"/>
    <mergeCell ref="U33:U34"/>
    <mergeCell ref="M29:M30"/>
    <mergeCell ref="O29:O30"/>
    <mergeCell ref="P29:P30"/>
    <mergeCell ref="Q29:Q30"/>
    <mergeCell ref="M31:M32"/>
    <mergeCell ref="O31:O32"/>
    <mergeCell ref="P31:P32"/>
    <mergeCell ref="C24:D25"/>
    <mergeCell ref="E24:E25"/>
    <mergeCell ref="R27:U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C27:E27"/>
    <mergeCell ref="F27:I27"/>
    <mergeCell ref="J27:M27"/>
    <mergeCell ref="N27:Q27"/>
    <mergeCell ref="S29:S30"/>
    <mergeCell ref="T29:T30"/>
    <mergeCell ref="E34:E36"/>
    <mergeCell ref="U31:U32"/>
    <mergeCell ref="Q31:Q32"/>
    <mergeCell ref="S31:S32"/>
    <mergeCell ref="T31:T32"/>
    <mergeCell ref="Q33:Q34"/>
    <mergeCell ref="C11:E11"/>
    <mergeCell ref="F11:I11"/>
    <mergeCell ref="C3:E3"/>
    <mergeCell ref="F3:I3"/>
    <mergeCell ref="J3:M3"/>
    <mergeCell ref="R23:U23"/>
    <mergeCell ref="J11:M11"/>
    <mergeCell ref="N11:Q11"/>
    <mergeCell ref="R11:U11"/>
    <mergeCell ref="C12:C21"/>
    <mergeCell ref="N3:Q3"/>
    <mergeCell ref="R3:U3"/>
    <mergeCell ref="C4:C9"/>
    <mergeCell ref="D5:D6"/>
    <mergeCell ref="D7:D8"/>
    <mergeCell ref="D9:E9"/>
    <mergeCell ref="C23:E23"/>
    <mergeCell ref="F23:I23"/>
    <mergeCell ref="J23:M23"/>
    <mergeCell ref="N23:Q23"/>
    <mergeCell ref="D13:D14"/>
    <mergeCell ref="D15:D16"/>
    <mergeCell ref="D17:D20"/>
    <mergeCell ref="D21:E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&amp;L&amp;"メイリオ,レギュラー"
　&amp;"メイリオ,ボールド"&amp;22日別の優先給電ルールに基づく抑制、調整状況（2026年2月）</oddHeader>
    <oddFooter>&amp;R&amp;"メイリオ,レギュラー"&amp;14九州電力送配電株式会社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172E-FDA2-4EA0-B9E5-C48FD4AA68DF}">
  <dimension ref="B1:O69"/>
  <sheetViews>
    <sheetView showGridLines="0" view="pageBreakPreview" zoomScale="70" zoomScaleNormal="70" zoomScaleSheetLayoutView="70" zoomScalePageLayoutView="85" workbookViewId="0">
      <selection activeCell="G64" sqref="G64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" width="4.90625" style="1" customWidth="1"/>
    <col min="17" max="16384" width="9" style="1"/>
  </cols>
  <sheetData>
    <row r="1" spans="2:15" ht="15.5" thickBot="1">
      <c r="G1" s="32"/>
      <c r="I1" s="32"/>
      <c r="K1" s="32"/>
      <c r="M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46082</v>
      </c>
      <c r="G3" s="26" t="s">
        <v>48</v>
      </c>
      <c r="H3" s="115">
        <v>46085</v>
      </c>
      <c r="I3" s="26" t="s">
        <v>48</v>
      </c>
      <c r="J3" s="115">
        <v>46086</v>
      </c>
      <c r="K3" s="26" t="s">
        <v>48</v>
      </c>
      <c r="L3" s="115">
        <v>46088</v>
      </c>
      <c r="M3" s="26" t="s">
        <v>48</v>
      </c>
      <c r="N3" s="115">
        <v>46089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82.6</v>
      </c>
      <c r="G5" s="384" t="s">
        <v>45</v>
      </c>
      <c r="H5" s="120">
        <v>103.3</v>
      </c>
      <c r="I5" s="384" t="s">
        <v>45</v>
      </c>
      <c r="J5" s="120">
        <v>105.1</v>
      </c>
      <c r="K5" s="384" t="s">
        <v>45</v>
      </c>
      <c r="L5" s="120">
        <v>100.3</v>
      </c>
      <c r="M5" s="384" t="s">
        <v>45</v>
      </c>
      <c r="N5" s="120">
        <v>99.5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86.1</v>
      </c>
      <c r="G6" s="385"/>
      <c r="H6" s="123">
        <v>101.6</v>
      </c>
      <c r="I6" s="385"/>
      <c r="J6" s="123">
        <v>117</v>
      </c>
      <c r="K6" s="385"/>
      <c r="L6" s="123">
        <v>86.2</v>
      </c>
      <c r="M6" s="385"/>
      <c r="N6" s="123">
        <v>87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323.3</v>
      </c>
      <c r="G7" s="385"/>
      <c r="H7" s="126">
        <v>320.10000000000002</v>
      </c>
      <c r="I7" s="385"/>
      <c r="J7" s="126">
        <v>323.3</v>
      </c>
      <c r="K7" s="385"/>
      <c r="L7" s="126">
        <v>323.3</v>
      </c>
      <c r="M7" s="385"/>
      <c r="N7" s="126">
        <v>323.10000000000002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21</v>
      </c>
      <c r="G8" s="385"/>
      <c r="H8" s="129">
        <v>18.2</v>
      </c>
      <c r="I8" s="385"/>
      <c r="J8" s="129">
        <v>19.8</v>
      </c>
      <c r="K8" s="385"/>
      <c r="L8" s="129">
        <v>18.499999999999783</v>
      </c>
      <c r="M8" s="385"/>
      <c r="N8" s="129">
        <v>19.500000000000092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16.600000000000001</v>
      </c>
      <c r="G9" s="385"/>
      <c r="H9" s="131">
        <v>16.8</v>
      </c>
      <c r="I9" s="385"/>
      <c r="J9" s="131">
        <v>16.7</v>
      </c>
      <c r="K9" s="385"/>
      <c r="L9" s="131">
        <v>16.899999999999999</v>
      </c>
      <c r="M9" s="385"/>
      <c r="N9" s="131">
        <v>16.8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49.6</v>
      </c>
      <c r="G10" s="385"/>
      <c r="H10" s="133">
        <v>42.7</v>
      </c>
      <c r="I10" s="385"/>
      <c r="J10" s="133">
        <v>40.799999999999997</v>
      </c>
      <c r="K10" s="385"/>
      <c r="L10" s="133">
        <v>41</v>
      </c>
      <c r="M10" s="385"/>
      <c r="N10" s="133">
        <v>41.7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30.8</v>
      </c>
      <c r="G11" s="385"/>
      <c r="H11" s="135">
        <v>30.2</v>
      </c>
      <c r="I11" s="385"/>
      <c r="J11" s="135">
        <v>31.4</v>
      </c>
      <c r="K11" s="385"/>
      <c r="L11" s="135">
        <v>30.4</v>
      </c>
      <c r="M11" s="385"/>
      <c r="N11" s="135">
        <v>30.4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879.3</v>
      </c>
      <c r="G12" s="385"/>
      <c r="H12" s="137">
        <v>825.8</v>
      </c>
      <c r="I12" s="385"/>
      <c r="J12" s="137">
        <v>824.1</v>
      </c>
      <c r="K12" s="385"/>
      <c r="L12" s="137">
        <v>826.7</v>
      </c>
      <c r="M12" s="385"/>
      <c r="N12" s="137">
        <v>801.1</v>
      </c>
      <c r="O12" s="385"/>
    </row>
    <row r="13" spans="2:15" ht="16">
      <c r="B13" s="376"/>
      <c r="C13" s="379"/>
      <c r="D13" s="388"/>
      <c r="E13" s="45" t="s">
        <v>27</v>
      </c>
      <c r="F13" s="137">
        <v>8</v>
      </c>
      <c r="G13" s="385"/>
      <c r="H13" s="137">
        <v>27.3</v>
      </c>
      <c r="I13" s="385"/>
      <c r="J13" s="137">
        <v>7.3</v>
      </c>
      <c r="K13" s="385"/>
      <c r="L13" s="137">
        <v>36.4</v>
      </c>
      <c r="M13" s="385"/>
      <c r="N13" s="137">
        <v>2.8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110.3</v>
      </c>
      <c r="G14" s="385"/>
      <c r="H14" s="139">
        <v>163.80000000000001</v>
      </c>
      <c r="I14" s="385"/>
      <c r="J14" s="139">
        <v>165.5</v>
      </c>
      <c r="K14" s="385"/>
      <c r="L14" s="139">
        <v>163</v>
      </c>
      <c r="M14" s="385"/>
      <c r="N14" s="139">
        <v>188.5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1607.6</v>
      </c>
      <c r="G15" s="385"/>
      <c r="H15" s="108">
        <v>1649.8</v>
      </c>
      <c r="I15" s="385"/>
      <c r="J15" s="108">
        <v>1650.9999999999998</v>
      </c>
      <c r="K15" s="385"/>
      <c r="L15" s="108">
        <v>1642.6999999999998</v>
      </c>
      <c r="M15" s="385"/>
      <c r="N15" s="108">
        <v>1610.4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775</v>
      </c>
      <c r="G16" s="385"/>
      <c r="H16" s="320">
        <v>995</v>
      </c>
      <c r="I16" s="385"/>
      <c r="J16" s="320">
        <v>975</v>
      </c>
      <c r="K16" s="385"/>
      <c r="L16" s="320">
        <v>845</v>
      </c>
      <c r="M16" s="385"/>
      <c r="N16" s="320">
        <v>805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-227.1</v>
      </c>
      <c r="G17" s="385"/>
      <c r="H17" s="145">
        <v>-194.6</v>
      </c>
      <c r="I17" s="385"/>
      <c r="J17" s="145">
        <v>-194.6</v>
      </c>
      <c r="K17" s="385"/>
      <c r="L17" s="145">
        <v>-194.6</v>
      </c>
      <c r="M17" s="385"/>
      <c r="N17" s="145">
        <v>-194.6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-3.6</v>
      </c>
      <c r="G18" s="385"/>
      <c r="H18" s="111">
        <v>-3.6</v>
      </c>
      <c r="I18" s="385"/>
      <c r="J18" s="111">
        <v>-3.6</v>
      </c>
      <c r="K18" s="385"/>
      <c r="L18" s="111">
        <v>-3.6</v>
      </c>
      <c r="M18" s="385"/>
      <c r="N18" s="111">
        <v>-3.6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-187.2</v>
      </c>
      <c r="G19" s="385"/>
      <c r="H19" s="148">
        <v>-223.5</v>
      </c>
      <c r="I19" s="385"/>
      <c r="J19" s="148">
        <v>-234.9</v>
      </c>
      <c r="K19" s="385"/>
      <c r="L19" s="148">
        <v>-187.2</v>
      </c>
      <c r="M19" s="385"/>
      <c r="N19" s="148">
        <v>-187.2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1192.9000000000001</v>
      </c>
      <c r="G21" s="386"/>
      <c r="H21" s="151">
        <v>1416.6999999999998</v>
      </c>
      <c r="I21" s="386"/>
      <c r="J21" s="151">
        <v>1408.1</v>
      </c>
      <c r="K21" s="386"/>
      <c r="L21" s="151">
        <v>1230.3999999999999</v>
      </c>
      <c r="M21" s="386"/>
      <c r="N21" s="151">
        <v>1190.4000000000001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1607.6</v>
      </c>
      <c r="G23" s="400"/>
      <c r="H23" s="152">
        <v>1649.8</v>
      </c>
      <c r="I23" s="400"/>
      <c r="J23" s="152">
        <v>1650.9999999999998</v>
      </c>
      <c r="K23" s="400"/>
      <c r="L23" s="152">
        <v>1642.6999999999998</v>
      </c>
      <c r="M23" s="400"/>
      <c r="N23" s="152">
        <v>1610.4</v>
      </c>
      <c r="O23" s="400"/>
    </row>
    <row r="24" spans="2:15" ht="16">
      <c r="B24" s="409"/>
      <c r="C24" s="403" t="s">
        <v>37</v>
      </c>
      <c r="D24" s="404"/>
      <c r="E24" s="405"/>
      <c r="F24" s="153">
        <v>1192.9000000000001</v>
      </c>
      <c r="G24" s="401"/>
      <c r="H24" s="153">
        <v>1416.6999999999998</v>
      </c>
      <c r="I24" s="401"/>
      <c r="J24" s="153">
        <v>1408.1</v>
      </c>
      <c r="K24" s="401"/>
      <c r="L24" s="153">
        <v>1230.3999999999999</v>
      </c>
      <c r="M24" s="401"/>
      <c r="N24" s="153">
        <v>1190.4000000000001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414.69999999999982</v>
      </c>
      <c r="G25" s="402"/>
      <c r="H25" s="154">
        <v>233.10000000000014</v>
      </c>
      <c r="I25" s="402"/>
      <c r="J25" s="154">
        <v>242.89999999999986</v>
      </c>
      <c r="K25" s="402"/>
      <c r="L25" s="154">
        <v>412.29999999999995</v>
      </c>
      <c r="M25" s="402"/>
      <c r="N25" s="154">
        <v>420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日別の需給状況・再エネ出力抑制の必要性（2026年3月）</oddHeader>
    <oddFooter>&amp;R&amp;"メイリオ,レギュラー"&amp;14九州電力送配電株式会社</oddFooter>
  </headerFooter>
  <drawing r:id="rId2"/>
  <legacy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8219-DB0F-46F2-B43E-A42AFAD28A44}">
  <dimension ref="B1:O69"/>
  <sheetViews>
    <sheetView showGridLines="0" view="pageBreakPreview" topLeftCell="A16" zoomScale="70" zoomScaleNormal="70" zoomScaleSheetLayoutView="70" zoomScalePageLayoutView="85" workbookViewId="0">
      <selection activeCell="G64" sqref="G64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46090</v>
      </c>
      <c r="G3" s="357" t="s">
        <v>48</v>
      </c>
      <c r="H3" s="115">
        <v>46091</v>
      </c>
      <c r="I3" s="357" t="s">
        <v>48</v>
      </c>
      <c r="J3" s="115">
        <v>46092</v>
      </c>
      <c r="K3" s="357" t="s">
        <v>48</v>
      </c>
      <c r="L3" s="115">
        <v>46093</v>
      </c>
      <c r="M3" s="357" t="s">
        <v>48</v>
      </c>
      <c r="N3" s="115">
        <v>46094</v>
      </c>
      <c r="O3" s="357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102.5</v>
      </c>
      <c r="G5" s="384" t="s">
        <v>45</v>
      </c>
      <c r="H5" s="120">
        <v>102.5</v>
      </c>
      <c r="I5" s="384" t="s">
        <v>45</v>
      </c>
      <c r="J5" s="120">
        <v>103.3</v>
      </c>
      <c r="K5" s="384" t="s">
        <v>45</v>
      </c>
      <c r="L5" s="120">
        <v>103.3</v>
      </c>
      <c r="M5" s="384" t="s">
        <v>45</v>
      </c>
      <c r="N5" s="120">
        <v>103.5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82.9</v>
      </c>
      <c r="G6" s="385"/>
      <c r="H6" s="123">
        <v>85.1</v>
      </c>
      <c r="I6" s="385"/>
      <c r="J6" s="123">
        <v>86</v>
      </c>
      <c r="K6" s="385"/>
      <c r="L6" s="123">
        <v>84.5</v>
      </c>
      <c r="M6" s="385"/>
      <c r="N6" s="123">
        <v>83.7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323.10000000000002</v>
      </c>
      <c r="G7" s="385"/>
      <c r="H7" s="126">
        <v>320.3</v>
      </c>
      <c r="I7" s="385"/>
      <c r="J7" s="126">
        <v>323.3</v>
      </c>
      <c r="K7" s="385"/>
      <c r="L7" s="126">
        <v>323.3</v>
      </c>
      <c r="M7" s="385"/>
      <c r="N7" s="126">
        <v>323.39999999999998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20</v>
      </c>
      <c r="G8" s="385"/>
      <c r="H8" s="129">
        <v>19</v>
      </c>
      <c r="I8" s="385"/>
      <c r="J8" s="129">
        <v>18.7</v>
      </c>
      <c r="K8" s="385"/>
      <c r="L8" s="129">
        <v>19.2</v>
      </c>
      <c r="M8" s="385"/>
      <c r="N8" s="129">
        <v>18.900000000000137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16.8</v>
      </c>
      <c r="G9" s="385"/>
      <c r="H9" s="131">
        <v>16.399999999999999</v>
      </c>
      <c r="I9" s="385"/>
      <c r="J9" s="131">
        <v>16.899999999999999</v>
      </c>
      <c r="K9" s="385"/>
      <c r="L9" s="131">
        <v>17.3</v>
      </c>
      <c r="M9" s="385"/>
      <c r="N9" s="131">
        <v>17.3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44.4</v>
      </c>
      <c r="G10" s="385"/>
      <c r="H10" s="133">
        <v>42.2</v>
      </c>
      <c r="I10" s="385"/>
      <c r="J10" s="133">
        <v>55.1</v>
      </c>
      <c r="K10" s="385"/>
      <c r="L10" s="133">
        <v>53.6</v>
      </c>
      <c r="M10" s="385"/>
      <c r="N10" s="133">
        <v>53.3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30.6</v>
      </c>
      <c r="G11" s="385"/>
      <c r="H11" s="135">
        <v>30.5</v>
      </c>
      <c r="I11" s="385"/>
      <c r="J11" s="135">
        <v>30.3</v>
      </c>
      <c r="K11" s="385"/>
      <c r="L11" s="135">
        <v>30.6</v>
      </c>
      <c r="M11" s="385"/>
      <c r="N11" s="135">
        <v>31.8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792.1</v>
      </c>
      <c r="G12" s="385"/>
      <c r="H12" s="137">
        <v>822.9</v>
      </c>
      <c r="I12" s="385"/>
      <c r="J12" s="137">
        <v>839.1</v>
      </c>
      <c r="K12" s="385"/>
      <c r="L12" s="137">
        <v>779.9</v>
      </c>
      <c r="M12" s="385"/>
      <c r="N12" s="137">
        <v>790.4</v>
      </c>
      <c r="O12" s="385"/>
    </row>
    <row r="13" spans="2:15" ht="16">
      <c r="B13" s="376"/>
      <c r="C13" s="379"/>
      <c r="D13" s="388"/>
      <c r="E13" s="45" t="s">
        <v>27</v>
      </c>
      <c r="F13" s="137">
        <v>29.9</v>
      </c>
      <c r="G13" s="385"/>
      <c r="H13" s="137">
        <v>19.899999999999999</v>
      </c>
      <c r="I13" s="385"/>
      <c r="J13" s="137">
        <v>4.9000000000000004</v>
      </c>
      <c r="K13" s="385"/>
      <c r="L13" s="137">
        <v>14.8</v>
      </c>
      <c r="M13" s="385"/>
      <c r="N13" s="137">
        <v>48.8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197.5</v>
      </c>
      <c r="G14" s="385"/>
      <c r="H14" s="139">
        <v>166.7</v>
      </c>
      <c r="I14" s="385"/>
      <c r="J14" s="139">
        <v>150.5</v>
      </c>
      <c r="K14" s="385"/>
      <c r="L14" s="139">
        <v>206</v>
      </c>
      <c r="M14" s="385"/>
      <c r="N14" s="139">
        <v>199.2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1639.8000000000002</v>
      </c>
      <c r="G15" s="385"/>
      <c r="H15" s="108">
        <v>1625.5000000000002</v>
      </c>
      <c r="I15" s="385"/>
      <c r="J15" s="108">
        <v>1628.1000000000001</v>
      </c>
      <c r="K15" s="385"/>
      <c r="L15" s="108">
        <v>1632.5</v>
      </c>
      <c r="M15" s="385"/>
      <c r="N15" s="108">
        <v>1670.3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955</v>
      </c>
      <c r="G16" s="385"/>
      <c r="H16" s="320">
        <v>955</v>
      </c>
      <c r="I16" s="385"/>
      <c r="J16" s="320">
        <v>995</v>
      </c>
      <c r="K16" s="385"/>
      <c r="L16" s="320">
        <v>995</v>
      </c>
      <c r="M16" s="385"/>
      <c r="N16" s="320">
        <v>1005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-168.5</v>
      </c>
      <c r="G17" s="385"/>
      <c r="H17" s="145">
        <v>-134.5</v>
      </c>
      <c r="I17" s="385"/>
      <c r="J17" s="145">
        <v>-194.6</v>
      </c>
      <c r="K17" s="385"/>
      <c r="L17" s="145">
        <v>-162.1</v>
      </c>
      <c r="M17" s="385"/>
      <c r="N17" s="145">
        <v>-162.1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-3.2</v>
      </c>
      <c r="G18" s="385"/>
      <c r="H18" s="111">
        <v>-3.2</v>
      </c>
      <c r="I18" s="385"/>
      <c r="J18" s="111">
        <v>-3.2</v>
      </c>
      <c r="K18" s="385"/>
      <c r="L18" s="111">
        <v>-3.2</v>
      </c>
      <c r="M18" s="385"/>
      <c r="N18" s="111">
        <v>-3.2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-217.5</v>
      </c>
      <c r="G19" s="385"/>
      <c r="H19" s="148">
        <v>-217.5</v>
      </c>
      <c r="I19" s="385"/>
      <c r="J19" s="148">
        <v>-218</v>
      </c>
      <c r="K19" s="385"/>
      <c r="L19" s="148">
        <v>-217.5</v>
      </c>
      <c r="M19" s="385"/>
      <c r="N19" s="148">
        <v>-217.5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1344.2</v>
      </c>
      <c r="G21" s="386"/>
      <c r="H21" s="151">
        <v>1310.2</v>
      </c>
      <c r="I21" s="386"/>
      <c r="J21" s="151">
        <v>1410.8</v>
      </c>
      <c r="K21" s="386"/>
      <c r="L21" s="151">
        <v>1377.8</v>
      </c>
      <c r="M21" s="386"/>
      <c r="N21" s="151">
        <v>1387.8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1639.8000000000002</v>
      </c>
      <c r="G23" s="400"/>
      <c r="H23" s="152">
        <v>1625.5000000000002</v>
      </c>
      <c r="I23" s="400"/>
      <c r="J23" s="152">
        <v>1628.1000000000001</v>
      </c>
      <c r="K23" s="400"/>
      <c r="L23" s="152">
        <v>1632.5</v>
      </c>
      <c r="M23" s="400"/>
      <c r="N23" s="152">
        <v>1670.3</v>
      </c>
      <c r="O23" s="400"/>
    </row>
    <row r="24" spans="2:15" ht="16">
      <c r="B24" s="409"/>
      <c r="C24" s="403" t="s">
        <v>37</v>
      </c>
      <c r="D24" s="404"/>
      <c r="E24" s="405"/>
      <c r="F24" s="153">
        <v>1344.2</v>
      </c>
      <c r="G24" s="401"/>
      <c r="H24" s="153">
        <v>1310.2</v>
      </c>
      <c r="I24" s="401"/>
      <c r="J24" s="153">
        <v>1410.8</v>
      </c>
      <c r="K24" s="401"/>
      <c r="L24" s="153">
        <v>1377.8</v>
      </c>
      <c r="M24" s="401"/>
      <c r="N24" s="153">
        <v>1387.8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295.60000000000014</v>
      </c>
      <c r="G25" s="402"/>
      <c r="H25" s="154">
        <v>315.30000000000018</v>
      </c>
      <c r="I25" s="402"/>
      <c r="J25" s="154">
        <v>217.30000000000018</v>
      </c>
      <c r="K25" s="402"/>
      <c r="L25" s="154">
        <v>254.70000000000005</v>
      </c>
      <c r="M25" s="402"/>
      <c r="N25" s="154">
        <v>282.5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3BB3-EFC2-46BA-A116-9C34B7151EAA}">
  <dimension ref="B1:O69"/>
  <sheetViews>
    <sheetView showGridLines="0" view="pageBreakPreview" topLeftCell="A18" zoomScale="70" zoomScaleNormal="70" zoomScaleSheetLayoutView="70" zoomScalePageLayoutView="85" workbookViewId="0">
      <selection activeCell="G64" sqref="G64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46095</v>
      </c>
      <c r="G3" s="357" t="s">
        <v>48</v>
      </c>
      <c r="H3" s="115">
        <v>46096</v>
      </c>
      <c r="I3" s="357" t="s">
        <v>48</v>
      </c>
      <c r="J3" s="115">
        <v>46097</v>
      </c>
      <c r="K3" s="357" t="s">
        <v>48</v>
      </c>
      <c r="L3" s="115">
        <v>46098</v>
      </c>
      <c r="M3" s="357" t="s">
        <v>48</v>
      </c>
      <c r="N3" s="115">
        <v>46100</v>
      </c>
      <c r="O3" s="357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100.1</v>
      </c>
      <c r="G5" s="384" t="s">
        <v>45</v>
      </c>
      <c r="H5" s="120">
        <v>98.5</v>
      </c>
      <c r="I5" s="384" t="s">
        <v>45</v>
      </c>
      <c r="J5" s="120">
        <v>101.5</v>
      </c>
      <c r="K5" s="384" t="s">
        <v>45</v>
      </c>
      <c r="L5" s="120">
        <v>101.5</v>
      </c>
      <c r="M5" s="384" t="s">
        <v>45</v>
      </c>
      <c r="N5" s="120">
        <v>101.7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85.3</v>
      </c>
      <c r="G6" s="385"/>
      <c r="H6" s="123">
        <v>84.3</v>
      </c>
      <c r="I6" s="385"/>
      <c r="J6" s="123">
        <v>83.4</v>
      </c>
      <c r="K6" s="385"/>
      <c r="L6" s="123">
        <v>85.1</v>
      </c>
      <c r="M6" s="385"/>
      <c r="N6" s="123">
        <v>86.3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323.39999999999998</v>
      </c>
      <c r="G7" s="385"/>
      <c r="H7" s="126">
        <v>323.2</v>
      </c>
      <c r="I7" s="385"/>
      <c r="J7" s="126">
        <v>323.3</v>
      </c>
      <c r="K7" s="385"/>
      <c r="L7" s="126">
        <v>323.3</v>
      </c>
      <c r="M7" s="385"/>
      <c r="N7" s="126">
        <v>323.3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18.5</v>
      </c>
      <c r="G8" s="385"/>
      <c r="H8" s="129">
        <v>18.800000000000022</v>
      </c>
      <c r="I8" s="385"/>
      <c r="J8" s="129">
        <v>18.89999999999975</v>
      </c>
      <c r="K8" s="385"/>
      <c r="L8" s="129">
        <v>18.5</v>
      </c>
      <c r="M8" s="385"/>
      <c r="N8" s="129">
        <v>18.8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17.3</v>
      </c>
      <c r="G9" s="385"/>
      <c r="H9" s="131">
        <v>17.3</v>
      </c>
      <c r="I9" s="385"/>
      <c r="J9" s="131">
        <v>17.3</v>
      </c>
      <c r="K9" s="385"/>
      <c r="L9" s="131">
        <v>17.100000000000001</v>
      </c>
      <c r="M9" s="385"/>
      <c r="N9" s="131">
        <v>17.100000000000001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51.1</v>
      </c>
      <c r="G10" s="385"/>
      <c r="H10" s="133">
        <v>53.1</v>
      </c>
      <c r="I10" s="385"/>
      <c r="J10" s="133">
        <v>57.1</v>
      </c>
      <c r="K10" s="385"/>
      <c r="L10" s="133">
        <v>54.2</v>
      </c>
      <c r="M10" s="385"/>
      <c r="N10" s="133">
        <v>44.6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31.9</v>
      </c>
      <c r="G11" s="385"/>
      <c r="H11" s="135">
        <v>31.9</v>
      </c>
      <c r="I11" s="385"/>
      <c r="J11" s="135">
        <v>29.7</v>
      </c>
      <c r="K11" s="385"/>
      <c r="L11" s="135">
        <v>29.6</v>
      </c>
      <c r="M11" s="385"/>
      <c r="N11" s="135">
        <v>29.9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899.7</v>
      </c>
      <c r="G12" s="385"/>
      <c r="H12" s="137">
        <v>922</v>
      </c>
      <c r="I12" s="385"/>
      <c r="J12" s="137">
        <v>794.1</v>
      </c>
      <c r="K12" s="385"/>
      <c r="L12" s="137">
        <v>884.9</v>
      </c>
      <c r="M12" s="385"/>
      <c r="N12" s="137">
        <v>820.9</v>
      </c>
      <c r="O12" s="385"/>
    </row>
    <row r="13" spans="2:15" ht="16">
      <c r="B13" s="376"/>
      <c r="C13" s="379"/>
      <c r="D13" s="388"/>
      <c r="E13" s="45" t="s">
        <v>27</v>
      </c>
      <c r="F13" s="137">
        <v>36.200000000000003</v>
      </c>
      <c r="G13" s="385"/>
      <c r="H13" s="137">
        <v>6.2</v>
      </c>
      <c r="I13" s="385"/>
      <c r="J13" s="137">
        <v>13.1</v>
      </c>
      <c r="K13" s="385"/>
      <c r="L13" s="137">
        <v>10.1</v>
      </c>
      <c r="M13" s="385"/>
      <c r="N13" s="137">
        <v>32.299999999999997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28</v>
      </c>
      <c r="G14" s="385"/>
      <c r="H14" s="139">
        <v>28</v>
      </c>
      <c r="I14" s="385"/>
      <c r="J14" s="139">
        <v>177.7</v>
      </c>
      <c r="K14" s="385"/>
      <c r="L14" s="139">
        <v>48</v>
      </c>
      <c r="M14" s="385"/>
      <c r="N14" s="139">
        <v>150.9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1591.5</v>
      </c>
      <c r="G15" s="385"/>
      <c r="H15" s="108">
        <v>1583.3</v>
      </c>
      <c r="I15" s="385"/>
      <c r="J15" s="108">
        <v>1616.0999999999997</v>
      </c>
      <c r="K15" s="385"/>
      <c r="L15" s="108">
        <v>1572.3</v>
      </c>
      <c r="M15" s="385"/>
      <c r="N15" s="108">
        <v>1625.8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835</v>
      </c>
      <c r="G16" s="385"/>
      <c r="H16" s="320">
        <v>755</v>
      </c>
      <c r="I16" s="385"/>
      <c r="J16" s="320">
        <v>905</v>
      </c>
      <c r="K16" s="385"/>
      <c r="L16" s="320">
        <v>905</v>
      </c>
      <c r="M16" s="385"/>
      <c r="N16" s="320">
        <v>915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-162.1</v>
      </c>
      <c r="G17" s="385"/>
      <c r="H17" s="145">
        <v>-162.1</v>
      </c>
      <c r="I17" s="385"/>
      <c r="J17" s="145">
        <v>-162.1</v>
      </c>
      <c r="K17" s="385"/>
      <c r="L17" s="145">
        <v>-162.1</v>
      </c>
      <c r="M17" s="385"/>
      <c r="N17" s="145">
        <v>-162.1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-3.1</v>
      </c>
      <c r="G18" s="385"/>
      <c r="H18" s="111">
        <v>-3.1</v>
      </c>
      <c r="I18" s="385"/>
      <c r="J18" s="111">
        <v>-3.1</v>
      </c>
      <c r="K18" s="385"/>
      <c r="L18" s="111">
        <v>-3.1</v>
      </c>
      <c r="M18" s="385"/>
      <c r="N18" s="111">
        <v>-3.1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-187.2</v>
      </c>
      <c r="G19" s="385"/>
      <c r="H19" s="148">
        <v>-206</v>
      </c>
      <c r="I19" s="385"/>
      <c r="J19" s="148">
        <v>-215.5</v>
      </c>
      <c r="K19" s="385"/>
      <c r="L19" s="148">
        <v>-217.2</v>
      </c>
      <c r="M19" s="385"/>
      <c r="N19" s="148">
        <v>-217.2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0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1187.4000000000001</v>
      </c>
      <c r="G21" s="386"/>
      <c r="H21" s="151">
        <v>1126.2</v>
      </c>
      <c r="I21" s="386"/>
      <c r="J21" s="151">
        <v>1285.6999999999998</v>
      </c>
      <c r="K21" s="386"/>
      <c r="L21" s="151">
        <v>1287.3999999999999</v>
      </c>
      <c r="M21" s="386"/>
      <c r="N21" s="151">
        <v>1297.3999999999999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1591.5</v>
      </c>
      <c r="G23" s="400"/>
      <c r="H23" s="152">
        <v>1583.3</v>
      </c>
      <c r="I23" s="400"/>
      <c r="J23" s="152">
        <v>1616.0999999999997</v>
      </c>
      <c r="K23" s="400"/>
      <c r="L23" s="152">
        <v>1572.3</v>
      </c>
      <c r="M23" s="400"/>
      <c r="N23" s="152">
        <v>1625.8</v>
      </c>
      <c r="O23" s="400"/>
    </row>
    <row r="24" spans="2:15" ht="16">
      <c r="B24" s="409"/>
      <c r="C24" s="403" t="s">
        <v>37</v>
      </c>
      <c r="D24" s="404"/>
      <c r="E24" s="405"/>
      <c r="F24" s="153">
        <v>1187.4000000000001</v>
      </c>
      <c r="G24" s="401"/>
      <c r="H24" s="153">
        <v>1126.2</v>
      </c>
      <c r="I24" s="401"/>
      <c r="J24" s="153">
        <v>1285.6999999999998</v>
      </c>
      <c r="K24" s="401"/>
      <c r="L24" s="153">
        <v>1287.3999999999999</v>
      </c>
      <c r="M24" s="401"/>
      <c r="N24" s="153">
        <v>1297.3999999999999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404.09999999999991</v>
      </c>
      <c r="G25" s="402"/>
      <c r="H25" s="154">
        <v>457.09999999999991</v>
      </c>
      <c r="I25" s="402"/>
      <c r="J25" s="154">
        <v>330.39999999999986</v>
      </c>
      <c r="K25" s="402"/>
      <c r="L25" s="154">
        <v>284.90000000000009</v>
      </c>
      <c r="M25" s="402"/>
      <c r="N25" s="154">
        <v>328.40000000000009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15CD-A61D-4B06-8A80-97E6036CCD7F}">
  <dimension ref="B1:O69"/>
  <sheetViews>
    <sheetView showGridLines="0" view="pageBreakPreview" topLeftCell="A18" zoomScale="70" zoomScaleNormal="70" zoomScaleSheetLayoutView="70" zoomScalePageLayoutView="85" workbookViewId="0">
      <selection activeCell="G64" sqref="G64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O1" s="32" t="s">
        <v>57</v>
      </c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115">
        <v>46101</v>
      </c>
      <c r="G3" s="357" t="s">
        <v>48</v>
      </c>
      <c r="H3" s="115">
        <v>46102</v>
      </c>
      <c r="I3" s="357" t="s">
        <v>48</v>
      </c>
      <c r="J3" s="115">
        <v>46104</v>
      </c>
      <c r="K3" s="357" t="s">
        <v>48</v>
      </c>
      <c r="L3" s="115">
        <v>46105</v>
      </c>
      <c r="M3" s="357" t="s">
        <v>48</v>
      </c>
      <c r="N3" s="115">
        <v>46107</v>
      </c>
      <c r="O3" s="357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  <c r="N4" s="5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99.1</v>
      </c>
      <c r="G5" s="384" t="s">
        <v>45</v>
      </c>
      <c r="H5" s="120">
        <v>78.400000000000006</v>
      </c>
      <c r="I5" s="384" t="s">
        <v>45</v>
      </c>
      <c r="J5" s="120">
        <v>100.9</v>
      </c>
      <c r="K5" s="384" t="s">
        <v>45</v>
      </c>
      <c r="L5" s="120">
        <v>101.5</v>
      </c>
      <c r="M5" s="384" t="s">
        <v>45</v>
      </c>
      <c r="N5" s="120">
        <v>100.9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83.7</v>
      </c>
      <c r="G6" s="385"/>
      <c r="H6" s="123">
        <v>83.5</v>
      </c>
      <c r="I6" s="385"/>
      <c r="J6" s="123">
        <v>86.9</v>
      </c>
      <c r="K6" s="385"/>
      <c r="L6" s="123">
        <v>102.5</v>
      </c>
      <c r="M6" s="385"/>
      <c r="N6" s="123">
        <v>117.9</v>
      </c>
      <c r="O6" s="385"/>
    </row>
    <row r="7" spans="2:15" ht="16">
      <c r="B7" s="376"/>
      <c r="C7" s="379"/>
      <c r="D7" s="35" t="s">
        <v>13</v>
      </c>
      <c r="E7" s="36" t="s">
        <v>5</v>
      </c>
      <c r="F7" s="126">
        <v>323.2</v>
      </c>
      <c r="G7" s="385"/>
      <c r="H7" s="126">
        <v>323.2</v>
      </c>
      <c r="I7" s="385"/>
      <c r="J7" s="126">
        <v>320.5</v>
      </c>
      <c r="K7" s="385"/>
      <c r="L7" s="126">
        <v>322.89999999999998</v>
      </c>
      <c r="M7" s="385"/>
      <c r="N7" s="126">
        <v>323.10000000000002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129">
        <v>18.700000000000081</v>
      </c>
      <c r="G8" s="385"/>
      <c r="H8" s="129">
        <v>20.399999999999999</v>
      </c>
      <c r="I8" s="385"/>
      <c r="J8" s="129">
        <v>20.19999999999991</v>
      </c>
      <c r="K8" s="385"/>
      <c r="L8" s="129">
        <v>22.499999999999751</v>
      </c>
      <c r="M8" s="385"/>
      <c r="N8" s="129">
        <v>21.8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31">
        <v>17.100000000000001</v>
      </c>
      <c r="G9" s="385"/>
      <c r="H9" s="131">
        <v>17</v>
      </c>
      <c r="I9" s="385"/>
      <c r="J9" s="131">
        <v>17</v>
      </c>
      <c r="K9" s="385"/>
      <c r="L9" s="131">
        <v>17</v>
      </c>
      <c r="M9" s="385"/>
      <c r="N9" s="131">
        <v>17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33">
        <v>42.8</v>
      </c>
      <c r="G10" s="385"/>
      <c r="H10" s="133">
        <v>40.5</v>
      </c>
      <c r="I10" s="385"/>
      <c r="J10" s="133">
        <v>41.3</v>
      </c>
      <c r="K10" s="385"/>
      <c r="L10" s="133">
        <v>46.4</v>
      </c>
      <c r="M10" s="385"/>
      <c r="N10" s="133">
        <v>53.5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35">
        <v>31.3</v>
      </c>
      <c r="G11" s="385"/>
      <c r="H11" s="135">
        <v>31.8</v>
      </c>
      <c r="I11" s="385"/>
      <c r="J11" s="135">
        <v>30.7</v>
      </c>
      <c r="K11" s="385"/>
      <c r="L11" s="135">
        <v>31.6</v>
      </c>
      <c r="M11" s="385"/>
      <c r="N11" s="135">
        <v>31.1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7">
        <v>960.2</v>
      </c>
      <c r="G12" s="385"/>
      <c r="H12" s="137">
        <v>957.1</v>
      </c>
      <c r="I12" s="385"/>
      <c r="J12" s="137">
        <v>855.1</v>
      </c>
      <c r="K12" s="385"/>
      <c r="L12" s="137">
        <v>825</v>
      </c>
      <c r="M12" s="385"/>
      <c r="N12" s="137">
        <v>936.2</v>
      </c>
      <c r="O12" s="385"/>
    </row>
    <row r="13" spans="2:15" ht="16">
      <c r="B13" s="376"/>
      <c r="C13" s="379"/>
      <c r="D13" s="388"/>
      <c r="E13" s="45" t="s">
        <v>27</v>
      </c>
      <c r="F13" s="137">
        <v>16.8</v>
      </c>
      <c r="G13" s="385"/>
      <c r="H13" s="137">
        <v>10.4</v>
      </c>
      <c r="I13" s="385"/>
      <c r="J13" s="137">
        <v>19.8</v>
      </c>
      <c r="K13" s="385"/>
      <c r="L13" s="137">
        <v>13.9</v>
      </c>
      <c r="M13" s="385"/>
      <c r="N13" s="137">
        <v>19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39">
        <v>47</v>
      </c>
      <c r="G14" s="385"/>
      <c r="H14" s="139">
        <v>47</v>
      </c>
      <c r="I14" s="385"/>
      <c r="J14" s="139">
        <v>48</v>
      </c>
      <c r="K14" s="385"/>
      <c r="L14" s="139">
        <v>146.80000000000001</v>
      </c>
      <c r="M14" s="385"/>
      <c r="N14" s="139">
        <v>48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1639.8999999999999</v>
      </c>
      <c r="G15" s="385"/>
      <c r="H15" s="108">
        <v>1609.3000000000002</v>
      </c>
      <c r="I15" s="385"/>
      <c r="J15" s="108">
        <v>1540.3999999999999</v>
      </c>
      <c r="K15" s="385"/>
      <c r="L15" s="108">
        <v>1630.0999999999997</v>
      </c>
      <c r="M15" s="385"/>
      <c r="N15" s="108">
        <v>1668.5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785</v>
      </c>
      <c r="G16" s="385"/>
      <c r="H16" s="320">
        <v>765</v>
      </c>
      <c r="I16" s="385"/>
      <c r="J16" s="320">
        <v>875</v>
      </c>
      <c r="K16" s="385"/>
      <c r="L16" s="320">
        <v>905</v>
      </c>
      <c r="M16" s="385"/>
      <c r="N16" s="320">
        <v>875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-162.1</v>
      </c>
      <c r="G17" s="385"/>
      <c r="H17" s="145">
        <v>-162.1</v>
      </c>
      <c r="I17" s="385"/>
      <c r="J17" s="145">
        <v>-162.1</v>
      </c>
      <c r="K17" s="385"/>
      <c r="L17" s="145">
        <v>-162.1</v>
      </c>
      <c r="M17" s="385"/>
      <c r="N17" s="145">
        <v>-162.1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-3.1</v>
      </c>
      <c r="G18" s="385"/>
      <c r="H18" s="111">
        <v>-3.1</v>
      </c>
      <c r="I18" s="385"/>
      <c r="J18" s="111">
        <v>-3.1</v>
      </c>
      <c r="K18" s="385"/>
      <c r="L18" s="111">
        <v>-3.1</v>
      </c>
      <c r="M18" s="385"/>
      <c r="N18" s="111">
        <v>-2.9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-181</v>
      </c>
      <c r="G19" s="385"/>
      <c r="H19" s="148">
        <v>-181</v>
      </c>
      <c r="I19" s="385"/>
      <c r="J19" s="148">
        <v>-195.2</v>
      </c>
      <c r="K19" s="385"/>
      <c r="L19" s="148">
        <v>-188.7</v>
      </c>
      <c r="M19" s="385"/>
      <c r="N19" s="148">
        <v>-215.5</v>
      </c>
      <c r="O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-15.1</v>
      </c>
      <c r="M20" s="385"/>
      <c r="N20" s="150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151">
        <v>1131.2</v>
      </c>
      <c r="G21" s="386"/>
      <c r="H21" s="151">
        <v>1111.2</v>
      </c>
      <c r="I21" s="386"/>
      <c r="J21" s="151">
        <v>1235.3999999999999</v>
      </c>
      <c r="K21" s="386"/>
      <c r="L21" s="151">
        <v>1273.9999999999998</v>
      </c>
      <c r="M21" s="386"/>
      <c r="N21" s="151">
        <v>1255.5</v>
      </c>
      <c r="O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  <c r="N22" s="5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1639.8999999999999</v>
      </c>
      <c r="G23" s="400"/>
      <c r="H23" s="152">
        <v>1609.3000000000002</v>
      </c>
      <c r="I23" s="400"/>
      <c r="J23" s="152">
        <v>1540.3999999999999</v>
      </c>
      <c r="K23" s="400"/>
      <c r="L23" s="152">
        <v>1630.0999999999997</v>
      </c>
      <c r="M23" s="400"/>
      <c r="N23" s="152">
        <v>1668.5</v>
      </c>
      <c r="O23" s="400"/>
    </row>
    <row r="24" spans="2:15" ht="16">
      <c r="B24" s="409"/>
      <c r="C24" s="403" t="s">
        <v>37</v>
      </c>
      <c r="D24" s="404"/>
      <c r="E24" s="405"/>
      <c r="F24" s="153">
        <v>1131.2</v>
      </c>
      <c r="G24" s="401"/>
      <c r="H24" s="153">
        <v>1111.2</v>
      </c>
      <c r="I24" s="401"/>
      <c r="J24" s="153">
        <v>1235.3999999999999</v>
      </c>
      <c r="K24" s="401"/>
      <c r="L24" s="153">
        <v>1273.9999999999998</v>
      </c>
      <c r="M24" s="401"/>
      <c r="N24" s="153">
        <v>1255.5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508.69999999999982</v>
      </c>
      <c r="G25" s="402"/>
      <c r="H25" s="154">
        <v>498.10000000000014</v>
      </c>
      <c r="I25" s="402"/>
      <c r="J25" s="154">
        <v>305</v>
      </c>
      <c r="K25" s="402"/>
      <c r="L25" s="154">
        <v>356.09999999999991</v>
      </c>
      <c r="M25" s="402"/>
      <c r="N25" s="154">
        <v>413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02DB-F26C-46F8-83BF-53A5F80976DF}">
  <dimension ref="B1:O69"/>
  <sheetViews>
    <sheetView showGridLines="0" view="pageBreakPreview" topLeftCell="B14" zoomScale="70" zoomScaleNormal="70" zoomScaleSheetLayoutView="70" zoomScalePageLayoutView="70" workbookViewId="0">
      <selection activeCell="G64" sqref="G64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K1" s="32"/>
      <c r="M1" s="32" t="s">
        <v>57</v>
      </c>
      <c r="O1" s="32"/>
    </row>
    <row r="2" spans="2:15" ht="16">
      <c r="B2" s="2"/>
      <c r="C2" s="367" t="s">
        <v>0</v>
      </c>
      <c r="D2" s="368"/>
      <c r="E2" s="369"/>
      <c r="F2" s="550" t="s">
        <v>42</v>
      </c>
      <c r="G2" s="366"/>
      <c r="H2" s="550" t="s">
        <v>42</v>
      </c>
      <c r="I2" s="366"/>
      <c r="J2" s="550" t="s">
        <v>42</v>
      </c>
      <c r="K2" s="366"/>
      <c r="L2" s="550" t="s">
        <v>42</v>
      </c>
      <c r="M2" s="366"/>
    </row>
    <row r="3" spans="2:15" ht="16.5" thickBot="1">
      <c r="B3" s="3"/>
      <c r="C3" s="372" t="s">
        <v>3</v>
      </c>
      <c r="D3" s="373"/>
      <c r="E3" s="374"/>
      <c r="F3" s="115">
        <v>46108</v>
      </c>
      <c r="G3" s="357" t="s">
        <v>48</v>
      </c>
      <c r="H3" s="115">
        <v>46109</v>
      </c>
      <c r="I3" s="357" t="s">
        <v>48</v>
      </c>
      <c r="J3" s="115">
        <v>46110</v>
      </c>
      <c r="K3" s="357" t="s">
        <v>48</v>
      </c>
      <c r="L3" s="115">
        <v>46111</v>
      </c>
      <c r="M3" s="357" t="s">
        <v>48</v>
      </c>
      <c r="N3" s="157"/>
      <c r="O3" s="157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5" t="s">
        <v>43</v>
      </c>
      <c r="I4" s="7" t="s">
        <v>44</v>
      </c>
      <c r="J4" s="5" t="s">
        <v>43</v>
      </c>
      <c r="K4" s="7" t="s">
        <v>44</v>
      </c>
      <c r="L4" s="5" t="s">
        <v>43</v>
      </c>
      <c r="M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120">
        <v>96.1</v>
      </c>
      <c r="G5" s="384" t="s">
        <v>45</v>
      </c>
      <c r="H5" s="120">
        <v>78.8</v>
      </c>
      <c r="I5" s="384" t="s">
        <v>45</v>
      </c>
      <c r="J5" s="120">
        <v>77.599999999999994</v>
      </c>
      <c r="K5" s="384" t="s">
        <v>45</v>
      </c>
      <c r="L5" s="120">
        <v>96.5</v>
      </c>
      <c r="M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23">
        <v>107.6</v>
      </c>
      <c r="G6" s="385"/>
      <c r="H6" s="123">
        <v>86.6</v>
      </c>
      <c r="I6" s="385"/>
      <c r="J6" s="123">
        <v>83</v>
      </c>
      <c r="K6" s="385"/>
      <c r="L6" s="123">
        <v>103.2</v>
      </c>
      <c r="M6" s="385"/>
    </row>
    <row r="7" spans="2:15" ht="16">
      <c r="B7" s="376"/>
      <c r="C7" s="379"/>
      <c r="D7" s="35" t="s">
        <v>13</v>
      </c>
      <c r="E7" s="36" t="s">
        <v>5</v>
      </c>
      <c r="F7" s="126">
        <v>323</v>
      </c>
      <c r="G7" s="385"/>
      <c r="H7" s="126">
        <v>323.10000000000002</v>
      </c>
      <c r="I7" s="385"/>
      <c r="J7" s="126">
        <v>323</v>
      </c>
      <c r="K7" s="385"/>
      <c r="L7" s="126">
        <v>323</v>
      </c>
      <c r="M7" s="385"/>
    </row>
    <row r="8" spans="2:15" ht="16">
      <c r="B8" s="376"/>
      <c r="C8" s="379"/>
      <c r="D8" s="37" t="s">
        <v>14</v>
      </c>
      <c r="E8" s="38" t="s">
        <v>6</v>
      </c>
      <c r="F8" s="129">
        <v>18.8</v>
      </c>
      <c r="G8" s="385"/>
      <c r="H8" s="129">
        <v>23.3</v>
      </c>
      <c r="I8" s="385"/>
      <c r="J8" s="129">
        <v>22.599999999999977</v>
      </c>
      <c r="K8" s="385"/>
      <c r="L8" s="129">
        <v>22.399999999999594</v>
      </c>
      <c r="M8" s="385"/>
    </row>
    <row r="9" spans="2:15" ht="16">
      <c r="B9" s="376"/>
      <c r="C9" s="379"/>
      <c r="D9" s="39" t="s">
        <v>15</v>
      </c>
      <c r="E9" s="40" t="s">
        <v>7</v>
      </c>
      <c r="F9" s="131">
        <v>17</v>
      </c>
      <c r="G9" s="385"/>
      <c r="H9" s="131">
        <v>17</v>
      </c>
      <c r="I9" s="385"/>
      <c r="J9" s="131">
        <v>17.100000000000001</v>
      </c>
      <c r="K9" s="385"/>
      <c r="L9" s="131">
        <v>17.100000000000001</v>
      </c>
      <c r="M9" s="385"/>
    </row>
    <row r="10" spans="2:15" ht="16">
      <c r="B10" s="376"/>
      <c r="C10" s="379"/>
      <c r="D10" s="41" t="s">
        <v>17</v>
      </c>
      <c r="E10" s="42" t="s">
        <v>1</v>
      </c>
      <c r="F10" s="133">
        <v>52.5</v>
      </c>
      <c r="G10" s="385"/>
      <c r="H10" s="133">
        <v>50.6</v>
      </c>
      <c r="I10" s="385"/>
      <c r="J10" s="133">
        <v>51.1</v>
      </c>
      <c r="K10" s="385"/>
      <c r="L10" s="133">
        <v>54.2</v>
      </c>
      <c r="M10" s="385"/>
    </row>
    <row r="11" spans="2:15" ht="16">
      <c r="B11" s="376"/>
      <c r="C11" s="379"/>
      <c r="D11" s="43" t="s">
        <v>16</v>
      </c>
      <c r="E11" s="44" t="s">
        <v>2</v>
      </c>
      <c r="F11" s="135">
        <v>31.6</v>
      </c>
      <c r="G11" s="385"/>
      <c r="H11" s="135">
        <v>31.9</v>
      </c>
      <c r="I11" s="385"/>
      <c r="J11" s="135">
        <v>35.200000000000003</v>
      </c>
      <c r="K11" s="385"/>
      <c r="L11" s="135">
        <v>35.200000000000003</v>
      </c>
      <c r="M11" s="385"/>
    </row>
    <row r="12" spans="2:15" ht="16">
      <c r="B12" s="376"/>
      <c r="C12" s="379"/>
      <c r="D12" s="387" t="s">
        <v>18</v>
      </c>
      <c r="E12" s="45" t="s">
        <v>26</v>
      </c>
      <c r="F12" s="137">
        <v>815.7</v>
      </c>
      <c r="G12" s="385"/>
      <c r="H12" s="137">
        <v>972.3</v>
      </c>
      <c r="I12" s="385"/>
      <c r="J12" s="137">
        <v>814</v>
      </c>
      <c r="K12" s="385"/>
      <c r="L12" s="137">
        <v>374</v>
      </c>
      <c r="M12" s="385"/>
    </row>
    <row r="13" spans="2:15" ht="16">
      <c r="B13" s="376"/>
      <c r="C13" s="379"/>
      <c r="D13" s="388"/>
      <c r="E13" s="45" t="s">
        <v>27</v>
      </c>
      <c r="F13" s="137">
        <v>2.2000000000000002</v>
      </c>
      <c r="G13" s="385"/>
      <c r="H13" s="137">
        <v>20.100000000000001</v>
      </c>
      <c r="I13" s="385"/>
      <c r="J13" s="137">
        <v>3.2</v>
      </c>
      <c r="K13" s="385"/>
      <c r="L13" s="137">
        <v>27</v>
      </c>
      <c r="M13" s="385"/>
    </row>
    <row r="14" spans="2:15" ht="16">
      <c r="B14" s="376"/>
      <c r="C14" s="379"/>
      <c r="D14" s="46" t="s">
        <v>19</v>
      </c>
      <c r="E14" s="47" t="s">
        <v>4</v>
      </c>
      <c r="F14" s="139">
        <v>156.1</v>
      </c>
      <c r="G14" s="385"/>
      <c r="H14" s="139">
        <v>47</v>
      </c>
      <c r="I14" s="385"/>
      <c r="J14" s="139">
        <v>157.80000000000001</v>
      </c>
      <c r="K14" s="385"/>
      <c r="L14" s="139">
        <v>329</v>
      </c>
      <c r="M14" s="385"/>
    </row>
    <row r="15" spans="2:15" ht="16.5" thickBot="1">
      <c r="B15" s="376"/>
      <c r="C15" s="380"/>
      <c r="D15" s="389" t="s">
        <v>28</v>
      </c>
      <c r="E15" s="390"/>
      <c r="F15" s="108">
        <v>1620.6000000000001</v>
      </c>
      <c r="G15" s="385"/>
      <c r="H15" s="108">
        <v>1650.6999999999998</v>
      </c>
      <c r="I15" s="385"/>
      <c r="J15" s="108">
        <v>1584.6</v>
      </c>
      <c r="K15" s="385"/>
      <c r="L15" s="108">
        <v>1381.6</v>
      </c>
      <c r="M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320">
        <v>865</v>
      </c>
      <c r="G16" s="385"/>
      <c r="H16" s="320">
        <v>785</v>
      </c>
      <c r="I16" s="385"/>
      <c r="J16" s="320">
        <v>725</v>
      </c>
      <c r="K16" s="385"/>
      <c r="L16" s="320">
        <v>885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45">
        <v>-192.1</v>
      </c>
      <c r="G17" s="385"/>
      <c r="H17" s="145">
        <v>-227.1</v>
      </c>
      <c r="I17" s="385"/>
      <c r="J17" s="145">
        <v>-227.1</v>
      </c>
      <c r="K17" s="385"/>
      <c r="L17" s="145">
        <v>-227.1</v>
      </c>
      <c r="M17" s="385"/>
    </row>
    <row r="18" spans="2:15" ht="16.5" thickBot="1">
      <c r="B18" s="376"/>
      <c r="C18" s="392"/>
      <c r="D18" s="395"/>
      <c r="E18" s="51" t="s">
        <v>31</v>
      </c>
      <c r="F18" s="111">
        <v>-2.8</v>
      </c>
      <c r="G18" s="385"/>
      <c r="H18" s="111">
        <v>-2.8</v>
      </c>
      <c r="I18" s="385"/>
      <c r="J18" s="111">
        <v>-2.9</v>
      </c>
      <c r="K18" s="385"/>
      <c r="L18" s="111">
        <v>-2.8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48">
        <v>-210.9</v>
      </c>
      <c r="G19" s="385"/>
      <c r="H19" s="148">
        <v>-181</v>
      </c>
      <c r="I19" s="385"/>
      <c r="J19" s="148">
        <v>-181</v>
      </c>
      <c r="K19" s="385"/>
      <c r="L19" s="148">
        <v>-53.3</v>
      </c>
      <c r="M19" s="385"/>
    </row>
    <row r="20" spans="2:15" ht="16.5" thickBot="1">
      <c r="B20" s="376"/>
      <c r="C20" s="392"/>
      <c r="D20" s="397"/>
      <c r="E20" s="53" t="s">
        <v>33</v>
      </c>
      <c r="F20" s="150">
        <v>0</v>
      </c>
      <c r="G20" s="385"/>
      <c r="H20" s="150">
        <v>0</v>
      </c>
      <c r="I20" s="385"/>
      <c r="J20" s="150">
        <v>0</v>
      </c>
      <c r="K20" s="385"/>
      <c r="L20" s="150">
        <v>-87.7</v>
      </c>
      <c r="M20" s="385"/>
    </row>
    <row r="21" spans="2:15" ht="16.5" thickBot="1">
      <c r="B21" s="377"/>
      <c r="C21" s="393"/>
      <c r="D21" s="398" t="s">
        <v>34</v>
      </c>
      <c r="E21" s="399"/>
      <c r="F21" s="151">
        <v>1270.8</v>
      </c>
      <c r="G21" s="386"/>
      <c r="H21" s="151">
        <v>1195.9000000000001</v>
      </c>
      <c r="I21" s="386"/>
      <c r="J21" s="151">
        <v>1136</v>
      </c>
      <c r="K21" s="386"/>
      <c r="L21" s="151">
        <v>1255.8999999999999</v>
      </c>
      <c r="M21" s="38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5" t="s">
        <v>43</v>
      </c>
      <c r="I22" s="7" t="s">
        <v>44</v>
      </c>
      <c r="J22" s="5" t="s">
        <v>43</v>
      </c>
      <c r="K22" s="7" t="s">
        <v>44</v>
      </c>
      <c r="L22" s="5" t="s">
        <v>43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152">
        <v>1620.6000000000001</v>
      </c>
      <c r="G23" s="400"/>
      <c r="H23" s="152">
        <v>1650.6999999999998</v>
      </c>
      <c r="I23" s="400"/>
      <c r="J23" s="152">
        <v>1584.6</v>
      </c>
      <c r="K23" s="400"/>
      <c r="L23" s="152">
        <v>1381.6</v>
      </c>
      <c r="M23" s="400"/>
    </row>
    <row r="24" spans="2:15" ht="16">
      <c r="B24" s="409"/>
      <c r="C24" s="403" t="s">
        <v>37</v>
      </c>
      <c r="D24" s="404"/>
      <c r="E24" s="405"/>
      <c r="F24" s="153">
        <v>1270.8</v>
      </c>
      <c r="G24" s="401"/>
      <c r="H24" s="153">
        <v>1195.9000000000001</v>
      </c>
      <c r="I24" s="401"/>
      <c r="J24" s="153">
        <v>1136</v>
      </c>
      <c r="K24" s="401"/>
      <c r="L24" s="153">
        <v>1255.8999999999999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154">
        <v>349.80000000000018</v>
      </c>
      <c r="G25" s="402"/>
      <c r="H25" s="154">
        <v>454.79999999999973</v>
      </c>
      <c r="I25" s="402"/>
      <c r="J25" s="154">
        <v>448.59999999999991</v>
      </c>
      <c r="K25" s="402"/>
      <c r="L25" s="154">
        <v>125.70000000000005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355"/>
    </row>
    <row r="58" spans="2:15">
      <c r="F58" s="86"/>
      <c r="H58" s="86"/>
      <c r="J58" s="86"/>
      <c r="L58" s="86"/>
      <c r="N58" s="240"/>
    </row>
    <row r="59" spans="2:15">
      <c r="F59" s="87"/>
      <c r="H59" s="87"/>
      <c r="J59" s="87"/>
      <c r="L59" s="87"/>
      <c r="N59" s="356"/>
    </row>
    <row r="60" spans="2:15">
      <c r="F60" s="86"/>
      <c r="H60" s="86"/>
      <c r="J60" s="86"/>
      <c r="L60" s="86"/>
      <c r="N60" s="240"/>
    </row>
    <row r="62" spans="2:15" ht="14.25" customHeight="1"/>
    <row r="64" spans="2:15" ht="14.25" customHeight="1"/>
    <row r="69" ht="14.25" customHeight="1"/>
  </sheetData>
  <mergeCells count="26">
    <mergeCell ref="D25:E25"/>
    <mergeCell ref="D19:D20"/>
    <mergeCell ref="D21:E21"/>
    <mergeCell ref="K5:K21"/>
    <mergeCell ref="M5:M21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C3:E3"/>
    <mergeCell ref="C2:E2"/>
    <mergeCell ref="F2:G2"/>
    <mergeCell ref="H2:I2"/>
    <mergeCell ref="J2:K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日別の需給状況・再エネ出力抑制の必要性（2026年3月）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3726-27B5-4AF1-806A-AC6EBA6B99F3}">
  <dimension ref="A1:Y68"/>
  <sheetViews>
    <sheetView showGridLines="0" view="pageBreakPreview" topLeftCell="A20" zoomScale="70" zoomScaleNormal="55" zoomScaleSheetLayoutView="70" zoomScalePageLayoutView="55" workbookViewId="0">
      <selection activeCell="N8" sqref="N5:N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46082</v>
      </c>
      <c r="G3" s="516"/>
      <c r="H3" s="516"/>
      <c r="I3" s="517"/>
      <c r="J3" s="515">
        <v>46085</v>
      </c>
      <c r="K3" s="516"/>
      <c r="L3" s="516"/>
      <c r="M3" s="517"/>
      <c r="N3" s="515">
        <v>46086</v>
      </c>
      <c r="O3" s="516"/>
      <c r="P3" s="516"/>
      <c r="Q3" s="517"/>
      <c r="R3" s="515">
        <v>46088</v>
      </c>
      <c r="S3" s="516"/>
      <c r="T3" s="516"/>
      <c r="U3" s="517"/>
      <c r="V3" s="515">
        <v>46089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166">
        <v>52.7</v>
      </c>
      <c r="G8" s="216">
        <v>52.7</v>
      </c>
      <c r="H8" s="164">
        <v>0</v>
      </c>
      <c r="I8" s="214"/>
      <c r="J8" s="166">
        <v>53.1</v>
      </c>
      <c r="K8" s="216">
        <v>53.1</v>
      </c>
      <c r="L8" s="164">
        <v>0</v>
      </c>
      <c r="M8" s="214"/>
      <c r="N8" s="166">
        <v>52.7</v>
      </c>
      <c r="O8" s="216">
        <v>52.7</v>
      </c>
      <c r="P8" s="164">
        <v>0</v>
      </c>
      <c r="Q8" s="214"/>
      <c r="R8" s="216">
        <v>50.1</v>
      </c>
      <c r="S8" s="216">
        <v>50.1</v>
      </c>
      <c r="T8" s="164">
        <v>0</v>
      </c>
      <c r="U8" s="214"/>
      <c r="V8" s="166">
        <v>49.3</v>
      </c>
      <c r="W8" s="216">
        <v>49.300000000000004</v>
      </c>
      <c r="X8" s="164"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82.6</v>
      </c>
      <c r="G9" s="188">
        <f>SUM(G5:G8)</f>
        <v>82.6</v>
      </c>
      <c r="H9" s="188">
        <f>SUM(H5:H8)</f>
        <v>0</v>
      </c>
      <c r="I9" s="213" t="s">
        <v>81</v>
      </c>
      <c r="J9" s="188">
        <f>SUM(J5:J8)</f>
        <v>103.30000000000001</v>
      </c>
      <c r="K9" s="188">
        <f>SUM(K5:K8)</f>
        <v>103.30000000000001</v>
      </c>
      <c r="L9" s="188">
        <f>SUM(L5:L8)</f>
        <v>0</v>
      </c>
      <c r="M9" s="213" t="s">
        <v>81</v>
      </c>
      <c r="N9" s="188">
        <f>SUM(N5:N8)</f>
        <v>102.9</v>
      </c>
      <c r="O9" s="188">
        <f>SUM(O5:O8)</f>
        <v>102.9</v>
      </c>
      <c r="P9" s="188">
        <f>SUM(P5:P8)</f>
        <v>0</v>
      </c>
      <c r="Q9" s="213" t="s">
        <v>81</v>
      </c>
      <c r="R9" s="188">
        <f>SUM(R5:R8)</f>
        <v>100.30000000000001</v>
      </c>
      <c r="S9" s="188">
        <f>SUM(S5:S8)</f>
        <v>100.30000000000001</v>
      </c>
      <c r="T9" s="188">
        <f>SUM(T5:T8)</f>
        <v>0</v>
      </c>
      <c r="U9" s="213" t="s">
        <v>81</v>
      </c>
      <c r="V9" s="188">
        <f>SUM(V5:V8)</f>
        <v>99.5</v>
      </c>
      <c r="W9" s="188">
        <f>SUM(W5:W8)</f>
        <v>99.5</v>
      </c>
      <c r="X9" s="188">
        <f>SUM(X5:X8)</f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46082</v>
      </c>
      <c r="G11" s="433"/>
      <c r="H11" s="433"/>
      <c r="I11" s="434"/>
      <c r="J11" s="432">
        <v>46085</v>
      </c>
      <c r="K11" s="433"/>
      <c r="L11" s="433"/>
      <c r="M11" s="434"/>
      <c r="N11" s="432">
        <v>46086</v>
      </c>
      <c r="O11" s="433"/>
      <c r="P11" s="433"/>
      <c r="Q11" s="434"/>
      <c r="R11" s="432">
        <v>46088</v>
      </c>
      <c r="S11" s="433"/>
      <c r="T11" s="433"/>
      <c r="U11" s="434"/>
      <c r="V11" s="432">
        <v>46089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  <c r="V14" s="166">
        <v>-26.1</v>
      </c>
      <c r="W14" s="165">
        <v>0</v>
      </c>
      <c r="X14" s="164">
        <v>26.1</v>
      </c>
      <c r="Y14" s="189" t="s">
        <v>232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0</v>
      </c>
      <c r="L15" s="164">
        <v>32.5</v>
      </c>
      <c r="M15" s="189" t="s">
        <v>232</v>
      </c>
      <c r="N15" s="166">
        <v>-32.5</v>
      </c>
      <c r="O15" s="165">
        <v>0</v>
      </c>
      <c r="P15" s="164">
        <v>32.5</v>
      </c>
      <c r="Q15" s="189" t="s">
        <v>232</v>
      </c>
      <c r="R15" s="166">
        <v>-32.5</v>
      </c>
      <c r="S15" s="165">
        <v>0</v>
      </c>
      <c r="T15" s="164">
        <v>32.5</v>
      </c>
      <c r="U15" s="189" t="s">
        <v>232</v>
      </c>
      <c r="V15" s="166">
        <v>-32.5</v>
      </c>
      <c r="W15" s="165">
        <v>0</v>
      </c>
      <c r="X15" s="164">
        <v>32.5</v>
      </c>
      <c r="Y15" s="189" t="s">
        <v>232</v>
      </c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v>-253.2</v>
      </c>
      <c r="K21" s="187">
        <v>-194.6</v>
      </c>
      <c r="L21" s="187">
        <v>58.6</v>
      </c>
      <c r="M21" s="186" t="s">
        <v>81</v>
      </c>
      <c r="N21" s="188">
        <v>-253.2</v>
      </c>
      <c r="O21" s="187">
        <v>-194.6</v>
      </c>
      <c r="P21" s="187">
        <v>58.6</v>
      </c>
      <c r="Q21" s="186" t="s">
        <v>81</v>
      </c>
      <c r="R21" s="188">
        <v>-253.2</v>
      </c>
      <c r="S21" s="187">
        <v>-194.6</v>
      </c>
      <c r="T21" s="187">
        <v>58.6</v>
      </c>
      <c r="U21" s="186" t="s">
        <v>81</v>
      </c>
      <c r="V21" s="188">
        <v>-253.2</v>
      </c>
      <c r="W21" s="187">
        <v>-194.6</v>
      </c>
      <c r="X21" s="187">
        <v>58.6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46082</v>
      </c>
      <c r="G23" s="433"/>
      <c r="H23" s="433"/>
      <c r="I23" s="434"/>
      <c r="J23" s="432">
        <v>46085</v>
      </c>
      <c r="K23" s="433"/>
      <c r="L23" s="433"/>
      <c r="M23" s="434"/>
      <c r="N23" s="432">
        <v>46086</v>
      </c>
      <c r="O23" s="433"/>
      <c r="P23" s="433"/>
      <c r="Q23" s="434"/>
      <c r="R23" s="432">
        <v>46088</v>
      </c>
      <c r="S23" s="433"/>
      <c r="T23" s="433"/>
      <c r="U23" s="434"/>
      <c r="V23" s="432">
        <v>46089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-3.6</v>
      </c>
      <c r="H25" s="207">
        <v>1.4</v>
      </c>
      <c r="I25" s="206" t="s">
        <v>233</v>
      </c>
      <c r="J25" s="209">
        <v>-5</v>
      </c>
      <c r="K25" s="208">
        <v>-3.6</v>
      </c>
      <c r="L25" s="207">
        <v>1.4</v>
      </c>
      <c r="M25" s="206" t="s">
        <v>233</v>
      </c>
      <c r="N25" s="209">
        <v>-5</v>
      </c>
      <c r="O25" s="208">
        <v>-3.6</v>
      </c>
      <c r="P25" s="207">
        <v>1.4</v>
      </c>
      <c r="Q25" s="206" t="s">
        <v>233</v>
      </c>
      <c r="R25" s="209">
        <v>-5</v>
      </c>
      <c r="S25" s="208">
        <v>-3.6</v>
      </c>
      <c r="T25" s="207">
        <v>1.4</v>
      </c>
      <c r="U25" s="206" t="s">
        <v>233</v>
      </c>
      <c r="V25" s="209">
        <v>-5</v>
      </c>
      <c r="W25" s="208">
        <v>-3.6</v>
      </c>
      <c r="X25" s="207">
        <v>1.4</v>
      </c>
      <c r="Y25" s="206" t="s">
        <v>233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46082</v>
      </c>
      <c r="G27" s="433"/>
      <c r="H27" s="433"/>
      <c r="I27" s="434"/>
      <c r="J27" s="432">
        <v>46085</v>
      </c>
      <c r="K27" s="433"/>
      <c r="L27" s="433"/>
      <c r="M27" s="434"/>
      <c r="N27" s="432">
        <v>46086</v>
      </c>
      <c r="O27" s="433"/>
      <c r="P27" s="433"/>
      <c r="Q27" s="434"/>
      <c r="R27" s="432">
        <v>46088</v>
      </c>
      <c r="S27" s="433"/>
      <c r="T27" s="433"/>
      <c r="U27" s="434"/>
      <c r="V27" s="432">
        <v>46089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66.2</v>
      </c>
      <c r="L31" s="457">
        <v>11.800000000000004</v>
      </c>
      <c r="M31" s="459" t="s">
        <v>234</v>
      </c>
      <c r="N31" s="200">
        <v>54.4</v>
      </c>
      <c r="O31" s="455">
        <v>76.400000000000006</v>
      </c>
      <c r="P31" s="457">
        <v>22.000000000000007</v>
      </c>
      <c r="Q31" s="459" t="s">
        <v>234</v>
      </c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21</v>
      </c>
      <c r="G33" s="199">
        <v>31.3</v>
      </c>
      <c r="H33" s="457">
        <v>10.3</v>
      </c>
      <c r="I33" s="459" t="s">
        <v>247</v>
      </c>
      <c r="J33" s="200">
        <v>35.299999999999997</v>
      </c>
      <c r="K33" s="199">
        <v>35</v>
      </c>
      <c r="L33" s="457">
        <v>-0.29999999999999716</v>
      </c>
      <c r="M33" s="459" t="s">
        <v>231</v>
      </c>
      <c r="N33" s="200">
        <v>35.299999999999997</v>
      </c>
      <c r="O33" s="199">
        <v>40.299999999999997</v>
      </c>
      <c r="P33" s="457">
        <v>5</v>
      </c>
      <c r="Q33" s="459" t="s">
        <v>236</v>
      </c>
      <c r="R33" s="200">
        <v>35.299999999999997</v>
      </c>
      <c r="S33" s="199">
        <v>31.2</v>
      </c>
      <c r="T33" s="457">
        <v>-4.0999999999999979</v>
      </c>
      <c r="U33" s="459" t="s">
        <v>232</v>
      </c>
      <c r="V33" s="200">
        <v>35.299999999999997</v>
      </c>
      <c r="W33" s="199">
        <v>32.1</v>
      </c>
      <c r="X33" s="457">
        <v>-3.1999999999999957</v>
      </c>
      <c r="Y33" s="459" t="s">
        <v>232</v>
      </c>
    </row>
    <row r="34" spans="3:25" ht="16">
      <c r="C34" s="528"/>
      <c r="D34" s="467"/>
      <c r="E34" s="463" t="s">
        <v>104</v>
      </c>
      <c r="F34" s="198">
        <v>0.12</v>
      </c>
      <c r="G34" s="197">
        <v>0.18</v>
      </c>
      <c r="H34" s="458"/>
      <c r="I34" s="460"/>
      <c r="J34" s="198">
        <v>0.2</v>
      </c>
      <c r="K34" s="197">
        <v>0.2</v>
      </c>
      <c r="L34" s="458"/>
      <c r="M34" s="460"/>
      <c r="N34" s="198">
        <v>0.2</v>
      </c>
      <c r="O34" s="197">
        <v>0.23</v>
      </c>
      <c r="P34" s="458"/>
      <c r="Q34" s="460"/>
      <c r="R34" s="198">
        <v>0.2</v>
      </c>
      <c r="S34" s="197">
        <v>0.18</v>
      </c>
      <c r="T34" s="458"/>
      <c r="U34" s="460"/>
      <c r="V34" s="198">
        <v>0.2</v>
      </c>
      <c r="W34" s="197">
        <v>0.18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0.4</v>
      </c>
      <c r="H37" s="164">
        <v>-9.6</v>
      </c>
      <c r="I37" s="189" t="s">
        <v>237</v>
      </c>
      <c r="J37" s="166">
        <v>10</v>
      </c>
      <c r="K37" s="165">
        <v>0.4</v>
      </c>
      <c r="L37" s="164">
        <f>K37-J37</f>
        <v>-9.6</v>
      </c>
      <c r="M37" s="189" t="s">
        <v>237</v>
      </c>
      <c r="N37" s="166">
        <v>10</v>
      </c>
      <c r="O37" s="165">
        <v>0.3</v>
      </c>
      <c r="P37" s="164">
        <v>-9.6999999999999993</v>
      </c>
      <c r="Q37" s="189" t="s">
        <v>237</v>
      </c>
      <c r="R37" s="166">
        <v>10</v>
      </c>
      <c r="S37" s="165">
        <v>0.6</v>
      </c>
      <c r="T37" s="164">
        <f>S37-R37</f>
        <v>-9.4</v>
      </c>
      <c r="U37" s="189" t="s">
        <v>237</v>
      </c>
      <c r="V37" s="166">
        <v>10</v>
      </c>
      <c r="W37" s="165">
        <v>0.5</v>
      </c>
      <c r="X37" s="164">
        <f>W37-V37</f>
        <v>-9.5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85.4</v>
      </c>
      <c r="G38" s="187">
        <v>86.100000000000009</v>
      </c>
      <c r="H38" s="187">
        <v>0.70000000000000107</v>
      </c>
      <c r="I38" s="186"/>
      <c r="J38" s="188">
        <v>99.699999999999989</v>
      </c>
      <c r="K38" s="187">
        <v>101.6</v>
      </c>
      <c r="L38" s="187">
        <f>L31+L33+L37</f>
        <v>1.9000000000000075</v>
      </c>
      <c r="M38" s="186"/>
      <c r="N38" s="188">
        <v>99.699999999999989</v>
      </c>
      <c r="O38" s="187">
        <v>117</v>
      </c>
      <c r="P38" s="187">
        <v>17.300000000000008</v>
      </c>
      <c r="Q38" s="186"/>
      <c r="R38" s="188">
        <v>99.699999999999989</v>
      </c>
      <c r="S38" s="187">
        <v>86.2</v>
      </c>
      <c r="T38" s="187">
        <f>T31+T33+T37</f>
        <v>-13.499999999999998</v>
      </c>
      <c r="U38" s="186"/>
      <c r="V38" s="188">
        <v>99.699999999999989</v>
      </c>
      <c r="W38" s="187">
        <v>87</v>
      </c>
      <c r="X38" s="187">
        <f>X31+X33+X37</f>
        <v>-12.699999999999996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46082</v>
      </c>
      <c r="G40" s="470"/>
      <c r="H40" s="470"/>
      <c r="I40" s="471"/>
      <c r="J40" s="469">
        <v>46085</v>
      </c>
      <c r="K40" s="470"/>
      <c r="L40" s="470"/>
      <c r="M40" s="471"/>
      <c r="N40" s="469">
        <v>46086</v>
      </c>
      <c r="O40" s="470"/>
      <c r="P40" s="470"/>
      <c r="Q40" s="471"/>
      <c r="R40" s="432">
        <v>46088</v>
      </c>
      <c r="S40" s="433"/>
      <c r="T40" s="433"/>
      <c r="U40" s="434"/>
      <c r="V40" s="432">
        <v>46089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1.1000000000000001</v>
      </c>
      <c r="O42" s="478">
        <v>0</v>
      </c>
      <c r="P42" s="457">
        <v>-1.1000000000000001</v>
      </c>
      <c r="Q42" s="459" t="s">
        <v>234</v>
      </c>
      <c r="R42" s="178">
        <v>16.100000000000001</v>
      </c>
      <c r="S42" s="478">
        <v>0</v>
      </c>
      <c r="T42" s="457">
        <v>-16.100000000000001</v>
      </c>
      <c r="U42" s="459" t="s">
        <v>234</v>
      </c>
      <c r="V42" s="178">
        <v>18.8</v>
      </c>
      <c r="W42" s="478">
        <v>0</v>
      </c>
      <c r="X42" s="457">
        <v>-18.8</v>
      </c>
      <c r="Y42" s="459" t="s">
        <v>234</v>
      </c>
    </row>
    <row r="43" spans="3:25" ht="16.5" thickBot="1">
      <c r="C43" s="531"/>
      <c r="D43" s="475"/>
      <c r="E43" s="477"/>
      <c r="F43" s="183">
        <v>187.2</v>
      </c>
      <c r="G43" s="479"/>
      <c r="H43" s="480"/>
      <c r="I43" s="481"/>
      <c r="J43" s="183">
        <v>224.7</v>
      </c>
      <c r="K43" s="479"/>
      <c r="L43" s="480"/>
      <c r="M43" s="481"/>
      <c r="N43" s="183">
        <v>236</v>
      </c>
      <c r="O43" s="479"/>
      <c r="P43" s="480"/>
      <c r="Q43" s="481"/>
      <c r="R43" s="183">
        <v>206</v>
      </c>
      <c r="S43" s="479"/>
      <c r="T43" s="480"/>
      <c r="U43" s="481"/>
      <c r="V43" s="183">
        <v>206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46082</v>
      </c>
      <c r="G45" s="470"/>
      <c r="H45" s="470"/>
      <c r="I45" s="471"/>
      <c r="J45" s="469">
        <v>46085</v>
      </c>
      <c r="K45" s="470"/>
      <c r="L45" s="470"/>
      <c r="M45" s="471"/>
      <c r="N45" s="469">
        <v>46086</v>
      </c>
      <c r="O45" s="470"/>
      <c r="P45" s="470"/>
      <c r="Q45" s="471"/>
      <c r="R45" s="432">
        <v>46088</v>
      </c>
      <c r="S45" s="433"/>
      <c r="T45" s="433"/>
      <c r="U45" s="434"/>
      <c r="V45" s="432">
        <v>46089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42.9</v>
      </c>
      <c r="G47" s="478">
        <v>49.6</v>
      </c>
      <c r="H47" s="457">
        <v>6.7000000000000028</v>
      </c>
      <c r="I47" s="459" t="s">
        <v>232</v>
      </c>
      <c r="J47" s="178">
        <v>42.9</v>
      </c>
      <c r="K47" s="478">
        <v>42.7</v>
      </c>
      <c r="L47" s="457">
        <v>-0.19999999999999574</v>
      </c>
      <c r="M47" s="459" t="s">
        <v>232</v>
      </c>
      <c r="N47" s="178">
        <v>42.9</v>
      </c>
      <c r="O47" s="553">
        <v>40.799999999999997</v>
      </c>
      <c r="P47" s="457">
        <f>O47-N47</f>
        <v>-2.1000000000000014</v>
      </c>
      <c r="Q47" s="459" t="s">
        <v>232</v>
      </c>
      <c r="R47" s="178">
        <v>39.1</v>
      </c>
      <c r="S47" s="478">
        <v>41</v>
      </c>
      <c r="T47" s="457">
        <v>1.8999999999999986</v>
      </c>
      <c r="U47" s="459" t="s">
        <v>245</v>
      </c>
      <c r="V47" s="178">
        <v>39.1</v>
      </c>
      <c r="W47" s="478">
        <v>41.7</v>
      </c>
      <c r="X47" s="457">
        <v>2.6000000000000014</v>
      </c>
      <c r="Y47" s="459" t="s">
        <v>232</v>
      </c>
    </row>
    <row r="48" spans="3:25" ht="16.5" thickBot="1">
      <c r="C48" s="533"/>
      <c r="D48" s="487"/>
      <c r="E48" s="489"/>
      <c r="F48" s="177">
        <v>0.56000000000000005</v>
      </c>
      <c r="G48" s="479"/>
      <c r="H48" s="480"/>
      <c r="I48" s="481"/>
      <c r="J48" s="177">
        <v>0.56000000000000005</v>
      </c>
      <c r="K48" s="479"/>
      <c r="L48" s="480"/>
      <c r="M48" s="481"/>
      <c r="N48" s="177">
        <v>0.56000000000000005</v>
      </c>
      <c r="O48" s="554"/>
      <c r="P48" s="480"/>
      <c r="Q48" s="481"/>
      <c r="R48" s="177">
        <v>0.57999999999999996</v>
      </c>
      <c r="S48" s="479"/>
      <c r="T48" s="509"/>
      <c r="U48" s="481"/>
      <c r="V48" s="177">
        <v>0.57999999999999996</v>
      </c>
      <c r="W48" s="479"/>
      <c r="X48" s="509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46082</v>
      </c>
      <c r="G50" s="470"/>
      <c r="H50" s="470"/>
      <c r="I50" s="471"/>
      <c r="J50" s="469">
        <v>46085</v>
      </c>
      <c r="K50" s="470"/>
      <c r="L50" s="470"/>
      <c r="M50" s="471"/>
      <c r="N50" s="469">
        <v>46086</v>
      </c>
      <c r="O50" s="470"/>
      <c r="P50" s="470"/>
      <c r="Q50" s="471"/>
      <c r="R50" s="432">
        <v>46088</v>
      </c>
      <c r="S50" s="433"/>
      <c r="T50" s="433"/>
      <c r="U50" s="434"/>
      <c r="V50" s="432">
        <v>46089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345">
        <v>0</v>
      </c>
      <c r="G52" s="323">
        <v>0.1</v>
      </c>
      <c r="H52" s="346">
        <f>G52-F52</f>
        <v>0.1</v>
      </c>
      <c r="I52" s="359" t="s">
        <v>231</v>
      </c>
      <c r="J52" s="345">
        <v>0</v>
      </c>
      <c r="K52" s="323">
        <v>0.1</v>
      </c>
      <c r="L52" s="346">
        <f>K52-J52</f>
        <v>0.1</v>
      </c>
      <c r="M52" s="359" t="s">
        <v>231</v>
      </c>
      <c r="N52" s="345">
        <v>0</v>
      </c>
      <c r="O52" s="323">
        <v>0.1</v>
      </c>
      <c r="P52" s="346">
        <f>O52-N52</f>
        <v>0.1</v>
      </c>
      <c r="Q52" s="359" t="s">
        <v>231</v>
      </c>
      <c r="R52" s="345">
        <v>0</v>
      </c>
      <c r="S52" s="323">
        <v>0</v>
      </c>
      <c r="T52" s="346">
        <v>0</v>
      </c>
      <c r="U52" s="359"/>
      <c r="V52" s="345">
        <v>0</v>
      </c>
      <c r="W52" s="323">
        <v>0</v>
      </c>
      <c r="X52" s="346">
        <v>0</v>
      </c>
      <c r="Y52" s="359"/>
    </row>
    <row r="53" spans="1:25" ht="16.5" thickBot="1">
      <c r="C53" s="533"/>
      <c r="D53" s="487"/>
      <c r="E53" s="162" t="s">
        <v>82</v>
      </c>
      <c r="F53" s="360">
        <v>0</v>
      </c>
      <c r="G53" s="358">
        <v>30.7</v>
      </c>
      <c r="H53" s="361" t="s">
        <v>81</v>
      </c>
      <c r="I53" s="362" t="s">
        <v>230</v>
      </c>
      <c r="J53" s="360">
        <v>0</v>
      </c>
      <c r="K53" s="358">
        <v>30.1</v>
      </c>
      <c r="L53" s="361" t="s">
        <v>81</v>
      </c>
      <c r="M53" s="362" t="s">
        <v>230</v>
      </c>
      <c r="N53" s="360">
        <v>0</v>
      </c>
      <c r="O53" s="358">
        <v>31.3</v>
      </c>
      <c r="P53" s="361" t="s">
        <v>81</v>
      </c>
      <c r="Q53" s="362" t="s">
        <v>230</v>
      </c>
      <c r="R53" s="360">
        <v>0</v>
      </c>
      <c r="S53" s="358">
        <v>30.4</v>
      </c>
      <c r="T53" s="361" t="s">
        <v>81</v>
      </c>
      <c r="U53" s="362" t="s">
        <v>230</v>
      </c>
      <c r="V53" s="360">
        <v>0</v>
      </c>
      <c r="W53" s="358">
        <v>30.4</v>
      </c>
      <c r="X53" s="361" t="s">
        <v>81</v>
      </c>
      <c r="Y53" s="362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  <row r="67" spans="6:24">
      <c r="H67" s="87"/>
    </row>
    <row r="68" spans="6:24">
      <c r="H68" s="86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&amp;"メイリオ,ボールド"&amp;22日別の優先給電ルールに基づく抑制、調整状況（2026年3月）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C5B9-90A3-47D0-9E90-E2C7F3FE3BF5}">
  <dimension ref="A1:Y66"/>
  <sheetViews>
    <sheetView showGridLines="0" view="pageBreakPreview" topLeftCell="A22" zoomScale="70" zoomScaleNormal="55" zoomScaleSheetLayoutView="70" zoomScalePageLayoutView="55" workbookViewId="0">
      <selection activeCell="A58" sqref="A58:XFD66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5" ht="16.5" thickBot="1">
      <c r="C3" s="514" t="s">
        <v>142</v>
      </c>
      <c r="D3" s="430"/>
      <c r="E3" s="431"/>
      <c r="F3" s="515">
        <v>46090</v>
      </c>
      <c r="G3" s="516"/>
      <c r="H3" s="516"/>
      <c r="I3" s="517"/>
      <c r="J3" s="515">
        <v>46091</v>
      </c>
      <c r="K3" s="516"/>
      <c r="L3" s="516"/>
      <c r="M3" s="517"/>
      <c r="N3" s="515">
        <v>46092</v>
      </c>
      <c r="O3" s="516"/>
      <c r="P3" s="516"/>
      <c r="Q3" s="517"/>
      <c r="R3" s="515">
        <v>46093</v>
      </c>
      <c r="S3" s="516"/>
      <c r="T3" s="516"/>
      <c r="U3" s="517"/>
      <c r="V3" s="515">
        <v>46094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166">
        <v>52.3</v>
      </c>
      <c r="G8" s="216">
        <v>52.300000000000004</v>
      </c>
      <c r="H8" s="164">
        <v>0</v>
      </c>
      <c r="I8" s="214"/>
      <c r="J8" s="166">
        <v>52.3</v>
      </c>
      <c r="K8" s="216">
        <v>52.300000000000004</v>
      </c>
      <c r="L8" s="164">
        <v>0</v>
      </c>
      <c r="M8" s="214"/>
      <c r="N8" s="166">
        <v>53.099999999999994</v>
      </c>
      <c r="O8" s="216">
        <v>53.1</v>
      </c>
      <c r="P8" s="164">
        <v>0</v>
      </c>
      <c r="Q8" s="214"/>
      <c r="R8" s="166">
        <v>53.099999999999994</v>
      </c>
      <c r="S8" s="216">
        <v>53.1</v>
      </c>
      <c r="T8" s="164">
        <v>0</v>
      </c>
      <c r="U8" s="214"/>
      <c r="V8" s="166">
        <v>53.3</v>
      </c>
      <c r="W8" s="216">
        <v>53.300000000000004</v>
      </c>
      <c r="X8" s="164">
        <v>0</v>
      </c>
      <c r="Y8" s="214"/>
    </row>
    <row r="9" spans="3:25" ht="16.5" thickBot="1">
      <c r="C9" s="521"/>
      <c r="D9" s="427" t="s">
        <v>101</v>
      </c>
      <c r="E9" s="428"/>
      <c r="F9" s="188">
        <f>SUM(F5:F8)</f>
        <v>102.5</v>
      </c>
      <c r="G9" s="188">
        <f>SUM(G5:G8)</f>
        <v>102.5</v>
      </c>
      <c r="H9" s="188">
        <f>SUM(H5:H8)</f>
        <v>0</v>
      </c>
      <c r="I9" s="213" t="s">
        <v>81</v>
      </c>
      <c r="J9" s="188">
        <f>SUM(J5:J8)</f>
        <v>102.5</v>
      </c>
      <c r="K9" s="188">
        <f>SUM(K5:K8)</f>
        <v>102.5</v>
      </c>
      <c r="L9" s="188">
        <f>SUM(L5:L8)</f>
        <v>0</v>
      </c>
      <c r="M9" s="213" t="s">
        <v>81</v>
      </c>
      <c r="N9" s="188">
        <f>SUM(N5:N8)</f>
        <v>103.3</v>
      </c>
      <c r="O9" s="188">
        <f>SUM(O5:O8)</f>
        <v>103.30000000000001</v>
      </c>
      <c r="P9" s="188">
        <f>SUM(P5:P8)</f>
        <v>0</v>
      </c>
      <c r="Q9" s="213" t="s">
        <v>81</v>
      </c>
      <c r="R9" s="188">
        <f>SUM(R5:R8)</f>
        <v>103.3</v>
      </c>
      <c r="S9" s="188">
        <f>SUM(S5:S8)</f>
        <v>103.30000000000001</v>
      </c>
      <c r="T9" s="188">
        <f>SUM(T5:T8)</f>
        <v>0</v>
      </c>
      <c r="U9" s="213" t="s">
        <v>81</v>
      </c>
      <c r="V9" s="188">
        <f>SUM(V5:V8)</f>
        <v>103.5</v>
      </c>
      <c r="W9" s="188">
        <f>SUM(W5:W8)</f>
        <v>103.5</v>
      </c>
      <c r="X9" s="188">
        <f>SUM(X5:X8)</f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46090</v>
      </c>
      <c r="G11" s="433"/>
      <c r="H11" s="433"/>
      <c r="I11" s="434"/>
      <c r="J11" s="432">
        <v>46091</v>
      </c>
      <c r="K11" s="433"/>
      <c r="L11" s="433"/>
      <c r="M11" s="434"/>
      <c r="N11" s="432">
        <v>46092</v>
      </c>
      <c r="O11" s="433"/>
      <c r="P11" s="433"/>
      <c r="Q11" s="434"/>
      <c r="R11" s="432">
        <v>46093</v>
      </c>
      <c r="S11" s="433"/>
      <c r="T11" s="433"/>
      <c r="U11" s="434"/>
      <c r="V11" s="432">
        <v>46094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v>26.1</v>
      </c>
      <c r="I13" s="189" t="s">
        <v>232</v>
      </c>
      <c r="J13" s="166">
        <v>-26.1</v>
      </c>
      <c r="K13" s="165">
        <v>0</v>
      </c>
      <c r="L13" s="164">
        <v>26.1</v>
      </c>
      <c r="M13" s="189" t="s">
        <v>231</v>
      </c>
      <c r="N13" s="166">
        <v>-26.1</v>
      </c>
      <c r="O13" s="165">
        <v>-26.1</v>
      </c>
      <c r="P13" s="164">
        <f>O13-N13</f>
        <v>0</v>
      </c>
      <c r="Q13" s="189"/>
      <c r="R13" s="166">
        <v>-26.1</v>
      </c>
      <c r="S13" s="165">
        <v>-26.1</v>
      </c>
      <c r="T13" s="164">
        <f>S13-R13</f>
        <v>0</v>
      </c>
      <c r="U13" s="189"/>
      <c r="V13" s="166">
        <v>-26.1</v>
      </c>
      <c r="W13" s="165">
        <v>-26.1</v>
      </c>
      <c r="X13" s="164">
        <f>W13-V13</f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v>26.1</v>
      </c>
      <c r="I14" s="189" t="s">
        <v>232</v>
      </c>
      <c r="J14" s="166">
        <v>-26.1</v>
      </c>
      <c r="K14" s="165">
        <v>0</v>
      </c>
      <c r="L14" s="164">
        <v>26.1</v>
      </c>
      <c r="M14" s="189" t="s">
        <v>232</v>
      </c>
      <c r="N14" s="166">
        <v>-26.1</v>
      </c>
      <c r="O14" s="165">
        <v>0</v>
      </c>
      <c r="P14" s="164">
        <f>O14-N14</f>
        <v>26.1</v>
      </c>
      <c r="Q14" s="189" t="s">
        <v>232</v>
      </c>
      <c r="R14" s="166">
        <v>-26.1</v>
      </c>
      <c r="S14" s="165">
        <v>0</v>
      </c>
      <c r="T14" s="164">
        <f>S14-R14</f>
        <v>26.1</v>
      </c>
      <c r="U14" s="189" t="s">
        <v>232</v>
      </c>
      <c r="V14" s="166">
        <v>-26.1</v>
      </c>
      <c r="W14" s="165">
        <v>0</v>
      </c>
      <c r="X14" s="164">
        <f>W14-V14</f>
        <v>26.1</v>
      </c>
      <c r="Y14" s="189" t="s">
        <v>232</v>
      </c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0</v>
      </c>
      <c r="H15" s="164">
        <v>32.5</v>
      </c>
      <c r="I15" s="189" t="s">
        <v>232</v>
      </c>
      <c r="J15" s="166">
        <v>-32.5</v>
      </c>
      <c r="K15" s="165">
        <v>0</v>
      </c>
      <c r="L15" s="164">
        <v>32.5</v>
      </c>
      <c r="M15" s="189" t="s">
        <v>232</v>
      </c>
      <c r="N15" s="166">
        <v>-32.5</v>
      </c>
      <c r="O15" s="165">
        <v>0</v>
      </c>
      <c r="P15" s="164">
        <v>32.5</v>
      </c>
      <c r="Q15" s="189" t="s">
        <v>232</v>
      </c>
      <c r="R15" s="166">
        <v>-32.5</v>
      </c>
      <c r="S15" s="165">
        <v>0</v>
      </c>
      <c r="T15" s="164">
        <v>32.5</v>
      </c>
      <c r="U15" s="189" t="s">
        <v>232</v>
      </c>
      <c r="V15" s="166">
        <v>-32.5</v>
      </c>
      <c r="W15" s="165">
        <v>0</v>
      </c>
      <c r="X15" s="164">
        <v>32.5</v>
      </c>
      <c r="Y15" s="189" t="s">
        <v>232</v>
      </c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0</v>
      </c>
      <c r="T16" s="164">
        <v>32.5</v>
      </c>
      <c r="U16" s="189" t="s">
        <v>232</v>
      </c>
      <c r="V16" s="166">
        <v>-32.5</v>
      </c>
      <c r="W16" s="165">
        <v>0</v>
      </c>
      <c r="X16" s="164">
        <v>32.5</v>
      </c>
      <c r="Y16" s="189" t="s">
        <v>232</v>
      </c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0</v>
      </c>
      <c r="L18" s="164">
        <v>34</v>
      </c>
      <c r="M18" s="189" t="s">
        <v>232</v>
      </c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-168.5</v>
      </c>
      <c r="H21" s="187">
        <v>84.7</v>
      </c>
      <c r="I21" s="186" t="s">
        <v>81</v>
      </c>
      <c r="J21" s="188">
        <v>-253.2</v>
      </c>
      <c r="K21" s="187">
        <v>-134.5</v>
      </c>
      <c r="L21" s="187">
        <v>118.7</v>
      </c>
      <c r="M21" s="186" t="s">
        <v>81</v>
      </c>
      <c r="N21" s="188">
        <v>-253.2</v>
      </c>
      <c r="O21" s="187">
        <v>-194.6</v>
      </c>
      <c r="P21" s="187">
        <v>58.6</v>
      </c>
      <c r="Q21" s="186" t="s">
        <v>81</v>
      </c>
      <c r="R21" s="188">
        <v>-253.2</v>
      </c>
      <c r="S21" s="187">
        <v>-162.1</v>
      </c>
      <c r="T21" s="187">
        <v>91.1</v>
      </c>
      <c r="U21" s="186" t="s">
        <v>81</v>
      </c>
      <c r="V21" s="188">
        <v>-253.2</v>
      </c>
      <c r="W21" s="187">
        <v>-162.1</v>
      </c>
      <c r="X21" s="187">
        <v>91.1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46090</v>
      </c>
      <c r="G23" s="433"/>
      <c r="H23" s="433"/>
      <c r="I23" s="434"/>
      <c r="J23" s="432">
        <v>46091</v>
      </c>
      <c r="K23" s="433"/>
      <c r="L23" s="433"/>
      <c r="M23" s="434"/>
      <c r="N23" s="432">
        <v>46092</v>
      </c>
      <c r="O23" s="433"/>
      <c r="P23" s="433"/>
      <c r="Q23" s="434"/>
      <c r="R23" s="432">
        <v>46093</v>
      </c>
      <c r="S23" s="433"/>
      <c r="T23" s="433"/>
      <c r="U23" s="434"/>
      <c r="V23" s="432">
        <v>46094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-3.2</v>
      </c>
      <c r="H25" s="207">
        <v>1.7999999999999998</v>
      </c>
      <c r="I25" s="206" t="s">
        <v>233</v>
      </c>
      <c r="J25" s="209">
        <v>-5</v>
      </c>
      <c r="K25" s="208">
        <v>-3.2</v>
      </c>
      <c r="L25" s="207">
        <v>1.7999999999999998</v>
      </c>
      <c r="M25" s="206" t="s">
        <v>233</v>
      </c>
      <c r="N25" s="209">
        <v>-5</v>
      </c>
      <c r="O25" s="208">
        <v>-3.2</v>
      </c>
      <c r="P25" s="207">
        <v>1.7999999999999998</v>
      </c>
      <c r="Q25" s="206" t="s">
        <v>233</v>
      </c>
      <c r="R25" s="209">
        <v>-5</v>
      </c>
      <c r="S25" s="208">
        <v>-3.2</v>
      </c>
      <c r="T25" s="207">
        <v>1.7999999999999998</v>
      </c>
      <c r="U25" s="206" t="s">
        <v>233</v>
      </c>
      <c r="V25" s="209">
        <v>-5</v>
      </c>
      <c r="W25" s="208">
        <v>-3.2</v>
      </c>
      <c r="X25" s="207">
        <v>1.7999999999999998</v>
      </c>
      <c r="Y25" s="206" t="s">
        <v>233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46090</v>
      </c>
      <c r="G27" s="433"/>
      <c r="H27" s="433"/>
      <c r="I27" s="434"/>
      <c r="J27" s="432">
        <v>46091</v>
      </c>
      <c r="K27" s="433"/>
      <c r="L27" s="433"/>
      <c r="M27" s="434"/>
      <c r="N27" s="432">
        <v>46092</v>
      </c>
      <c r="O27" s="433"/>
      <c r="P27" s="433"/>
      <c r="Q27" s="434"/>
      <c r="R27" s="432">
        <v>46093</v>
      </c>
      <c r="S27" s="433"/>
      <c r="T27" s="433"/>
      <c r="U27" s="434"/>
      <c r="V27" s="432">
        <v>46094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56.1</v>
      </c>
      <c r="P31" s="457">
        <v>1.7000000000000028</v>
      </c>
      <c r="Q31" s="459" t="s">
        <v>234</v>
      </c>
      <c r="R31" s="200">
        <v>54.4</v>
      </c>
      <c r="S31" s="455">
        <v>54.4</v>
      </c>
      <c r="T31" s="457">
        <v>0</v>
      </c>
      <c r="U31" s="459"/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21</v>
      </c>
      <c r="G33" s="199">
        <v>28</v>
      </c>
      <c r="H33" s="457">
        <v>7</v>
      </c>
      <c r="I33" s="459" t="s">
        <v>236</v>
      </c>
      <c r="J33" s="200">
        <v>21</v>
      </c>
      <c r="K33" s="199">
        <v>30.2</v>
      </c>
      <c r="L33" s="457">
        <v>9.1999999999999993</v>
      </c>
      <c r="M33" s="459" t="s">
        <v>236</v>
      </c>
      <c r="N33" s="200">
        <v>21</v>
      </c>
      <c r="O33" s="199">
        <v>29.5</v>
      </c>
      <c r="P33" s="457">
        <v>8.5</v>
      </c>
      <c r="Q33" s="459" t="s">
        <v>236</v>
      </c>
      <c r="R33" s="200">
        <v>21</v>
      </c>
      <c r="S33" s="199">
        <v>29.5</v>
      </c>
      <c r="T33" s="457">
        <v>8.5</v>
      </c>
      <c r="U33" s="459" t="s">
        <v>236</v>
      </c>
      <c r="V33" s="200">
        <v>21</v>
      </c>
      <c r="W33" s="199">
        <v>28.7</v>
      </c>
      <c r="X33" s="457">
        <v>7.6999999999999993</v>
      </c>
      <c r="Y33" s="459" t="s">
        <v>236</v>
      </c>
    </row>
    <row r="34" spans="3:25" ht="16">
      <c r="C34" s="528"/>
      <c r="D34" s="467"/>
      <c r="E34" s="463" t="s">
        <v>104</v>
      </c>
      <c r="F34" s="198">
        <v>0.12</v>
      </c>
      <c r="G34" s="197">
        <v>0.16</v>
      </c>
      <c r="H34" s="458"/>
      <c r="I34" s="460"/>
      <c r="J34" s="198">
        <v>0.12</v>
      </c>
      <c r="K34" s="197">
        <v>0.17</v>
      </c>
      <c r="L34" s="458"/>
      <c r="M34" s="460"/>
      <c r="N34" s="198">
        <v>0.12</v>
      </c>
      <c r="O34" s="197">
        <v>0.17</v>
      </c>
      <c r="P34" s="458"/>
      <c r="Q34" s="460"/>
      <c r="R34" s="198">
        <v>0.12</v>
      </c>
      <c r="S34" s="197">
        <v>0.17</v>
      </c>
      <c r="T34" s="458"/>
      <c r="U34" s="460"/>
      <c r="V34" s="198">
        <v>0.12</v>
      </c>
      <c r="W34" s="197">
        <v>0.16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0.5</v>
      </c>
      <c r="H37" s="164">
        <f>G37-F37</f>
        <v>-9.5</v>
      </c>
      <c r="I37" s="189" t="s">
        <v>237</v>
      </c>
      <c r="J37" s="166">
        <v>10</v>
      </c>
      <c r="K37" s="323">
        <v>0.50000000000000144</v>
      </c>
      <c r="L37" s="164">
        <f>K37-J37</f>
        <v>-9.4999999999999982</v>
      </c>
      <c r="M37" s="189" t="s">
        <v>237</v>
      </c>
      <c r="N37" s="166">
        <v>10</v>
      </c>
      <c r="O37" s="165">
        <v>0.4</v>
      </c>
      <c r="P37" s="164">
        <f>O37-N37</f>
        <v>-9.6</v>
      </c>
      <c r="Q37" s="189" t="s">
        <v>237</v>
      </c>
      <c r="R37" s="166">
        <v>10</v>
      </c>
      <c r="S37" s="165">
        <v>0.6</v>
      </c>
      <c r="T37" s="164">
        <f>S37-R37</f>
        <v>-9.4</v>
      </c>
      <c r="U37" s="189" t="s">
        <v>237</v>
      </c>
      <c r="V37" s="166">
        <v>10</v>
      </c>
      <c r="W37" s="165">
        <v>0.6</v>
      </c>
      <c r="X37" s="164">
        <f>W37-V37</f>
        <v>-9.4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85.4</v>
      </c>
      <c r="G38" s="187">
        <v>82.9</v>
      </c>
      <c r="H38" s="187">
        <f>H31+H33+H37</f>
        <v>-2.5</v>
      </c>
      <c r="I38" s="186"/>
      <c r="J38" s="188">
        <v>85.4</v>
      </c>
      <c r="K38" s="187">
        <v>85.1</v>
      </c>
      <c r="L38" s="187">
        <f>L31+L33+L37</f>
        <v>-0.29999999999999893</v>
      </c>
      <c r="M38" s="186"/>
      <c r="N38" s="188">
        <v>85.4</v>
      </c>
      <c r="O38" s="187">
        <v>86</v>
      </c>
      <c r="P38" s="187">
        <f>P31+P33+P37</f>
        <v>0.6000000000000032</v>
      </c>
      <c r="Q38" s="186"/>
      <c r="R38" s="188">
        <v>85.4</v>
      </c>
      <c r="S38" s="187">
        <v>84.5</v>
      </c>
      <c r="T38" s="187">
        <f>T31+T33+T37</f>
        <v>-0.90000000000000036</v>
      </c>
      <c r="U38" s="186"/>
      <c r="V38" s="188">
        <v>85.4</v>
      </c>
      <c r="W38" s="187">
        <v>83.7</v>
      </c>
      <c r="X38" s="187">
        <f>X31+X33+X37</f>
        <v>-1.7000000000000011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46090</v>
      </c>
      <c r="G40" s="470"/>
      <c r="H40" s="470"/>
      <c r="I40" s="471"/>
      <c r="J40" s="469">
        <v>46091</v>
      </c>
      <c r="K40" s="470"/>
      <c r="L40" s="470"/>
      <c r="M40" s="471"/>
      <c r="N40" s="469">
        <v>46092</v>
      </c>
      <c r="O40" s="470"/>
      <c r="P40" s="470"/>
      <c r="Q40" s="471"/>
      <c r="R40" s="432">
        <v>46093</v>
      </c>
      <c r="S40" s="433"/>
      <c r="T40" s="433"/>
      <c r="U40" s="434"/>
      <c r="V40" s="432">
        <v>46094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217.5</v>
      </c>
      <c r="G43" s="479"/>
      <c r="H43" s="480"/>
      <c r="I43" s="481"/>
      <c r="J43" s="183">
        <v>217.5</v>
      </c>
      <c r="K43" s="479"/>
      <c r="L43" s="480"/>
      <c r="M43" s="481"/>
      <c r="N43" s="183">
        <v>219.2</v>
      </c>
      <c r="O43" s="479"/>
      <c r="P43" s="480"/>
      <c r="Q43" s="481"/>
      <c r="R43" s="183">
        <v>217.5</v>
      </c>
      <c r="S43" s="479"/>
      <c r="T43" s="480"/>
      <c r="U43" s="481"/>
      <c r="V43" s="183">
        <v>217.5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46090</v>
      </c>
      <c r="G45" s="470"/>
      <c r="H45" s="470"/>
      <c r="I45" s="471"/>
      <c r="J45" s="469">
        <v>46091</v>
      </c>
      <c r="K45" s="470"/>
      <c r="L45" s="470"/>
      <c r="M45" s="471"/>
      <c r="N45" s="469">
        <v>46092</v>
      </c>
      <c r="O45" s="470"/>
      <c r="P45" s="470"/>
      <c r="Q45" s="471"/>
      <c r="R45" s="432">
        <v>46093</v>
      </c>
      <c r="S45" s="433"/>
      <c r="T45" s="433"/>
      <c r="U45" s="434"/>
      <c r="V45" s="432">
        <v>46094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39.1</v>
      </c>
      <c r="G47" s="478">
        <v>44.4</v>
      </c>
      <c r="H47" s="457">
        <v>5.2999999999999972</v>
      </c>
      <c r="I47" s="459" t="s">
        <v>232</v>
      </c>
      <c r="J47" s="178">
        <v>39.1</v>
      </c>
      <c r="K47" s="541">
        <v>42.2</v>
      </c>
      <c r="L47" s="457">
        <f>K47-J47</f>
        <v>3.1000000000000014</v>
      </c>
      <c r="M47" s="459" t="s">
        <v>245</v>
      </c>
      <c r="N47" s="178">
        <v>44.3</v>
      </c>
      <c r="O47" s="478">
        <v>55.1</v>
      </c>
      <c r="P47" s="457">
        <v>10.800000000000004</v>
      </c>
      <c r="Q47" s="459" t="s">
        <v>232</v>
      </c>
      <c r="R47" s="178">
        <v>44.3</v>
      </c>
      <c r="S47" s="478">
        <v>53.6</v>
      </c>
      <c r="T47" s="457">
        <v>9.3000000000000043</v>
      </c>
      <c r="U47" s="459" t="s">
        <v>232</v>
      </c>
      <c r="V47" s="178">
        <v>44.3</v>
      </c>
      <c r="W47" s="478">
        <v>53.3</v>
      </c>
      <c r="X47" s="457">
        <v>9</v>
      </c>
      <c r="Y47" s="459" t="s">
        <v>232</v>
      </c>
    </row>
    <row r="48" spans="3:25" ht="16.5" thickBot="1">
      <c r="C48" s="533"/>
      <c r="D48" s="487"/>
      <c r="E48" s="489"/>
      <c r="F48" s="177">
        <v>0.57999999999999996</v>
      </c>
      <c r="G48" s="479"/>
      <c r="H48" s="480"/>
      <c r="I48" s="481"/>
      <c r="J48" s="177">
        <v>0.57999999999999996</v>
      </c>
      <c r="K48" s="542"/>
      <c r="L48" s="480"/>
      <c r="M48" s="481"/>
      <c r="N48" s="177">
        <v>0.56999999999999995</v>
      </c>
      <c r="O48" s="479"/>
      <c r="P48" s="480"/>
      <c r="Q48" s="481"/>
      <c r="R48" s="177">
        <v>0.56999999999999995</v>
      </c>
      <c r="S48" s="479"/>
      <c r="T48" s="509"/>
      <c r="U48" s="481"/>
      <c r="V48" s="177">
        <v>0.56999999999999995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46090</v>
      </c>
      <c r="G50" s="470"/>
      <c r="H50" s="470"/>
      <c r="I50" s="471"/>
      <c r="J50" s="469">
        <v>46091</v>
      </c>
      <c r="K50" s="470"/>
      <c r="L50" s="470"/>
      <c r="M50" s="471"/>
      <c r="N50" s="469">
        <v>46092</v>
      </c>
      <c r="O50" s="470"/>
      <c r="P50" s="470"/>
      <c r="Q50" s="471"/>
      <c r="R50" s="432">
        <v>46093</v>
      </c>
      <c r="S50" s="433"/>
      <c r="T50" s="433"/>
      <c r="U50" s="434"/>
      <c r="V50" s="432">
        <v>46094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>G52-F52</f>
        <v>0</v>
      </c>
      <c r="I52" s="163"/>
      <c r="J52" s="166">
        <v>0</v>
      </c>
      <c r="K52" s="165">
        <v>0</v>
      </c>
      <c r="L52" s="346">
        <v>0</v>
      </c>
      <c r="M52" s="359"/>
      <c r="N52" s="345">
        <v>0</v>
      </c>
      <c r="O52" s="323">
        <v>0</v>
      </c>
      <c r="P52" s="346">
        <v>0</v>
      </c>
      <c r="Q52" s="359"/>
      <c r="R52" s="345">
        <v>0</v>
      </c>
      <c r="S52" s="323">
        <v>0.1</v>
      </c>
      <c r="T52" s="346">
        <f>S52-R52</f>
        <v>0.1</v>
      </c>
      <c r="U52" s="359" t="s">
        <v>231</v>
      </c>
      <c r="V52" s="345">
        <v>0</v>
      </c>
      <c r="W52" s="323">
        <v>0.1</v>
      </c>
      <c r="X52" s="346">
        <f>W52-V52</f>
        <v>0.1</v>
      </c>
      <c r="Y52" s="163" t="s">
        <v>231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30.6</v>
      </c>
      <c r="H53" s="159" t="s">
        <v>81</v>
      </c>
      <c r="I53" s="362" t="s">
        <v>230</v>
      </c>
      <c r="J53" s="161">
        <v>0</v>
      </c>
      <c r="K53" s="160">
        <v>30.5</v>
      </c>
      <c r="L53" s="361" t="s">
        <v>81</v>
      </c>
      <c r="M53" s="362" t="s">
        <v>230</v>
      </c>
      <c r="N53" s="360">
        <v>0</v>
      </c>
      <c r="O53" s="358">
        <v>30.3</v>
      </c>
      <c r="P53" s="361" t="s">
        <v>81</v>
      </c>
      <c r="Q53" s="362" t="s">
        <v>230</v>
      </c>
      <c r="R53" s="360">
        <v>0</v>
      </c>
      <c r="S53" s="358">
        <v>30.5</v>
      </c>
      <c r="T53" s="361" t="s">
        <v>81</v>
      </c>
      <c r="U53" s="362" t="s">
        <v>230</v>
      </c>
      <c r="V53" s="360">
        <v>0</v>
      </c>
      <c r="W53" s="358">
        <v>31.7</v>
      </c>
      <c r="X53" s="361" t="s">
        <v>81</v>
      </c>
      <c r="Y53" s="362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&amp;"メイリオ,ボールド"&amp;22日別の優先給電ルールに基づく抑制、調整状況（2026年3月）</oddHeader>
    <oddFooter>&amp;R&amp;"メイリオ,レギュラー"&amp;14九州電力送配電株式会社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BB898-DD81-4EEE-AFAA-6C2C7EE18443}">
  <dimension ref="A1:AB66"/>
  <sheetViews>
    <sheetView showGridLines="0" view="pageBreakPreview" topLeftCell="A22" zoomScale="70" zoomScaleNormal="55" zoomScaleSheetLayoutView="70" zoomScalePageLayoutView="55" workbookViewId="0">
      <selection activeCell="A58" sqref="A58:XFD67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8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8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8" ht="16.5" thickBot="1">
      <c r="C3" s="514" t="s">
        <v>142</v>
      </c>
      <c r="D3" s="430"/>
      <c r="E3" s="431"/>
      <c r="F3" s="515">
        <v>46095</v>
      </c>
      <c r="G3" s="516"/>
      <c r="H3" s="516"/>
      <c r="I3" s="517"/>
      <c r="J3" s="515">
        <v>46096</v>
      </c>
      <c r="K3" s="516"/>
      <c r="L3" s="516"/>
      <c r="M3" s="517"/>
      <c r="N3" s="515">
        <v>46097</v>
      </c>
      <c r="O3" s="516"/>
      <c r="P3" s="516"/>
      <c r="Q3" s="517"/>
      <c r="R3" s="515">
        <v>46098</v>
      </c>
      <c r="S3" s="516"/>
      <c r="T3" s="516"/>
      <c r="U3" s="517"/>
      <c r="V3" s="515">
        <v>46100</v>
      </c>
      <c r="W3" s="516"/>
      <c r="X3" s="516"/>
      <c r="Y3" s="517"/>
    </row>
    <row r="4" spans="3:28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8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8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8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  <c r="AB7" s="1">
        <v>14.3</v>
      </c>
    </row>
    <row r="8" spans="3:28" ht="16">
      <c r="C8" s="520"/>
      <c r="D8" s="426"/>
      <c r="E8" s="218" t="s">
        <v>133</v>
      </c>
      <c r="F8" s="166">
        <v>49.899999999999991</v>
      </c>
      <c r="G8" s="216">
        <v>49.900000000000006</v>
      </c>
      <c r="H8" s="164">
        <v>0</v>
      </c>
      <c r="I8" s="214"/>
      <c r="J8" s="166">
        <v>48.3</v>
      </c>
      <c r="K8" s="216">
        <v>48.300000000000004</v>
      </c>
      <c r="L8" s="164">
        <v>0</v>
      </c>
      <c r="M8" s="214"/>
      <c r="N8" s="166">
        <v>51.3</v>
      </c>
      <c r="O8" s="216">
        <v>51.300000000000004</v>
      </c>
      <c r="P8" s="164">
        <v>0</v>
      </c>
      <c r="Q8" s="214"/>
      <c r="R8" s="166">
        <v>51.3</v>
      </c>
      <c r="S8" s="216">
        <v>51.300000000000004</v>
      </c>
      <c r="T8" s="164">
        <v>0</v>
      </c>
      <c r="U8" s="214"/>
      <c r="V8" s="166">
        <v>51.5</v>
      </c>
      <c r="W8" s="216">
        <v>51.5</v>
      </c>
      <c r="X8" s="164">
        <v>0</v>
      </c>
      <c r="Y8" s="214"/>
    </row>
    <row r="9" spans="3:28" ht="16.5" thickBot="1">
      <c r="C9" s="521"/>
      <c r="D9" s="427" t="s">
        <v>101</v>
      </c>
      <c r="E9" s="428"/>
      <c r="F9" s="188">
        <f t="shared" ref="F9:G9" si="0">SUM(F5:F8)</f>
        <v>100.1</v>
      </c>
      <c r="G9" s="188">
        <f t="shared" si="0"/>
        <v>100.10000000000001</v>
      </c>
      <c r="H9" s="188">
        <f>SUM(H5:H8)</f>
        <v>0</v>
      </c>
      <c r="I9" s="213" t="s">
        <v>81</v>
      </c>
      <c r="J9" s="188">
        <f t="shared" ref="J9:L9" si="1">SUM(J5:J8)</f>
        <v>98.5</v>
      </c>
      <c r="K9" s="188">
        <f t="shared" si="1"/>
        <v>98.5</v>
      </c>
      <c r="L9" s="188">
        <f t="shared" si="1"/>
        <v>0</v>
      </c>
      <c r="M9" s="213" t="s">
        <v>81</v>
      </c>
      <c r="N9" s="188">
        <f t="shared" ref="N9:P9" si="2">SUM(N5:N8)</f>
        <v>101.5</v>
      </c>
      <c r="O9" s="188">
        <f t="shared" si="2"/>
        <v>101.5</v>
      </c>
      <c r="P9" s="188">
        <f t="shared" si="2"/>
        <v>0</v>
      </c>
      <c r="Q9" s="213" t="s">
        <v>81</v>
      </c>
      <c r="R9" s="188">
        <f t="shared" ref="R9:T9" si="3">SUM(R5:R8)</f>
        <v>101.5</v>
      </c>
      <c r="S9" s="188">
        <f t="shared" si="3"/>
        <v>101.5</v>
      </c>
      <c r="T9" s="188">
        <f t="shared" si="3"/>
        <v>0</v>
      </c>
      <c r="U9" s="213" t="s">
        <v>81</v>
      </c>
      <c r="V9" s="188">
        <f t="shared" ref="V9:X9" si="4">SUM(V5:V8)</f>
        <v>101.7</v>
      </c>
      <c r="W9" s="188">
        <f t="shared" si="4"/>
        <v>101.7</v>
      </c>
      <c r="X9" s="188">
        <f t="shared" si="4"/>
        <v>0</v>
      </c>
      <c r="Y9" s="213" t="s">
        <v>81</v>
      </c>
    </row>
    <row r="10" spans="3:28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8" ht="16.5" thickBot="1">
      <c r="C11" s="514" t="s">
        <v>132</v>
      </c>
      <c r="D11" s="430"/>
      <c r="E11" s="431"/>
      <c r="F11" s="432">
        <v>46095</v>
      </c>
      <c r="G11" s="433"/>
      <c r="H11" s="433"/>
      <c r="I11" s="434"/>
      <c r="J11" s="432">
        <v>46096</v>
      </c>
      <c r="K11" s="433"/>
      <c r="L11" s="433"/>
      <c r="M11" s="434"/>
      <c r="N11" s="432">
        <v>46097</v>
      </c>
      <c r="O11" s="433"/>
      <c r="P11" s="433"/>
      <c r="Q11" s="434"/>
      <c r="R11" s="432">
        <v>46098</v>
      </c>
      <c r="S11" s="433"/>
      <c r="T11" s="433"/>
      <c r="U11" s="434"/>
      <c r="V11" s="432">
        <v>46100</v>
      </c>
      <c r="W11" s="433"/>
      <c r="X11" s="433"/>
      <c r="Y11" s="434"/>
    </row>
    <row r="12" spans="3:28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8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>G13-F13</f>
        <v>0</v>
      </c>
      <c r="I13" s="189"/>
      <c r="J13" s="166">
        <v>-26.1</v>
      </c>
      <c r="K13" s="165">
        <v>-26.1</v>
      </c>
      <c r="L13" s="164">
        <f>K13-J13</f>
        <v>0</v>
      </c>
      <c r="M13" s="189"/>
      <c r="N13" s="166">
        <v>-26.1</v>
      </c>
      <c r="O13" s="165">
        <v>-26.1</v>
      </c>
      <c r="P13" s="164">
        <f>O13-N13</f>
        <v>0</v>
      </c>
      <c r="Q13" s="189"/>
      <c r="R13" s="166">
        <v>-26.1</v>
      </c>
      <c r="S13" s="165">
        <v>-26.1</v>
      </c>
      <c r="T13" s="164">
        <f>S13-R13</f>
        <v>0</v>
      </c>
      <c r="U13" s="189"/>
      <c r="V13" s="166">
        <v>-26.1</v>
      </c>
      <c r="W13" s="165">
        <v>-26.1</v>
      </c>
      <c r="X13" s="164">
        <f>W13-V13</f>
        <v>0</v>
      </c>
      <c r="Y13" s="189"/>
    </row>
    <row r="14" spans="3:28" ht="16">
      <c r="C14" s="523"/>
      <c r="D14" s="442"/>
      <c r="E14" s="211" t="s">
        <v>124</v>
      </c>
      <c r="F14" s="166">
        <v>-26.1</v>
      </c>
      <c r="G14" s="165">
        <v>0</v>
      </c>
      <c r="H14" s="164">
        <f>G14-F14</f>
        <v>26.1</v>
      </c>
      <c r="I14" s="189" t="s">
        <v>232</v>
      </c>
      <c r="J14" s="166">
        <v>-26.1</v>
      </c>
      <c r="K14" s="165">
        <v>0</v>
      </c>
      <c r="L14" s="164">
        <f>K14-J14</f>
        <v>26.1</v>
      </c>
      <c r="M14" s="189" t="s">
        <v>232</v>
      </c>
      <c r="N14" s="166">
        <v>-26.1</v>
      </c>
      <c r="O14" s="165">
        <v>0</v>
      </c>
      <c r="P14" s="164">
        <f>O14-N14</f>
        <v>26.1</v>
      </c>
      <c r="Q14" s="189" t="s">
        <v>232</v>
      </c>
      <c r="R14" s="166">
        <v>-26.1</v>
      </c>
      <c r="S14" s="165">
        <v>0</v>
      </c>
      <c r="T14" s="164">
        <f>S14-R14</f>
        <v>26.1</v>
      </c>
      <c r="U14" s="189" t="s">
        <v>232</v>
      </c>
      <c r="V14" s="166">
        <v>-26.1</v>
      </c>
      <c r="W14" s="165">
        <v>0</v>
      </c>
      <c r="X14" s="164">
        <f>W14-V14</f>
        <v>26.1</v>
      </c>
      <c r="Y14" s="189" t="s">
        <v>232</v>
      </c>
    </row>
    <row r="15" spans="3:28" ht="16">
      <c r="C15" s="523"/>
      <c r="D15" s="425" t="s">
        <v>127</v>
      </c>
      <c r="E15" s="211" t="s">
        <v>125</v>
      </c>
      <c r="F15" s="166">
        <v>-32.5</v>
      </c>
      <c r="G15" s="165">
        <v>0</v>
      </c>
      <c r="H15" s="164">
        <v>32.5</v>
      </c>
      <c r="I15" s="189" t="s">
        <v>232</v>
      </c>
      <c r="J15" s="166">
        <v>-32.5</v>
      </c>
      <c r="K15" s="165">
        <v>0</v>
      </c>
      <c r="L15" s="164">
        <v>32.5</v>
      </c>
      <c r="M15" s="189" t="s">
        <v>232</v>
      </c>
      <c r="N15" s="166">
        <v>-32.5</v>
      </c>
      <c r="O15" s="165">
        <v>0</v>
      </c>
      <c r="P15" s="164">
        <v>32.5</v>
      </c>
      <c r="Q15" s="189" t="s">
        <v>232</v>
      </c>
      <c r="R15" s="166">
        <v>-32.5</v>
      </c>
      <c r="S15" s="165">
        <v>0</v>
      </c>
      <c r="T15" s="164">
        <v>32.5</v>
      </c>
      <c r="U15" s="189" t="s">
        <v>232</v>
      </c>
      <c r="V15" s="166">
        <v>-32.5</v>
      </c>
      <c r="W15" s="165">
        <v>0</v>
      </c>
      <c r="X15" s="164">
        <v>32.5</v>
      </c>
      <c r="Y15" s="189" t="s">
        <v>232</v>
      </c>
    </row>
    <row r="16" spans="3:28" ht="16">
      <c r="C16" s="523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232</v>
      </c>
      <c r="J16" s="166">
        <v>-32.5</v>
      </c>
      <c r="K16" s="165">
        <v>0</v>
      </c>
      <c r="L16" s="164">
        <v>32.5</v>
      </c>
      <c r="M16" s="189" t="s">
        <v>232</v>
      </c>
      <c r="N16" s="166">
        <v>-32.5</v>
      </c>
      <c r="O16" s="165">
        <v>0</v>
      </c>
      <c r="P16" s="164">
        <v>32.5</v>
      </c>
      <c r="Q16" s="189" t="s">
        <v>232</v>
      </c>
      <c r="R16" s="166">
        <v>-32.5</v>
      </c>
      <c r="S16" s="165">
        <v>0</v>
      </c>
      <c r="T16" s="164">
        <v>32.5</v>
      </c>
      <c r="U16" s="189" t="s">
        <v>232</v>
      </c>
      <c r="V16" s="166">
        <v>-32.5</v>
      </c>
      <c r="W16" s="165">
        <v>0</v>
      </c>
      <c r="X16" s="164">
        <v>32.5</v>
      </c>
      <c r="Y16" s="189" t="s">
        <v>232</v>
      </c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-162.1</v>
      </c>
      <c r="H21" s="187">
        <v>91.1</v>
      </c>
      <c r="I21" s="186" t="s">
        <v>81</v>
      </c>
      <c r="J21" s="188">
        <v>-253.2</v>
      </c>
      <c r="K21" s="187">
        <v>-162.1</v>
      </c>
      <c r="L21" s="187">
        <v>91.1</v>
      </c>
      <c r="M21" s="186" t="s">
        <v>81</v>
      </c>
      <c r="N21" s="188">
        <v>-253.2</v>
      </c>
      <c r="O21" s="187">
        <v>-162.1</v>
      </c>
      <c r="P21" s="187">
        <v>91.1</v>
      </c>
      <c r="Q21" s="186" t="s">
        <v>81</v>
      </c>
      <c r="R21" s="188">
        <v>-253.2</v>
      </c>
      <c r="S21" s="187">
        <v>-162.1</v>
      </c>
      <c r="T21" s="187">
        <v>91.1</v>
      </c>
      <c r="U21" s="186" t="s">
        <v>81</v>
      </c>
      <c r="V21" s="188">
        <v>-253.2</v>
      </c>
      <c r="W21" s="187">
        <v>-162.1</v>
      </c>
      <c r="X21" s="187">
        <v>91.1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46095</v>
      </c>
      <c r="G23" s="433"/>
      <c r="H23" s="433"/>
      <c r="I23" s="434"/>
      <c r="J23" s="432">
        <v>46096</v>
      </c>
      <c r="K23" s="433"/>
      <c r="L23" s="433"/>
      <c r="M23" s="434"/>
      <c r="N23" s="432">
        <v>46097</v>
      </c>
      <c r="O23" s="433"/>
      <c r="P23" s="433"/>
      <c r="Q23" s="434"/>
      <c r="R23" s="432">
        <v>46098</v>
      </c>
      <c r="S23" s="433"/>
      <c r="T23" s="433"/>
      <c r="U23" s="434"/>
      <c r="V23" s="432">
        <v>46100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-3.1</v>
      </c>
      <c r="H25" s="207">
        <v>1.9</v>
      </c>
      <c r="I25" s="206" t="s">
        <v>233</v>
      </c>
      <c r="J25" s="209">
        <v>-5</v>
      </c>
      <c r="K25" s="208">
        <v>-3.1</v>
      </c>
      <c r="L25" s="207">
        <v>1.9</v>
      </c>
      <c r="M25" s="206" t="s">
        <v>233</v>
      </c>
      <c r="N25" s="209">
        <v>-5</v>
      </c>
      <c r="O25" s="208">
        <v>-3.1</v>
      </c>
      <c r="P25" s="207">
        <v>1.9</v>
      </c>
      <c r="Q25" s="206" t="s">
        <v>233</v>
      </c>
      <c r="R25" s="209">
        <v>-5</v>
      </c>
      <c r="S25" s="208">
        <v>-3.1</v>
      </c>
      <c r="T25" s="207">
        <v>1.9</v>
      </c>
      <c r="U25" s="206" t="s">
        <v>233</v>
      </c>
      <c r="V25" s="209">
        <v>-5</v>
      </c>
      <c r="W25" s="208">
        <v>-3.1</v>
      </c>
      <c r="X25" s="207">
        <v>1.9</v>
      </c>
      <c r="Y25" s="206" t="s">
        <v>233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46095</v>
      </c>
      <c r="G27" s="433"/>
      <c r="H27" s="433"/>
      <c r="I27" s="434"/>
      <c r="J27" s="432">
        <v>46096</v>
      </c>
      <c r="K27" s="433"/>
      <c r="L27" s="433"/>
      <c r="M27" s="434"/>
      <c r="N27" s="432">
        <v>46097</v>
      </c>
      <c r="O27" s="433"/>
      <c r="P27" s="433"/>
      <c r="Q27" s="434"/>
      <c r="R27" s="432">
        <v>46098</v>
      </c>
      <c r="S27" s="433"/>
      <c r="T27" s="433"/>
      <c r="U27" s="434"/>
      <c r="V27" s="432">
        <v>46100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56.1</v>
      </c>
      <c r="T31" s="457">
        <v>1.7000000000000028</v>
      </c>
      <c r="U31" s="459" t="s">
        <v>234</v>
      </c>
      <c r="V31" s="200">
        <v>54.4</v>
      </c>
      <c r="W31" s="455">
        <v>56.1</v>
      </c>
      <c r="X31" s="457">
        <v>1.7000000000000028</v>
      </c>
      <c r="Y31" s="459" t="s">
        <v>234</v>
      </c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21</v>
      </c>
      <c r="G33" s="199">
        <v>30.3</v>
      </c>
      <c r="H33" s="457">
        <v>9.3000000000000007</v>
      </c>
      <c r="I33" s="459" t="s">
        <v>236</v>
      </c>
      <c r="J33" s="200">
        <v>21</v>
      </c>
      <c r="K33" s="199">
        <v>29.5</v>
      </c>
      <c r="L33" s="457">
        <v>8.5</v>
      </c>
      <c r="M33" s="459" t="s">
        <v>236</v>
      </c>
      <c r="N33" s="200">
        <v>21</v>
      </c>
      <c r="O33" s="199">
        <v>28.7</v>
      </c>
      <c r="P33" s="457">
        <v>7.6999999999999993</v>
      </c>
      <c r="Q33" s="459" t="s">
        <v>236</v>
      </c>
      <c r="R33" s="200">
        <v>21</v>
      </c>
      <c r="S33" s="199">
        <v>28.7</v>
      </c>
      <c r="T33" s="457">
        <v>7.6999999999999993</v>
      </c>
      <c r="U33" s="459" t="s">
        <v>236</v>
      </c>
      <c r="V33" s="200">
        <v>21</v>
      </c>
      <c r="W33" s="199">
        <v>29.9</v>
      </c>
      <c r="X33" s="457">
        <v>8.8999999999999986</v>
      </c>
      <c r="Y33" s="459" t="s">
        <v>236</v>
      </c>
    </row>
    <row r="34" spans="3:25" ht="16">
      <c r="C34" s="528"/>
      <c r="D34" s="467"/>
      <c r="E34" s="463" t="s">
        <v>104</v>
      </c>
      <c r="F34" s="198">
        <v>0.12</v>
      </c>
      <c r="G34" s="197">
        <v>0.17</v>
      </c>
      <c r="H34" s="458"/>
      <c r="I34" s="460"/>
      <c r="J34" s="198">
        <v>0.12</v>
      </c>
      <c r="K34" s="197">
        <v>0.17</v>
      </c>
      <c r="L34" s="458"/>
      <c r="M34" s="460"/>
      <c r="N34" s="198">
        <v>0.12</v>
      </c>
      <c r="O34" s="197">
        <v>0.16</v>
      </c>
      <c r="P34" s="458"/>
      <c r="Q34" s="460"/>
      <c r="R34" s="198">
        <v>0.12</v>
      </c>
      <c r="S34" s="197">
        <v>0.16</v>
      </c>
      <c r="T34" s="458"/>
      <c r="U34" s="460"/>
      <c r="V34" s="198">
        <v>0.12</v>
      </c>
      <c r="W34" s="197">
        <v>0.17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0.6</v>
      </c>
      <c r="H37" s="164">
        <f>G37-F37</f>
        <v>-9.4</v>
      </c>
      <c r="I37" s="189" t="s">
        <v>237</v>
      </c>
      <c r="J37" s="166">
        <v>10</v>
      </c>
      <c r="K37" s="165">
        <v>0.4</v>
      </c>
      <c r="L37" s="164">
        <f>K37-J37</f>
        <v>-9.6</v>
      </c>
      <c r="M37" s="189" t="s">
        <v>237</v>
      </c>
      <c r="N37" s="166">
        <v>10</v>
      </c>
      <c r="O37" s="165">
        <v>0.3</v>
      </c>
      <c r="P37" s="164">
        <f>O37-N37</f>
        <v>-9.6999999999999993</v>
      </c>
      <c r="Q37" s="189" t="s">
        <v>237</v>
      </c>
      <c r="R37" s="166">
        <v>10</v>
      </c>
      <c r="S37" s="165">
        <v>0.3</v>
      </c>
      <c r="T37" s="164">
        <f>S37-R37</f>
        <v>-9.6999999999999993</v>
      </c>
      <c r="U37" s="189" t="s">
        <v>237</v>
      </c>
      <c r="V37" s="166">
        <v>10</v>
      </c>
      <c r="W37" s="165">
        <v>0.3</v>
      </c>
      <c r="X37" s="164">
        <f>W37-V37</f>
        <v>-9.6999999999999993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85.4</v>
      </c>
      <c r="G38" s="187">
        <v>85.3</v>
      </c>
      <c r="H38" s="187">
        <f>H31+H33+H37</f>
        <v>-9.9999999999999645E-2</v>
      </c>
      <c r="I38" s="186"/>
      <c r="J38" s="188">
        <v>85.4</v>
      </c>
      <c r="K38" s="187">
        <v>84.300000000000011</v>
      </c>
      <c r="L38" s="187">
        <f>L31+L33+L37</f>
        <v>-1.0999999999999996</v>
      </c>
      <c r="M38" s="186"/>
      <c r="N38" s="188">
        <v>85.4</v>
      </c>
      <c r="O38" s="187">
        <v>83.4</v>
      </c>
      <c r="P38" s="187">
        <f>P31+P33+P37</f>
        <v>-2</v>
      </c>
      <c r="Q38" s="186"/>
      <c r="R38" s="188">
        <v>85.4</v>
      </c>
      <c r="S38" s="187">
        <v>85.1</v>
      </c>
      <c r="T38" s="187">
        <f>T31+T33+T37</f>
        <v>-0.29999999999999716</v>
      </c>
      <c r="U38" s="186"/>
      <c r="V38" s="188">
        <v>85.4</v>
      </c>
      <c r="W38" s="187">
        <v>86.3</v>
      </c>
      <c r="X38" s="187">
        <f>X31+X33+X37</f>
        <v>0.90000000000000213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46095</v>
      </c>
      <c r="G40" s="470"/>
      <c r="H40" s="470"/>
      <c r="I40" s="471"/>
      <c r="J40" s="469">
        <v>46096</v>
      </c>
      <c r="K40" s="470"/>
      <c r="L40" s="470"/>
      <c r="M40" s="471"/>
      <c r="N40" s="469">
        <v>46097</v>
      </c>
      <c r="O40" s="470"/>
      <c r="P40" s="470"/>
      <c r="Q40" s="471"/>
      <c r="R40" s="432">
        <v>46098</v>
      </c>
      <c r="S40" s="433"/>
      <c r="T40" s="433"/>
      <c r="U40" s="434"/>
      <c r="V40" s="432">
        <v>46100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18.8</v>
      </c>
      <c r="G42" s="478">
        <v>0</v>
      </c>
      <c r="H42" s="457">
        <v>-18.8</v>
      </c>
      <c r="I42" s="459" t="s">
        <v>234</v>
      </c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206</v>
      </c>
      <c r="G43" s="479"/>
      <c r="H43" s="480"/>
      <c r="I43" s="481"/>
      <c r="J43" s="183">
        <v>206</v>
      </c>
      <c r="K43" s="479"/>
      <c r="L43" s="480"/>
      <c r="M43" s="481"/>
      <c r="N43" s="183">
        <v>215.5</v>
      </c>
      <c r="O43" s="479"/>
      <c r="P43" s="480"/>
      <c r="Q43" s="481"/>
      <c r="R43" s="183">
        <v>217.2</v>
      </c>
      <c r="S43" s="479"/>
      <c r="T43" s="480"/>
      <c r="U43" s="481"/>
      <c r="V43" s="183">
        <v>217.2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46095</v>
      </c>
      <c r="G45" s="470"/>
      <c r="H45" s="470"/>
      <c r="I45" s="471"/>
      <c r="J45" s="469">
        <v>46096</v>
      </c>
      <c r="K45" s="470"/>
      <c r="L45" s="470"/>
      <c r="M45" s="471"/>
      <c r="N45" s="469">
        <v>46097</v>
      </c>
      <c r="O45" s="470"/>
      <c r="P45" s="470"/>
      <c r="Q45" s="471"/>
      <c r="R45" s="432">
        <v>46098</v>
      </c>
      <c r="S45" s="433"/>
      <c r="T45" s="433"/>
      <c r="U45" s="434"/>
      <c r="V45" s="432">
        <v>46100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44.3</v>
      </c>
      <c r="G47" s="478">
        <v>51.1</v>
      </c>
      <c r="H47" s="457">
        <v>6.8000000000000043</v>
      </c>
      <c r="I47" s="459" t="s">
        <v>232</v>
      </c>
      <c r="J47" s="178">
        <v>44.3</v>
      </c>
      <c r="K47" s="478">
        <v>53.1</v>
      </c>
      <c r="L47" s="457">
        <v>8.8000000000000043</v>
      </c>
      <c r="M47" s="459" t="s">
        <v>232</v>
      </c>
      <c r="N47" s="178">
        <v>44.3</v>
      </c>
      <c r="O47" s="478">
        <v>57.1</v>
      </c>
      <c r="P47" s="457">
        <v>12.800000000000004</v>
      </c>
      <c r="Q47" s="459" t="s">
        <v>232</v>
      </c>
      <c r="R47" s="178">
        <v>44.3</v>
      </c>
      <c r="S47" s="478">
        <v>54.2</v>
      </c>
      <c r="T47" s="457">
        <v>9.9000000000000057</v>
      </c>
      <c r="U47" s="459" t="s">
        <v>232</v>
      </c>
      <c r="V47" s="178">
        <v>44.3</v>
      </c>
      <c r="W47" s="478">
        <v>44.6</v>
      </c>
      <c r="X47" s="457">
        <v>0.30000000000000426</v>
      </c>
      <c r="Y47" s="459" t="s">
        <v>245</v>
      </c>
    </row>
    <row r="48" spans="3:25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0.56999999999999995</v>
      </c>
      <c r="K48" s="479"/>
      <c r="L48" s="480"/>
      <c r="M48" s="481"/>
      <c r="N48" s="177">
        <v>0.56999999999999995</v>
      </c>
      <c r="O48" s="479"/>
      <c r="P48" s="480"/>
      <c r="Q48" s="481"/>
      <c r="R48" s="177">
        <v>0.56999999999999995</v>
      </c>
      <c r="S48" s="479"/>
      <c r="T48" s="509"/>
      <c r="U48" s="481"/>
      <c r="V48" s="177">
        <v>0.56999999999999995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46095</v>
      </c>
      <c r="G50" s="470"/>
      <c r="H50" s="470"/>
      <c r="I50" s="471"/>
      <c r="J50" s="469">
        <v>46096</v>
      </c>
      <c r="K50" s="470"/>
      <c r="L50" s="470"/>
      <c r="M50" s="471"/>
      <c r="N50" s="469">
        <v>46097</v>
      </c>
      <c r="O50" s="470"/>
      <c r="P50" s="470"/>
      <c r="Q50" s="471"/>
      <c r="R50" s="432">
        <v>46098</v>
      </c>
      <c r="S50" s="433"/>
      <c r="T50" s="433"/>
      <c r="U50" s="434"/>
      <c r="V50" s="432">
        <v>46100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323">
        <v>0.1</v>
      </c>
      <c r="H52" s="346">
        <f>G52-F52</f>
        <v>0.1</v>
      </c>
      <c r="I52" s="359" t="s">
        <v>231</v>
      </c>
      <c r="J52" s="345">
        <v>0</v>
      </c>
      <c r="K52" s="323">
        <v>0.1</v>
      </c>
      <c r="L52" s="346">
        <f>K52-J52</f>
        <v>0.1</v>
      </c>
      <c r="M52" s="359" t="s">
        <v>231</v>
      </c>
      <c r="N52" s="345">
        <v>0</v>
      </c>
      <c r="O52" s="323">
        <v>0.1</v>
      </c>
      <c r="P52" s="346">
        <f>O52-N52</f>
        <v>0.1</v>
      </c>
      <c r="Q52" s="359" t="s">
        <v>231</v>
      </c>
      <c r="R52" s="345">
        <v>0</v>
      </c>
      <c r="S52" s="323">
        <v>0.1</v>
      </c>
      <c r="T52" s="346">
        <f>S52-R52</f>
        <v>0.1</v>
      </c>
      <c r="U52" s="359" t="s">
        <v>231</v>
      </c>
      <c r="V52" s="345">
        <v>0</v>
      </c>
      <c r="W52" s="323">
        <v>0.1</v>
      </c>
      <c r="X52" s="164">
        <f>W52-V52</f>
        <v>0.1</v>
      </c>
      <c r="Y52" s="163" t="s">
        <v>231</v>
      </c>
    </row>
    <row r="53" spans="1:25" ht="16.5" thickBot="1">
      <c r="C53" s="533"/>
      <c r="D53" s="487"/>
      <c r="E53" s="162" t="s">
        <v>82</v>
      </c>
      <c r="F53" s="161">
        <v>0</v>
      </c>
      <c r="G53" s="358">
        <v>31.8</v>
      </c>
      <c r="H53" s="361" t="s">
        <v>81</v>
      </c>
      <c r="I53" s="362" t="s">
        <v>230</v>
      </c>
      <c r="J53" s="360">
        <v>0</v>
      </c>
      <c r="K53" s="358">
        <v>31.8</v>
      </c>
      <c r="L53" s="361" t="s">
        <v>81</v>
      </c>
      <c r="M53" s="362" t="s">
        <v>230</v>
      </c>
      <c r="N53" s="360">
        <v>0</v>
      </c>
      <c r="O53" s="358">
        <v>29.6</v>
      </c>
      <c r="P53" s="361" t="s">
        <v>81</v>
      </c>
      <c r="Q53" s="362" t="s">
        <v>230</v>
      </c>
      <c r="R53" s="360">
        <v>0</v>
      </c>
      <c r="S53" s="358">
        <v>29.5</v>
      </c>
      <c r="T53" s="361" t="s">
        <v>81</v>
      </c>
      <c r="U53" s="362" t="s">
        <v>230</v>
      </c>
      <c r="V53" s="360">
        <v>0</v>
      </c>
      <c r="W53" s="358">
        <v>29.8</v>
      </c>
      <c r="X53" s="159" t="s">
        <v>81</v>
      </c>
      <c r="Y53" s="362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&amp;"メイリオ,ボールド"&amp;22日別の優先給電ルールに基づく抑制、調整状況（2026年3月）</oddHeader>
    <oddFooter>&amp;R&amp;"メイリオ,レギュラー"&amp;14九州電力送配電株式会社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58BD-1DC8-4F07-8759-7E8BCB1CCC87}">
  <dimension ref="B1:O64"/>
  <sheetViews>
    <sheetView showGridLines="0" view="pageBreakPreview" zoomScale="55" zoomScaleNormal="70" zoomScaleSheetLayoutView="55" zoomScalePageLayoutView="85" workbookViewId="0">
      <selection activeCell="A56" sqref="A56:XFD60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 t="s">
        <v>57</v>
      </c>
      <c r="K1" s="32"/>
      <c r="O1" s="32"/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</row>
    <row r="3" spans="2:15" ht="16.5" thickBot="1">
      <c r="B3" s="3"/>
      <c r="C3" s="372" t="s">
        <v>3</v>
      </c>
      <c r="D3" s="373"/>
      <c r="E3" s="374"/>
      <c r="F3" s="25">
        <v>45776</v>
      </c>
      <c r="G3" s="26" t="s">
        <v>187</v>
      </c>
      <c r="H3" s="25">
        <v>45777</v>
      </c>
      <c r="I3" s="26" t="s">
        <v>186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74.099999999999994</v>
      </c>
      <c r="G5" s="384" t="s">
        <v>45</v>
      </c>
      <c r="H5" s="9">
        <v>74.900000000000006</v>
      </c>
      <c r="I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18.8</v>
      </c>
      <c r="G6" s="385"/>
      <c r="H6" s="10">
        <v>19.7</v>
      </c>
      <c r="I6" s="385"/>
    </row>
    <row r="7" spans="2:15" ht="16">
      <c r="B7" s="376"/>
      <c r="C7" s="379"/>
      <c r="D7" s="35" t="s">
        <v>13</v>
      </c>
      <c r="E7" s="36" t="s">
        <v>5</v>
      </c>
      <c r="F7" s="28">
        <v>298.3</v>
      </c>
      <c r="G7" s="385"/>
      <c r="H7" s="28">
        <v>298.2</v>
      </c>
      <c r="I7" s="385"/>
    </row>
    <row r="8" spans="2:15" ht="16">
      <c r="B8" s="376"/>
      <c r="C8" s="379"/>
      <c r="D8" s="37" t="s">
        <v>14</v>
      </c>
      <c r="E8" s="38" t="s">
        <v>6</v>
      </c>
      <c r="F8" s="29">
        <v>27.400000000000034</v>
      </c>
      <c r="G8" s="385"/>
      <c r="H8" s="29">
        <v>27.500000000000206</v>
      </c>
      <c r="I8" s="385"/>
    </row>
    <row r="9" spans="2:15" ht="16">
      <c r="B9" s="376"/>
      <c r="C9" s="379"/>
      <c r="D9" s="39" t="s">
        <v>15</v>
      </c>
      <c r="E9" s="40" t="s">
        <v>7</v>
      </c>
      <c r="F9" s="30">
        <v>16.7</v>
      </c>
      <c r="G9" s="385"/>
      <c r="H9" s="30">
        <v>16.7</v>
      </c>
      <c r="I9" s="385"/>
    </row>
    <row r="10" spans="2:15" ht="16">
      <c r="B10" s="376"/>
      <c r="C10" s="379"/>
      <c r="D10" s="41" t="s">
        <v>17</v>
      </c>
      <c r="E10" s="42" t="s">
        <v>1</v>
      </c>
      <c r="F10" s="11">
        <v>38.700000000000003</v>
      </c>
      <c r="G10" s="385"/>
      <c r="H10" s="11">
        <v>41.3</v>
      </c>
      <c r="I10" s="385"/>
    </row>
    <row r="11" spans="2:15" ht="16">
      <c r="B11" s="376"/>
      <c r="C11" s="379"/>
      <c r="D11" s="43" t="s">
        <v>16</v>
      </c>
      <c r="E11" s="44" t="s">
        <v>2</v>
      </c>
      <c r="F11" s="12">
        <v>28.8</v>
      </c>
      <c r="G11" s="385"/>
      <c r="H11" s="12">
        <v>29.3</v>
      </c>
      <c r="I11" s="385"/>
    </row>
    <row r="12" spans="2:15" ht="16">
      <c r="B12" s="376"/>
      <c r="C12" s="379"/>
      <c r="D12" s="387" t="s">
        <v>18</v>
      </c>
      <c r="E12" s="45" t="s">
        <v>26</v>
      </c>
      <c r="F12" s="13">
        <v>1053.2</v>
      </c>
      <c r="G12" s="385"/>
      <c r="H12" s="13">
        <v>919.4</v>
      </c>
      <c r="I12" s="385"/>
    </row>
    <row r="13" spans="2:15" ht="16">
      <c r="B13" s="376"/>
      <c r="C13" s="379"/>
      <c r="D13" s="388"/>
      <c r="E13" s="45" t="s">
        <v>27</v>
      </c>
      <c r="F13" s="13">
        <v>9.1999999999999993</v>
      </c>
      <c r="G13" s="385"/>
      <c r="H13" s="13">
        <v>9.5</v>
      </c>
      <c r="I13" s="385"/>
    </row>
    <row r="14" spans="2:15" ht="16">
      <c r="B14" s="376"/>
      <c r="C14" s="379"/>
      <c r="D14" s="46" t="s">
        <v>19</v>
      </c>
      <c r="E14" s="47" t="s">
        <v>4</v>
      </c>
      <c r="F14" s="14">
        <v>19</v>
      </c>
      <c r="G14" s="385"/>
      <c r="H14" s="14">
        <v>32</v>
      </c>
      <c r="I14" s="385"/>
    </row>
    <row r="15" spans="2:15" ht="16.5" thickBot="1">
      <c r="B15" s="376"/>
      <c r="C15" s="380"/>
      <c r="D15" s="389" t="s">
        <v>28</v>
      </c>
      <c r="E15" s="390"/>
      <c r="F15" s="15">
        <v>1584.2</v>
      </c>
      <c r="G15" s="385"/>
      <c r="H15" s="15">
        <v>1468.5000000000002</v>
      </c>
      <c r="I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785</v>
      </c>
      <c r="G16" s="385"/>
      <c r="H16" s="8">
        <v>825.4</v>
      </c>
      <c r="I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-135.9</v>
      </c>
      <c r="G19" s="385"/>
      <c r="H19" s="18">
        <v>-135.9</v>
      </c>
      <c r="I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</row>
    <row r="21" spans="2:15" ht="16.5" thickBot="1">
      <c r="B21" s="377"/>
      <c r="C21" s="393"/>
      <c r="D21" s="398" t="s">
        <v>34</v>
      </c>
      <c r="E21" s="399"/>
      <c r="F21" s="27">
        <v>1152.5</v>
      </c>
      <c r="G21" s="386"/>
      <c r="H21" s="27">
        <v>1192.9000000000001</v>
      </c>
      <c r="I21" s="386"/>
    </row>
    <row r="22" spans="2:15" ht="16.5" thickBot="1">
      <c r="B22" s="54"/>
      <c r="C22" s="55"/>
      <c r="D22" s="55"/>
      <c r="E22" s="55"/>
      <c r="F22" s="6" t="s">
        <v>69</v>
      </c>
      <c r="G22" s="7" t="s">
        <v>44</v>
      </c>
      <c r="H22" s="6" t="s">
        <v>69</v>
      </c>
      <c r="I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1584.2</v>
      </c>
      <c r="G23" s="400"/>
      <c r="H23" s="20">
        <v>1468.5000000000002</v>
      </c>
      <c r="I23" s="400"/>
    </row>
    <row r="24" spans="2:15" ht="16">
      <c r="B24" s="409"/>
      <c r="C24" s="403" t="s">
        <v>37</v>
      </c>
      <c r="D24" s="404"/>
      <c r="E24" s="405"/>
      <c r="F24" s="21">
        <v>1152.5</v>
      </c>
      <c r="G24" s="401"/>
      <c r="H24" s="21">
        <v>1192.9000000000001</v>
      </c>
      <c r="I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431.70000000000005</v>
      </c>
      <c r="G25" s="402"/>
      <c r="H25" s="67">
        <v>275.60000000000014</v>
      </c>
      <c r="I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 ht="14.25" customHeight="1"/>
    <row r="59" spans="2:15" ht="14.25" customHeight="1"/>
    <row r="64" spans="2:15" ht="14.25" customHeight="1"/>
  </sheetData>
  <mergeCells count="20">
    <mergeCell ref="C16:C21"/>
    <mergeCell ref="D17:D18"/>
    <mergeCell ref="D19:D20"/>
    <mergeCell ref="D21:E21"/>
    <mergeCell ref="B23:B25"/>
    <mergeCell ref="C23:E23"/>
    <mergeCell ref="C2:E2"/>
    <mergeCell ref="F2:G2"/>
    <mergeCell ref="H2:I2"/>
    <mergeCell ref="C3:E3"/>
    <mergeCell ref="B5:B21"/>
    <mergeCell ref="C5:C15"/>
    <mergeCell ref="G5:G21"/>
    <mergeCell ref="I5:I21"/>
    <mergeCell ref="D12:D13"/>
    <mergeCell ref="D15:E15"/>
    <mergeCell ref="G23:G25"/>
    <mergeCell ref="I23:I25"/>
    <mergeCell ref="C24:E24"/>
    <mergeCell ref="D25:E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日別の需給状況・再エネ出力抑制の必要性（2025年4月）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2231-EBB0-42DB-8948-66518EE42EE5}">
  <dimension ref="A1:AB66"/>
  <sheetViews>
    <sheetView showGridLines="0" view="pageBreakPreview" topLeftCell="A22" zoomScale="70" zoomScaleNormal="55" zoomScaleSheetLayoutView="70" zoomScalePageLayoutView="55" workbookViewId="0">
      <selection activeCell="A58" sqref="A58:XFD6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8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8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/>
      <c r="Y2" s="220" t="s">
        <v>143</v>
      </c>
    </row>
    <row r="3" spans="3:28" ht="16.5" thickBot="1">
      <c r="C3" s="514" t="s">
        <v>142</v>
      </c>
      <c r="D3" s="430"/>
      <c r="E3" s="431"/>
      <c r="F3" s="515">
        <v>46101</v>
      </c>
      <c r="G3" s="516"/>
      <c r="H3" s="516"/>
      <c r="I3" s="517"/>
      <c r="J3" s="515">
        <v>46102</v>
      </c>
      <c r="K3" s="516"/>
      <c r="L3" s="516"/>
      <c r="M3" s="517"/>
      <c r="N3" s="515">
        <v>46104</v>
      </c>
      <c r="O3" s="516"/>
      <c r="P3" s="516"/>
      <c r="Q3" s="517"/>
      <c r="R3" s="515">
        <v>46105</v>
      </c>
      <c r="S3" s="516"/>
      <c r="T3" s="516"/>
      <c r="U3" s="517"/>
      <c r="V3" s="515">
        <v>46107</v>
      </c>
      <c r="W3" s="516"/>
      <c r="X3" s="516"/>
      <c r="Y3" s="517"/>
    </row>
    <row r="4" spans="3:28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8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8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  <c r="V6" s="166">
        <v>17.5</v>
      </c>
      <c r="W6" s="165">
        <v>17.5</v>
      </c>
      <c r="X6" s="164">
        <v>0</v>
      </c>
      <c r="Y6" s="219"/>
    </row>
    <row r="7" spans="3:28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  <c r="AB7" s="1">
        <v>14.3</v>
      </c>
    </row>
    <row r="8" spans="3:28" ht="16">
      <c r="C8" s="520"/>
      <c r="D8" s="426"/>
      <c r="E8" s="218" t="s">
        <v>133</v>
      </c>
      <c r="F8" s="166">
        <v>48.899999999999991</v>
      </c>
      <c r="G8" s="216">
        <v>48.900000000000006</v>
      </c>
      <c r="H8" s="164">
        <v>0</v>
      </c>
      <c r="I8" s="214"/>
      <c r="J8" s="166">
        <v>48.5</v>
      </c>
      <c r="K8" s="216">
        <v>48.5</v>
      </c>
      <c r="L8" s="164">
        <v>0</v>
      </c>
      <c r="M8" s="214"/>
      <c r="N8" s="166">
        <v>50.7</v>
      </c>
      <c r="O8" s="216">
        <v>50.7</v>
      </c>
      <c r="P8" s="164">
        <v>0</v>
      </c>
      <c r="Q8" s="214"/>
      <c r="R8" s="166">
        <v>51.3</v>
      </c>
      <c r="S8" s="216">
        <v>51.300000000000004</v>
      </c>
      <c r="T8" s="164">
        <v>0</v>
      </c>
      <c r="U8" s="214"/>
      <c r="V8" s="166">
        <v>50.7</v>
      </c>
      <c r="W8" s="216">
        <v>50.7</v>
      </c>
      <c r="X8" s="164">
        <v>0</v>
      </c>
      <c r="Y8" s="214"/>
    </row>
    <row r="9" spans="3:28" ht="16.5" thickBot="1">
      <c r="C9" s="521"/>
      <c r="D9" s="427" t="s">
        <v>101</v>
      </c>
      <c r="E9" s="428"/>
      <c r="F9" s="188">
        <f>SUM(F5:F8)</f>
        <v>99.1</v>
      </c>
      <c r="G9" s="188">
        <f>SUM(G5:G8)</f>
        <v>99.100000000000009</v>
      </c>
      <c r="H9" s="188">
        <f>SUM(H5:H8)</f>
        <v>0</v>
      </c>
      <c r="I9" s="213" t="s">
        <v>81</v>
      </c>
      <c r="J9" s="188">
        <f>SUM(J5:J8)</f>
        <v>78.400000000000006</v>
      </c>
      <c r="K9" s="188">
        <f>SUM(K5:K8)</f>
        <v>78.400000000000006</v>
      </c>
      <c r="L9" s="188">
        <f>SUM(L5:L8)</f>
        <v>0</v>
      </c>
      <c r="M9" s="213" t="s">
        <v>81</v>
      </c>
      <c r="N9" s="188">
        <f>SUM(N5:N8)</f>
        <v>100.9</v>
      </c>
      <c r="O9" s="188">
        <f>SUM(O5:O8)</f>
        <v>100.9</v>
      </c>
      <c r="P9" s="188">
        <f>SUM(P5:P8)</f>
        <v>0</v>
      </c>
      <c r="Q9" s="213" t="s">
        <v>81</v>
      </c>
      <c r="R9" s="188">
        <f>SUM(R5:R8)</f>
        <v>101.5</v>
      </c>
      <c r="S9" s="188">
        <f>SUM(S5:S8)</f>
        <v>101.5</v>
      </c>
      <c r="T9" s="188">
        <f>SUM(T5:T8)</f>
        <v>0</v>
      </c>
      <c r="U9" s="213" t="s">
        <v>81</v>
      </c>
      <c r="V9" s="188">
        <f>SUM(V5:V8)</f>
        <v>100.9</v>
      </c>
      <c r="W9" s="188">
        <f>SUM(W5:W8)</f>
        <v>100.9</v>
      </c>
      <c r="X9" s="188">
        <f>SUM(X5:X8)</f>
        <v>0</v>
      </c>
      <c r="Y9" s="213" t="s">
        <v>81</v>
      </c>
    </row>
    <row r="10" spans="3:28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8" ht="16.5" thickBot="1">
      <c r="C11" s="514" t="s">
        <v>132</v>
      </c>
      <c r="D11" s="430"/>
      <c r="E11" s="431"/>
      <c r="F11" s="432">
        <v>46101</v>
      </c>
      <c r="G11" s="433"/>
      <c r="H11" s="433"/>
      <c r="I11" s="434"/>
      <c r="J11" s="432">
        <v>46102</v>
      </c>
      <c r="K11" s="433"/>
      <c r="L11" s="433"/>
      <c r="M11" s="434"/>
      <c r="N11" s="432">
        <v>46104</v>
      </c>
      <c r="O11" s="433"/>
      <c r="P11" s="433"/>
      <c r="Q11" s="434"/>
      <c r="R11" s="432">
        <v>46105</v>
      </c>
      <c r="S11" s="433"/>
      <c r="T11" s="433"/>
      <c r="U11" s="434"/>
      <c r="V11" s="432">
        <v>46107</v>
      </c>
      <c r="W11" s="433"/>
      <c r="X11" s="433"/>
      <c r="Y11" s="434"/>
    </row>
    <row r="12" spans="3:28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8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>G13-F13</f>
        <v>0</v>
      </c>
      <c r="I13" s="189"/>
      <c r="J13" s="166">
        <v>-26.1</v>
      </c>
      <c r="K13" s="165">
        <v>-26.1</v>
      </c>
      <c r="L13" s="164">
        <f>K13-J13</f>
        <v>0</v>
      </c>
      <c r="M13" s="189"/>
      <c r="N13" s="166">
        <v>-26.1</v>
      </c>
      <c r="O13" s="165">
        <v>-26.1</v>
      </c>
      <c r="P13" s="164">
        <f>O13-N13</f>
        <v>0</v>
      </c>
      <c r="Q13" s="189"/>
      <c r="R13" s="166">
        <v>-26.1</v>
      </c>
      <c r="S13" s="165">
        <v>-26.1</v>
      </c>
      <c r="T13" s="164">
        <f>S13-R13</f>
        <v>0</v>
      </c>
      <c r="U13" s="189"/>
      <c r="V13" s="166">
        <v>-26.1</v>
      </c>
      <c r="W13" s="165">
        <v>-26.1</v>
      </c>
      <c r="X13" s="164">
        <f>W13-V13</f>
        <v>0</v>
      </c>
      <c r="Y13" s="189"/>
    </row>
    <row r="14" spans="3:28" ht="16">
      <c r="C14" s="523"/>
      <c r="D14" s="442"/>
      <c r="E14" s="211" t="s">
        <v>124</v>
      </c>
      <c r="F14" s="166">
        <v>-26.1</v>
      </c>
      <c r="G14" s="165">
        <v>0</v>
      </c>
      <c r="H14" s="164">
        <f>G14-F14</f>
        <v>26.1</v>
      </c>
      <c r="I14" s="189" t="s">
        <v>232</v>
      </c>
      <c r="J14" s="166">
        <v>-26.1</v>
      </c>
      <c r="K14" s="165">
        <v>0</v>
      </c>
      <c r="L14" s="164">
        <f>K14-J14</f>
        <v>26.1</v>
      </c>
      <c r="M14" s="189" t="s">
        <v>232</v>
      </c>
      <c r="N14" s="166">
        <v>-26.1</v>
      </c>
      <c r="O14" s="165">
        <v>0</v>
      </c>
      <c r="P14" s="164">
        <f>O14-N14</f>
        <v>26.1</v>
      </c>
      <c r="Q14" s="189" t="s">
        <v>232</v>
      </c>
      <c r="R14" s="166">
        <v>-26.1</v>
      </c>
      <c r="S14" s="165">
        <v>0</v>
      </c>
      <c r="T14" s="164">
        <f>S14-R14</f>
        <v>26.1</v>
      </c>
      <c r="U14" s="189" t="s">
        <v>232</v>
      </c>
      <c r="V14" s="166">
        <v>-26.1</v>
      </c>
      <c r="W14" s="165">
        <v>0</v>
      </c>
      <c r="X14" s="164">
        <f>W14-V14</f>
        <v>26.1</v>
      </c>
      <c r="Y14" s="189" t="s">
        <v>232</v>
      </c>
    </row>
    <row r="15" spans="3:28" ht="16">
      <c r="C15" s="523"/>
      <c r="D15" s="425" t="s">
        <v>127</v>
      </c>
      <c r="E15" s="211" t="s">
        <v>125</v>
      </c>
      <c r="F15" s="166">
        <v>-32.5</v>
      </c>
      <c r="G15" s="165">
        <v>0</v>
      </c>
      <c r="H15" s="164">
        <v>32.5</v>
      </c>
      <c r="I15" s="189" t="s">
        <v>232</v>
      </c>
      <c r="J15" s="166">
        <v>-32.5</v>
      </c>
      <c r="K15" s="165">
        <v>0</v>
      </c>
      <c r="L15" s="164">
        <v>32.5</v>
      </c>
      <c r="M15" s="189" t="s">
        <v>232</v>
      </c>
      <c r="N15" s="166">
        <v>-32.5</v>
      </c>
      <c r="O15" s="165">
        <v>0</v>
      </c>
      <c r="P15" s="164">
        <v>32.5</v>
      </c>
      <c r="Q15" s="189" t="s">
        <v>232</v>
      </c>
      <c r="R15" s="166">
        <v>-32.5</v>
      </c>
      <c r="S15" s="165">
        <v>0</v>
      </c>
      <c r="T15" s="164">
        <v>32.5</v>
      </c>
      <c r="U15" s="189" t="s">
        <v>232</v>
      </c>
      <c r="V15" s="166">
        <v>-32.5</v>
      </c>
      <c r="W15" s="165">
        <v>0</v>
      </c>
      <c r="X15" s="164">
        <v>32.5</v>
      </c>
      <c r="Y15" s="189" t="s">
        <v>232</v>
      </c>
    </row>
    <row r="16" spans="3:28" ht="16">
      <c r="C16" s="523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232</v>
      </c>
      <c r="J16" s="166">
        <v>-32.5</v>
      </c>
      <c r="K16" s="165">
        <v>0</v>
      </c>
      <c r="L16" s="164">
        <v>32.5</v>
      </c>
      <c r="M16" s="189" t="s">
        <v>232</v>
      </c>
      <c r="N16" s="166">
        <v>-32.5</v>
      </c>
      <c r="O16" s="165">
        <v>0</v>
      </c>
      <c r="P16" s="164">
        <v>32.5</v>
      </c>
      <c r="Q16" s="189" t="s">
        <v>232</v>
      </c>
      <c r="R16" s="166">
        <v>-32.5</v>
      </c>
      <c r="S16" s="165">
        <v>0</v>
      </c>
      <c r="T16" s="164">
        <v>32.5</v>
      </c>
      <c r="U16" s="189" t="s">
        <v>232</v>
      </c>
      <c r="V16" s="166">
        <v>-32.5</v>
      </c>
      <c r="W16" s="165">
        <v>0</v>
      </c>
      <c r="X16" s="164">
        <v>32.5</v>
      </c>
      <c r="Y16" s="189" t="s">
        <v>232</v>
      </c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  <c r="V18" s="166">
        <v>-34</v>
      </c>
      <c r="W18" s="165">
        <v>-34</v>
      </c>
      <c r="X18" s="164">
        <v>0</v>
      </c>
      <c r="Y18" s="189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-162.1</v>
      </c>
      <c r="H21" s="187">
        <v>91.1</v>
      </c>
      <c r="I21" s="186" t="s">
        <v>81</v>
      </c>
      <c r="J21" s="188">
        <v>-253.2</v>
      </c>
      <c r="K21" s="187">
        <v>-162.1</v>
      </c>
      <c r="L21" s="187">
        <v>91.1</v>
      </c>
      <c r="M21" s="186" t="s">
        <v>81</v>
      </c>
      <c r="N21" s="188">
        <v>-253.2</v>
      </c>
      <c r="O21" s="187">
        <v>-162.1</v>
      </c>
      <c r="P21" s="187">
        <v>91.1</v>
      </c>
      <c r="Q21" s="186" t="s">
        <v>81</v>
      </c>
      <c r="R21" s="188">
        <v>-253.2</v>
      </c>
      <c r="S21" s="187">
        <v>-162.1</v>
      </c>
      <c r="T21" s="187">
        <v>91.1</v>
      </c>
      <c r="U21" s="186" t="s">
        <v>81</v>
      </c>
      <c r="V21" s="188">
        <v>-253.2</v>
      </c>
      <c r="W21" s="187">
        <v>-162.1</v>
      </c>
      <c r="X21" s="187">
        <v>91.1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46101</v>
      </c>
      <c r="G23" s="433"/>
      <c r="H23" s="433"/>
      <c r="I23" s="434"/>
      <c r="J23" s="432">
        <v>46102</v>
      </c>
      <c r="K23" s="433"/>
      <c r="L23" s="433"/>
      <c r="M23" s="434"/>
      <c r="N23" s="432">
        <v>46104</v>
      </c>
      <c r="O23" s="433"/>
      <c r="P23" s="433"/>
      <c r="Q23" s="434"/>
      <c r="R23" s="432">
        <v>46105</v>
      </c>
      <c r="S23" s="433"/>
      <c r="T23" s="433"/>
      <c r="U23" s="434"/>
      <c r="V23" s="432">
        <v>46107</v>
      </c>
      <c r="W23" s="433"/>
      <c r="X23" s="433"/>
      <c r="Y23" s="434"/>
    </row>
    <row r="24" spans="3:25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-3.1</v>
      </c>
      <c r="H25" s="207">
        <v>1.9</v>
      </c>
      <c r="I25" s="206" t="s">
        <v>233</v>
      </c>
      <c r="J25" s="209">
        <v>-5</v>
      </c>
      <c r="K25" s="208">
        <v>-3.1</v>
      </c>
      <c r="L25" s="207">
        <v>1.9</v>
      </c>
      <c r="M25" s="206" t="s">
        <v>233</v>
      </c>
      <c r="N25" s="209">
        <v>-5</v>
      </c>
      <c r="O25" s="208">
        <v>-3.1</v>
      </c>
      <c r="P25" s="207">
        <v>1.9</v>
      </c>
      <c r="Q25" s="206" t="s">
        <v>233</v>
      </c>
      <c r="R25" s="209">
        <v>-5</v>
      </c>
      <c r="S25" s="208">
        <v>-3.1</v>
      </c>
      <c r="T25" s="207">
        <v>1.9</v>
      </c>
      <c r="U25" s="206" t="s">
        <v>233</v>
      </c>
      <c r="V25" s="209">
        <v>-5</v>
      </c>
      <c r="W25" s="208">
        <v>-2.9</v>
      </c>
      <c r="X25" s="207">
        <v>2.1</v>
      </c>
      <c r="Y25" s="206" t="s">
        <v>233</v>
      </c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46101</v>
      </c>
      <c r="G27" s="433"/>
      <c r="H27" s="433"/>
      <c r="I27" s="434"/>
      <c r="J27" s="432">
        <v>46102</v>
      </c>
      <c r="K27" s="433"/>
      <c r="L27" s="433"/>
      <c r="M27" s="434"/>
      <c r="N27" s="432">
        <v>46104</v>
      </c>
      <c r="O27" s="433"/>
      <c r="P27" s="433"/>
      <c r="Q27" s="434"/>
      <c r="R27" s="432">
        <v>46105</v>
      </c>
      <c r="S27" s="433"/>
      <c r="T27" s="433"/>
      <c r="U27" s="434"/>
      <c r="V27" s="432">
        <v>46107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  <c r="V30" s="202">
        <v>0</v>
      </c>
      <c r="W30" s="456"/>
      <c r="X30" s="458"/>
      <c r="Y30" s="460"/>
    </row>
    <row r="31" spans="3:25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65.900000000000006</v>
      </c>
      <c r="T31" s="457">
        <v>11.500000000000007</v>
      </c>
      <c r="U31" s="459" t="s">
        <v>234</v>
      </c>
      <c r="V31" s="200">
        <v>54.4</v>
      </c>
      <c r="W31" s="455">
        <v>54.4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  <c r="V32" s="202">
        <v>0.28999999999999998</v>
      </c>
      <c r="W32" s="456"/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21</v>
      </c>
      <c r="G33" s="199">
        <v>29.1</v>
      </c>
      <c r="H33" s="457">
        <v>8.1000000000000014</v>
      </c>
      <c r="I33" s="459" t="s">
        <v>236</v>
      </c>
      <c r="J33" s="200">
        <v>21</v>
      </c>
      <c r="K33" s="199">
        <v>28.9</v>
      </c>
      <c r="L33" s="457">
        <v>7.8999999999999986</v>
      </c>
      <c r="M33" s="459" t="s">
        <v>236</v>
      </c>
      <c r="N33" s="200">
        <v>21</v>
      </c>
      <c r="O33" s="199">
        <v>32.299999999999997</v>
      </c>
      <c r="P33" s="457">
        <v>11.299999999999997</v>
      </c>
      <c r="Q33" s="459" t="s">
        <v>236</v>
      </c>
      <c r="R33" s="200">
        <v>21</v>
      </c>
      <c r="S33" s="199">
        <v>36.4</v>
      </c>
      <c r="T33" s="457">
        <v>15.399999999999999</v>
      </c>
      <c r="U33" s="459" t="s">
        <v>236</v>
      </c>
      <c r="V33" s="200">
        <v>42.6</v>
      </c>
      <c r="W33" s="199">
        <v>62.8</v>
      </c>
      <c r="X33" s="457">
        <v>20.199999999999996</v>
      </c>
      <c r="Y33" s="459" t="s">
        <v>236</v>
      </c>
    </row>
    <row r="34" spans="3:25" ht="16">
      <c r="C34" s="528"/>
      <c r="D34" s="467"/>
      <c r="E34" s="463" t="s">
        <v>104</v>
      </c>
      <c r="F34" s="198">
        <v>0.12</v>
      </c>
      <c r="G34" s="197">
        <v>0.16</v>
      </c>
      <c r="H34" s="458"/>
      <c r="I34" s="460"/>
      <c r="J34" s="198">
        <v>0.12</v>
      </c>
      <c r="K34" s="197">
        <v>0.16</v>
      </c>
      <c r="L34" s="458"/>
      <c r="M34" s="460"/>
      <c r="N34" s="198">
        <v>0.12</v>
      </c>
      <c r="O34" s="197">
        <v>0.18</v>
      </c>
      <c r="P34" s="458"/>
      <c r="Q34" s="460"/>
      <c r="R34" s="198">
        <v>0.12</v>
      </c>
      <c r="S34" s="197">
        <v>0.2</v>
      </c>
      <c r="T34" s="458"/>
      <c r="U34" s="460"/>
      <c r="V34" s="198">
        <v>0.24</v>
      </c>
      <c r="W34" s="197">
        <v>0.35</v>
      </c>
      <c r="X34" s="458"/>
      <c r="Y34" s="460"/>
    </row>
    <row r="35" spans="3:25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  <c r="V35" s="196">
        <v>57.8</v>
      </c>
      <c r="W35" s="195"/>
      <c r="X35" s="195"/>
      <c r="Y35" s="194"/>
    </row>
    <row r="36" spans="3:25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  <c r="V36" s="193">
        <v>0.28000000000000003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0.2</v>
      </c>
      <c r="H37" s="164">
        <f>G37-F37</f>
        <v>-9.8000000000000007</v>
      </c>
      <c r="I37" s="189" t="s">
        <v>237</v>
      </c>
      <c r="J37" s="166">
        <v>10</v>
      </c>
      <c r="K37" s="165">
        <v>0.2</v>
      </c>
      <c r="L37" s="164">
        <f>K37-J37</f>
        <v>-9.8000000000000007</v>
      </c>
      <c r="M37" s="189" t="s">
        <v>237</v>
      </c>
      <c r="N37" s="166">
        <v>10</v>
      </c>
      <c r="O37" s="165">
        <v>0.2</v>
      </c>
      <c r="P37" s="164">
        <f>O37-N37</f>
        <v>-9.8000000000000007</v>
      </c>
      <c r="Q37" s="189" t="s">
        <v>237</v>
      </c>
      <c r="R37" s="166">
        <v>10</v>
      </c>
      <c r="S37" s="165">
        <v>0.2</v>
      </c>
      <c r="T37" s="164">
        <f>S37-R37</f>
        <v>-9.8000000000000007</v>
      </c>
      <c r="U37" s="189" t="s">
        <v>237</v>
      </c>
      <c r="V37" s="166">
        <v>10</v>
      </c>
      <c r="W37" s="323">
        <v>0.7</v>
      </c>
      <c r="X37" s="164">
        <f>W37-V37</f>
        <v>-9.3000000000000007</v>
      </c>
      <c r="Y37" s="189" t="s">
        <v>237</v>
      </c>
    </row>
    <row r="38" spans="3:25" ht="16.5" thickBot="1">
      <c r="C38" s="529"/>
      <c r="D38" s="427" t="s">
        <v>101</v>
      </c>
      <c r="E38" s="428"/>
      <c r="F38" s="188">
        <v>85.4</v>
      </c>
      <c r="G38" s="187">
        <v>83.7</v>
      </c>
      <c r="H38" s="187">
        <f>H31+H33+H37</f>
        <v>-1.6999999999999993</v>
      </c>
      <c r="I38" s="186"/>
      <c r="J38" s="188">
        <v>85.4</v>
      </c>
      <c r="K38" s="187">
        <v>83.5</v>
      </c>
      <c r="L38" s="187">
        <f>L31+L33+L37</f>
        <v>-1.9000000000000021</v>
      </c>
      <c r="M38" s="186"/>
      <c r="N38" s="188">
        <v>85.4</v>
      </c>
      <c r="O38" s="187">
        <v>86.899999999999991</v>
      </c>
      <c r="P38" s="187">
        <f>P31+P33+P37</f>
        <v>1.4999999999999964</v>
      </c>
      <c r="Q38" s="186"/>
      <c r="R38" s="188">
        <v>85.4</v>
      </c>
      <c r="S38" s="187">
        <v>102.50000000000001</v>
      </c>
      <c r="T38" s="187">
        <f>T31+T33+T37</f>
        <v>17.100000000000005</v>
      </c>
      <c r="U38" s="186"/>
      <c r="V38" s="188">
        <v>107</v>
      </c>
      <c r="W38" s="187">
        <v>117.9</v>
      </c>
      <c r="X38" s="187">
        <f>X31+X33+X37</f>
        <v>10.899999999999995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46101</v>
      </c>
      <c r="G40" s="470"/>
      <c r="H40" s="470"/>
      <c r="I40" s="471"/>
      <c r="J40" s="469">
        <v>46102</v>
      </c>
      <c r="K40" s="470"/>
      <c r="L40" s="470"/>
      <c r="M40" s="471"/>
      <c r="N40" s="469">
        <v>46104</v>
      </c>
      <c r="O40" s="470"/>
      <c r="P40" s="470"/>
      <c r="Q40" s="471"/>
      <c r="R40" s="432">
        <v>46105</v>
      </c>
      <c r="S40" s="433"/>
      <c r="T40" s="433"/>
      <c r="U40" s="434"/>
      <c r="V40" s="432">
        <v>46107</v>
      </c>
      <c r="W40" s="433"/>
      <c r="X40" s="433"/>
      <c r="Y40" s="434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18.899999999999999</v>
      </c>
      <c r="O42" s="478">
        <v>0</v>
      </c>
      <c r="P42" s="457">
        <v>-18.899999999999999</v>
      </c>
      <c r="Q42" s="459" t="s">
        <v>234</v>
      </c>
      <c r="R42" s="178">
        <v>38.299999999999997</v>
      </c>
      <c r="S42" s="478">
        <v>15.1</v>
      </c>
      <c r="T42" s="457">
        <f>S42-R42</f>
        <v>-23.199999999999996</v>
      </c>
      <c r="U42" s="459" t="s">
        <v>234</v>
      </c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181</v>
      </c>
      <c r="G43" s="479"/>
      <c r="H43" s="480"/>
      <c r="I43" s="481"/>
      <c r="J43" s="183">
        <v>181</v>
      </c>
      <c r="K43" s="479"/>
      <c r="L43" s="480"/>
      <c r="M43" s="481"/>
      <c r="N43" s="183">
        <v>215.5</v>
      </c>
      <c r="O43" s="479"/>
      <c r="P43" s="480"/>
      <c r="Q43" s="481"/>
      <c r="R43" s="183">
        <v>227</v>
      </c>
      <c r="S43" s="479"/>
      <c r="T43" s="480"/>
      <c r="U43" s="481"/>
      <c r="V43" s="183">
        <v>215.5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46101</v>
      </c>
      <c r="G45" s="470"/>
      <c r="H45" s="470"/>
      <c r="I45" s="471"/>
      <c r="J45" s="469">
        <v>46102</v>
      </c>
      <c r="K45" s="470"/>
      <c r="L45" s="470"/>
      <c r="M45" s="471"/>
      <c r="N45" s="469">
        <v>46104</v>
      </c>
      <c r="O45" s="470"/>
      <c r="P45" s="470"/>
      <c r="Q45" s="471"/>
      <c r="R45" s="432">
        <v>46105</v>
      </c>
      <c r="S45" s="433"/>
      <c r="T45" s="433"/>
      <c r="U45" s="434"/>
      <c r="V45" s="432">
        <v>46107</v>
      </c>
      <c r="W45" s="433"/>
      <c r="X45" s="433"/>
      <c r="Y45" s="434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44.3</v>
      </c>
      <c r="G47" s="478">
        <v>42.8</v>
      </c>
      <c r="H47" s="457">
        <v>-1.5</v>
      </c>
      <c r="I47" s="459" t="s">
        <v>232</v>
      </c>
      <c r="J47" s="178">
        <v>44.3</v>
      </c>
      <c r="K47" s="478">
        <v>40.5</v>
      </c>
      <c r="L47" s="457">
        <v>-3.7999999999999972</v>
      </c>
      <c r="M47" s="459" t="s">
        <v>232</v>
      </c>
      <c r="N47" s="178">
        <v>44.3</v>
      </c>
      <c r="O47" s="478">
        <v>41.3</v>
      </c>
      <c r="P47" s="457">
        <v>-3</v>
      </c>
      <c r="Q47" s="459" t="s">
        <v>232</v>
      </c>
      <c r="R47" s="178">
        <v>39.1</v>
      </c>
      <c r="S47" s="478">
        <v>46.4</v>
      </c>
      <c r="T47" s="457">
        <v>7.2999999999999972</v>
      </c>
      <c r="U47" s="459" t="s">
        <v>245</v>
      </c>
      <c r="V47" s="178">
        <v>44.3</v>
      </c>
      <c r="W47" s="553">
        <v>53.5</v>
      </c>
      <c r="X47" s="457">
        <f>W47-V47</f>
        <v>9.2000000000000028</v>
      </c>
      <c r="Y47" s="459" t="s">
        <v>232</v>
      </c>
    </row>
    <row r="48" spans="3:25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0.56999999999999995</v>
      </c>
      <c r="K48" s="479"/>
      <c r="L48" s="480"/>
      <c r="M48" s="481"/>
      <c r="N48" s="177">
        <v>0.56999999999999995</v>
      </c>
      <c r="O48" s="479"/>
      <c r="P48" s="480"/>
      <c r="Q48" s="481"/>
      <c r="R48" s="177">
        <v>0.57999999999999996</v>
      </c>
      <c r="S48" s="479"/>
      <c r="T48" s="509"/>
      <c r="U48" s="481"/>
      <c r="V48" s="177">
        <v>0.56999999999999995</v>
      </c>
      <c r="W48" s="554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46101</v>
      </c>
      <c r="G50" s="470"/>
      <c r="H50" s="470"/>
      <c r="I50" s="471"/>
      <c r="J50" s="469">
        <v>46102</v>
      </c>
      <c r="K50" s="470"/>
      <c r="L50" s="470"/>
      <c r="M50" s="471"/>
      <c r="N50" s="469">
        <v>46104</v>
      </c>
      <c r="O50" s="470"/>
      <c r="P50" s="470"/>
      <c r="Q50" s="471"/>
      <c r="R50" s="432">
        <v>46105</v>
      </c>
      <c r="S50" s="433"/>
      <c r="T50" s="433"/>
      <c r="U50" s="434"/>
      <c r="V50" s="432">
        <v>46107</v>
      </c>
      <c r="W50" s="433"/>
      <c r="X50" s="433"/>
      <c r="Y50" s="434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345">
        <v>0</v>
      </c>
      <c r="G52" s="323">
        <v>0.1</v>
      </c>
      <c r="H52" s="346">
        <f>G52-F52</f>
        <v>0.1</v>
      </c>
      <c r="I52" s="359" t="s">
        <v>231</v>
      </c>
      <c r="J52" s="345">
        <v>0</v>
      </c>
      <c r="K52" s="323">
        <v>0.1</v>
      </c>
      <c r="L52" s="346">
        <f>K52-J52</f>
        <v>0.1</v>
      </c>
      <c r="M52" s="359" t="s">
        <v>231</v>
      </c>
      <c r="N52" s="345">
        <v>0</v>
      </c>
      <c r="O52" s="323">
        <v>0.1</v>
      </c>
      <c r="P52" s="346">
        <f>O52-N52</f>
        <v>0.1</v>
      </c>
      <c r="Q52" s="359" t="s">
        <v>231</v>
      </c>
      <c r="R52" s="345">
        <v>0</v>
      </c>
      <c r="S52" s="323">
        <v>0.1</v>
      </c>
      <c r="T52" s="346">
        <f>S52-R52</f>
        <v>0.1</v>
      </c>
      <c r="U52" s="359" t="s">
        <v>231</v>
      </c>
      <c r="V52" s="345">
        <v>0</v>
      </c>
      <c r="W52" s="323">
        <v>0.1</v>
      </c>
      <c r="X52" s="346">
        <f>W52-V52</f>
        <v>0.1</v>
      </c>
      <c r="Y52" s="163" t="s">
        <v>231</v>
      </c>
    </row>
    <row r="53" spans="1:25" ht="16.5" thickBot="1">
      <c r="C53" s="533"/>
      <c r="D53" s="487"/>
      <c r="E53" s="162" t="s">
        <v>82</v>
      </c>
      <c r="F53" s="360">
        <v>0</v>
      </c>
      <c r="G53" s="358">
        <v>31.2</v>
      </c>
      <c r="H53" s="361" t="s">
        <v>81</v>
      </c>
      <c r="I53" s="362" t="s">
        <v>230</v>
      </c>
      <c r="J53" s="360">
        <v>0</v>
      </c>
      <c r="K53" s="358">
        <v>31.7</v>
      </c>
      <c r="L53" s="361" t="s">
        <v>81</v>
      </c>
      <c r="M53" s="362" t="s">
        <v>230</v>
      </c>
      <c r="N53" s="360">
        <v>0</v>
      </c>
      <c r="O53" s="358">
        <v>30.6</v>
      </c>
      <c r="P53" s="361" t="s">
        <v>81</v>
      </c>
      <c r="Q53" s="362" t="s">
        <v>230</v>
      </c>
      <c r="R53" s="360">
        <v>0</v>
      </c>
      <c r="S53" s="358">
        <v>31.5</v>
      </c>
      <c r="T53" s="361" t="s">
        <v>81</v>
      </c>
      <c r="U53" s="362" t="s">
        <v>230</v>
      </c>
      <c r="V53" s="360">
        <v>0</v>
      </c>
      <c r="W53" s="358">
        <v>31</v>
      </c>
      <c r="X53" s="361" t="s">
        <v>81</v>
      </c>
      <c r="Y53" s="362" t="s">
        <v>230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5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  <c r="V59" s="85"/>
      <c r="W59" s="85"/>
      <c r="X59" s="85"/>
    </row>
    <row r="60" spans="1:25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  <c r="V60" s="86"/>
      <c r="W60" s="86"/>
      <c r="X60" s="86"/>
    </row>
    <row r="62" spans="1:25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  <c r="V62" s="85"/>
      <c r="W62" s="85"/>
      <c r="X62" s="85"/>
    </row>
    <row r="63" spans="1:25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  <c r="V63" s="86"/>
      <c r="W63" s="86"/>
      <c r="X63" s="86"/>
    </row>
    <row r="65" spans="6:24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  <c r="V65" s="85"/>
      <c r="W65" s="85"/>
      <c r="X65" s="85"/>
    </row>
    <row r="66" spans="6:24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  <c r="V66" s="86"/>
      <c r="W66" s="86"/>
      <c r="X66" s="86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&amp;"メイリオ,ボールド"&amp;22日別の優先給電ルールに基づく抑制、調整状況（2026年3月）</oddHeader>
    <oddFooter>&amp;R&amp;"メイリオ,レギュラー"&amp;14九州電力送配電株式会社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F1ED-925B-4CEE-B0A9-A62F4D96CAD4}">
  <dimension ref="A1:X66"/>
  <sheetViews>
    <sheetView showGridLines="0" view="pageBreakPreview" topLeftCell="A24" zoomScale="70" zoomScaleNormal="55" zoomScaleSheetLayoutView="70" zoomScalePageLayoutView="55" workbookViewId="0">
      <selection activeCell="A58" sqref="A58:XFD66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16384" width="9" style="1"/>
  </cols>
  <sheetData>
    <row r="1" spans="3:24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4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</row>
    <row r="3" spans="3:24" ht="16.5" thickBot="1">
      <c r="C3" s="514" t="s">
        <v>142</v>
      </c>
      <c r="D3" s="430"/>
      <c r="E3" s="431"/>
      <c r="F3" s="515">
        <v>46108</v>
      </c>
      <c r="G3" s="516"/>
      <c r="H3" s="516"/>
      <c r="I3" s="517"/>
      <c r="J3" s="515">
        <v>46109</v>
      </c>
      <c r="K3" s="516"/>
      <c r="L3" s="516"/>
      <c r="M3" s="517"/>
      <c r="N3" s="515">
        <v>46110</v>
      </c>
      <c r="O3" s="516"/>
      <c r="P3" s="516"/>
      <c r="Q3" s="517"/>
      <c r="R3" s="515">
        <v>46111</v>
      </c>
      <c r="S3" s="516"/>
      <c r="T3" s="516"/>
      <c r="U3" s="517"/>
    </row>
    <row r="4" spans="3:24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</row>
    <row r="5" spans="3:24" ht="16">
      <c r="C5" s="519"/>
      <c r="D5" s="425" t="s">
        <v>138</v>
      </c>
      <c r="E5" s="211" t="s">
        <v>137</v>
      </c>
      <c r="F5" s="166">
        <v>28.1</v>
      </c>
      <c r="G5" s="165">
        <v>28.1</v>
      </c>
      <c r="H5" s="164">
        <f>F5-G5</f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28.1</v>
      </c>
      <c r="S5" s="165">
        <v>28.1</v>
      </c>
      <c r="T5" s="164">
        <f>R5-S5</f>
        <v>0</v>
      </c>
      <c r="U5" s="219"/>
    </row>
    <row r="6" spans="3:24" ht="16">
      <c r="C6" s="519"/>
      <c r="D6" s="426"/>
      <c r="E6" s="211" t="s">
        <v>136</v>
      </c>
      <c r="F6" s="166">
        <v>17.5</v>
      </c>
      <c r="G6" s="165">
        <v>17.5</v>
      </c>
      <c r="H6" s="164">
        <v>0</v>
      </c>
      <c r="I6" s="219"/>
      <c r="J6" s="166">
        <v>17.5</v>
      </c>
      <c r="K6" s="165">
        <v>17.5</v>
      </c>
      <c r="L6" s="164">
        <v>0</v>
      </c>
      <c r="M6" s="219"/>
      <c r="N6" s="166">
        <v>17.5</v>
      </c>
      <c r="O6" s="165">
        <v>17.5</v>
      </c>
      <c r="P6" s="164">
        <v>0</v>
      </c>
      <c r="Q6" s="219"/>
      <c r="R6" s="166">
        <v>17.5</v>
      </c>
      <c r="S6" s="165">
        <v>17.5</v>
      </c>
      <c r="T6" s="164">
        <v>0</v>
      </c>
      <c r="U6" s="219"/>
    </row>
    <row r="7" spans="3:24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</row>
    <row r="8" spans="3:24" ht="16">
      <c r="C8" s="520"/>
      <c r="D8" s="426"/>
      <c r="E8" s="218" t="s">
        <v>133</v>
      </c>
      <c r="F8" s="166">
        <v>50.5</v>
      </c>
      <c r="G8" s="216">
        <v>50.5</v>
      </c>
      <c r="H8" s="164">
        <v>0</v>
      </c>
      <c r="I8" s="214"/>
      <c r="J8" s="166">
        <v>48.899999999999991</v>
      </c>
      <c r="K8" s="216">
        <v>48.900000000000006</v>
      </c>
      <c r="L8" s="164">
        <v>0</v>
      </c>
      <c r="M8" s="214"/>
      <c r="N8" s="166">
        <v>47.7</v>
      </c>
      <c r="O8" s="216">
        <v>47.7</v>
      </c>
      <c r="P8" s="164">
        <v>0</v>
      </c>
      <c r="Q8" s="214"/>
      <c r="R8" s="166">
        <v>50.899999999999991</v>
      </c>
      <c r="S8" s="216">
        <v>50.900000000000006</v>
      </c>
      <c r="T8" s="164">
        <v>0</v>
      </c>
      <c r="U8" s="214"/>
    </row>
    <row r="9" spans="3:24" ht="16.5" thickBot="1">
      <c r="C9" s="521"/>
      <c r="D9" s="427" t="s">
        <v>101</v>
      </c>
      <c r="E9" s="428"/>
      <c r="F9" s="188">
        <f>SUM(F5:F8)</f>
        <v>96.1</v>
      </c>
      <c r="G9" s="188">
        <f>SUM(G5:G8)</f>
        <v>96.1</v>
      </c>
      <c r="H9" s="188">
        <f>SUM(H5:H8)</f>
        <v>0</v>
      </c>
      <c r="I9" s="213" t="s">
        <v>81</v>
      </c>
      <c r="J9" s="188">
        <f>SUM(J5:J8)</f>
        <v>78.799999999999983</v>
      </c>
      <c r="K9" s="188">
        <f>SUM(K5:K8)</f>
        <v>78.800000000000011</v>
      </c>
      <c r="L9" s="188">
        <f>SUM(L5:L8)</f>
        <v>0</v>
      </c>
      <c r="M9" s="213" t="s">
        <v>81</v>
      </c>
      <c r="N9" s="188">
        <f>SUM(N5:N8)</f>
        <v>77.599999999999994</v>
      </c>
      <c r="O9" s="188">
        <f>SUM(O5:O8)</f>
        <v>77.599999999999994</v>
      </c>
      <c r="P9" s="188">
        <f>SUM(P5:P8)</f>
        <v>0</v>
      </c>
      <c r="Q9" s="213" t="s">
        <v>81</v>
      </c>
      <c r="R9" s="188">
        <f>SUM(R5:R8)</f>
        <v>96.5</v>
      </c>
      <c r="S9" s="188">
        <f>SUM(S5:S8)</f>
        <v>96.5</v>
      </c>
      <c r="T9" s="188">
        <f>SUM(T5:T8)</f>
        <v>0</v>
      </c>
      <c r="U9" s="213" t="s">
        <v>81</v>
      </c>
      <c r="X9" s="187"/>
    </row>
    <row r="10" spans="3:24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3"/>
    </row>
    <row r="11" spans="3:24" ht="16.5" thickBot="1">
      <c r="C11" s="514" t="s">
        <v>132</v>
      </c>
      <c r="D11" s="430"/>
      <c r="E11" s="431"/>
      <c r="F11" s="432">
        <v>46108</v>
      </c>
      <c r="G11" s="433"/>
      <c r="H11" s="433"/>
      <c r="I11" s="434"/>
      <c r="J11" s="432">
        <v>46109</v>
      </c>
      <c r="K11" s="433"/>
      <c r="L11" s="433"/>
      <c r="M11" s="434"/>
      <c r="N11" s="432">
        <v>46110</v>
      </c>
      <c r="O11" s="433"/>
      <c r="P11" s="433"/>
      <c r="Q11" s="434"/>
      <c r="R11" s="432">
        <v>46111</v>
      </c>
      <c r="S11" s="433"/>
      <c r="T11" s="433"/>
      <c r="U11" s="434"/>
    </row>
    <row r="12" spans="3:24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</row>
    <row r="13" spans="3:24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>G13-F13</f>
        <v>0</v>
      </c>
      <c r="I13" s="189"/>
      <c r="J13" s="166">
        <v>-26.1</v>
      </c>
      <c r="K13" s="165">
        <v>-26.1</v>
      </c>
      <c r="L13" s="164">
        <f>K13-J13</f>
        <v>0</v>
      </c>
      <c r="M13" s="189"/>
      <c r="N13" s="166">
        <v>-26.1</v>
      </c>
      <c r="O13" s="165">
        <v>-26.1</v>
      </c>
      <c r="P13" s="164">
        <f>O13-N13</f>
        <v>0</v>
      </c>
      <c r="Q13" s="189"/>
      <c r="R13" s="166">
        <v>-26.1</v>
      </c>
      <c r="S13" s="165">
        <v>-26.1</v>
      </c>
      <c r="T13" s="164">
        <v>0</v>
      </c>
      <c r="U13" s="189"/>
    </row>
    <row r="14" spans="3:24" ht="16">
      <c r="C14" s="523"/>
      <c r="D14" s="442"/>
      <c r="E14" s="211" t="s">
        <v>124</v>
      </c>
      <c r="F14" s="166">
        <v>-26.1</v>
      </c>
      <c r="G14" s="165">
        <v>0</v>
      </c>
      <c r="H14" s="164">
        <f>G14-F14</f>
        <v>26.1</v>
      </c>
      <c r="I14" s="189" t="s">
        <v>232</v>
      </c>
      <c r="J14" s="166">
        <v>-26.1</v>
      </c>
      <c r="K14" s="165">
        <v>0</v>
      </c>
      <c r="L14" s="164">
        <f>K14-J14</f>
        <v>26.1</v>
      </c>
      <c r="M14" s="189" t="s">
        <v>232</v>
      </c>
      <c r="N14" s="166">
        <v>-26.1</v>
      </c>
      <c r="O14" s="165">
        <v>0</v>
      </c>
      <c r="P14" s="164">
        <f>O14-N14</f>
        <v>26.1</v>
      </c>
      <c r="Q14" s="189" t="s">
        <v>232</v>
      </c>
      <c r="R14" s="166">
        <v>-26.1</v>
      </c>
      <c r="S14" s="165">
        <v>0</v>
      </c>
      <c r="T14" s="164">
        <v>26.1</v>
      </c>
      <c r="U14" s="189" t="s">
        <v>232</v>
      </c>
    </row>
    <row r="15" spans="3:24" ht="16">
      <c r="C15" s="523"/>
      <c r="D15" s="425" t="s">
        <v>127</v>
      </c>
      <c r="E15" s="211" t="s">
        <v>125</v>
      </c>
      <c r="F15" s="166">
        <v>-32.5</v>
      </c>
      <c r="G15" s="165">
        <v>-30</v>
      </c>
      <c r="H15" s="164">
        <v>2.5</v>
      </c>
      <c r="I15" s="189" t="s">
        <v>232</v>
      </c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</row>
    <row r="16" spans="3:24" ht="16">
      <c r="C16" s="523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232</v>
      </c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</row>
    <row r="17" spans="3:21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</row>
    <row r="18" spans="3:21" ht="16">
      <c r="C18" s="523"/>
      <c r="D18" s="443"/>
      <c r="E18" s="211" t="s">
        <v>124</v>
      </c>
      <c r="F18" s="166">
        <v>-34</v>
      </c>
      <c r="G18" s="165">
        <v>-34</v>
      </c>
      <c r="H18" s="164">
        <v>0</v>
      </c>
      <c r="I18" s="189"/>
      <c r="J18" s="166">
        <v>-34</v>
      </c>
      <c r="K18" s="165">
        <v>-34</v>
      </c>
      <c r="L18" s="164">
        <v>0</v>
      </c>
      <c r="M18" s="189"/>
      <c r="N18" s="166">
        <v>-34</v>
      </c>
      <c r="O18" s="165">
        <v>-34</v>
      </c>
      <c r="P18" s="164">
        <v>0</v>
      </c>
      <c r="Q18" s="189"/>
      <c r="R18" s="166">
        <v>-34</v>
      </c>
      <c r="S18" s="165">
        <v>-34</v>
      </c>
      <c r="T18" s="164">
        <v>0</v>
      </c>
      <c r="U18" s="189"/>
    </row>
    <row r="19" spans="3:21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</row>
    <row r="20" spans="3:21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</row>
    <row r="21" spans="3:21" ht="16.5" thickBot="1">
      <c r="C21" s="524"/>
      <c r="D21" s="427" t="s">
        <v>101</v>
      </c>
      <c r="E21" s="428"/>
      <c r="F21" s="188">
        <v>-253.2</v>
      </c>
      <c r="G21" s="187">
        <v>-192.1</v>
      </c>
      <c r="H21" s="187">
        <v>61.1</v>
      </c>
      <c r="I21" s="186" t="s">
        <v>81</v>
      </c>
      <c r="J21" s="188">
        <v>-253.2</v>
      </c>
      <c r="K21" s="187">
        <v>-227.1</v>
      </c>
      <c r="L21" s="187">
        <v>26.1</v>
      </c>
      <c r="M21" s="186" t="s">
        <v>81</v>
      </c>
      <c r="N21" s="188">
        <v>-253.2</v>
      </c>
      <c r="O21" s="187">
        <v>-227.1</v>
      </c>
      <c r="P21" s="187">
        <v>26.1</v>
      </c>
      <c r="Q21" s="186" t="s">
        <v>81</v>
      </c>
      <c r="R21" s="188">
        <v>-253.2</v>
      </c>
      <c r="S21" s="187">
        <v>-227.1</v>
      </c>
      <c r="T21" s="187">
        <v>26.1</v>
      </c>
      <c r="U21" s="186" t="s">
        <v>81</v>
      </c>
    </row>
    <row r="22" spans="3:21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3"/>
    </row>
    <row r="23" spans="3:21" ht="16.5" thickBot="1">
      <c r="C23" s="514" t="s">
        <v>120</v>
      </c>
      <c r="D23" s="430"/>
      <c r="E23" s="431"/>
      <c r="F23" s="432">
        <v>46108</v>
      </c>
      <c r="G23" s="433"/>
      <c r="H23" s="433"/>
      <c r="I23" s="434"/>
      <c r="J23" s="432">
        <v>46109</v>
      </c>
      <c r="K23" s="433"/>
      <c r="L23" s="433"/>
      <c r="M23" s="434"/>
      <c r="N23" s="432">
        <v>46110</v>
      </c>
      <c r="O23" s="433"/>
      <c r="P23" s="433"/>
      <c r="Q23" s="434"/>
      <c r="R23" s="432">
        <v>46111</v>
      </c>
      <c r="S23" s="433"/>
      <c r="T23" s="433"/>
      <c r="U23" s="434"/>
    </row>
    <row r="24" spans="3:21" ht="16">
      <c r="C24" s="525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</row>
    <row r="25" spans="3:21" ht="16.5" thickBot="1">
      <c r="C25" s="526"/>
      <c r="D25" s="447"/>
      <c r="E25" s="449"/>
      <c r="F25" s="209">
        <v>-5</v>
      </c>
      <c r="G25" s="208">
        <v>-2.8</v>
      </c>
      <c r="H25" s="207">
        <v>2.2000000000000002</v>
      </c>
      <c r="I25" s="206" t="s">
        <v>233</v>
      </c>
      <c r="J25" s="209">
        <v>-5</v>
      </c>
      <c r="K25" s="208">
        <v>-2.8</v>
      </c>
      <c r="L25" s="207">
        <v>2.2000000000000002</v>
      </c>
      <c r="M25" s="206" t="s">
        <v>233</v>
      </c>
      <c r="N25" s="209">
        <v>-5</v>
      </c>
      <c r="O25" s="208">
        <v>-2.9</v>
      </c>
      <c r="P25" s="207">
        <f>O25-N25</f>
        <v>2.1</v>
      </c>
      <c r="Q25" s="206" t="s">
        <v>233</v>
      </c>
      <c r="R25" s="209">
        <v>-5</v>
      </c>
      <c r="S25" s="208">
        <v>-2.8</v>
      </c>
      <c r="T25" s="207">
        <v>2.2000000000000002</v>
      </c>
      <c r="U25" s="206" t="s">
        <v>233</v>
      </c>
    </row>
    <row r="26" spans="3:21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3"/>
    </row>
    <row r="27" spans="3:21" ht="16.5" thickBot="1">
      <c r="C27" s="514" t="s">
        <v>116</v>
      </c>
      <c r="D27" s="430"/>
      <c r="E27" s="431"/>
      <c r="F27" s="432">
        <v>46108</v>
      </c>
      <c r="G27" s="433"/>
      <c r="H27" s="433"/>
      <c r="I27" s="434"/>
      <c r="J27" s="432">
        <v>46109</v>
      </c>
      <c r="K27" s="433"/>
      <c r="L27" s="433"/>
      <c r="M27" s="434"/>
      <c r="N27" s="432">
        <v>46110</v>
      </c>
      <c r="O27" s="433"/>
      <c r="P27" s="433"/>
      <c r="Q27" s="434"/>
      <c r="R27" s="432">
        <v>46111</v>
      </c>
      <c r="S27" s="433"/>
      <c r="T27" s="433"/>
      <c r="U27" s="434"/>
    </row>
    <row r="28" spans="3:21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</row>
    <row r="29" spans="3:21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</row>
    <row r="30" spans="3:21" ht="16">
      <c r="C30" s="528"/>
      <c r="D30" s="443"/>
      <c r="E30" s="454"/>
      <c r="F30" s="202">
        <v>0</v>
      </c>
      <c r="G30" s="456"/>
      <c r="H30" s="458"/>
      <c r="I30" s="460"/>
      <c r="J30" s="202">
        <v>0</v>
      </c>
      <c r="K30" s="456"/>
      <c r="L30" s="458"/>
      <c r="M30" s="460"/>
      <c r="N30" s="202">
        <v>0</v>
      </c>
      <c r="O30" s="456"/>
      <c r="P30" s="458"/>
      <c r="Q30" s="460"/>
      <c r="R30" s="202">
        <v>0</v>
      </c>
      <c r="S30" s="456"/>
      <c r="T30" s="458"/>
      <c r="U30" s="460"/>
    </row>
    <row r="31" spans="3:21" ht="16">
      <c r="C31" s="528"/>
      <c r="D31" s="443"/>
      <c r="E31" s="453" t="s">
        <v>109</v>
      </c>
      <c r="F31" s="200">
        <v>54.4</v>
      </c>
      <c r="G31" s="455">
        <v>54.4</v>
      </c>
      <c r="H31" s="457">
        <v>0</v>
      </c>
      <c r="I31" s="459"/>
      <c r="J31" s="200">
        <v>54.4</v>
      </c>
      <c r="K31" s="455">
        <v>54.4</v>
      </c>
      <c r="L31" s="457">
        <v>0</v>
      </c>
      <c r="M31" s="459"/>
      <c r="N31" s="200">
        <v>54.4</v>
      </c>
      <c r="O31" s="455">
        <v>54.4</v>
      </c>
      <c r="P31" s="457">
        <v>0</v>
      </c>
      <c r="Q31" s="459"/>
      <c r="R31" s="200">
        <v>54.4</v>
      </c>
      <c r="S31" s="455">
        <v>69.599999999999994</v>
      </c>
      <c r="T31" s="457">
        <v>15.199999999999996</v>
      </c>
      <c r="U31" s="459" t="s">
        <v>234</v>
      </c>
    </row>
    <row r="32" spans="3:21" ht="16">
      <c r="C32" s="528"/>
      <c r="D32" s="442"/>
      <c r="E32" s="454"/>
      <c r="F32" s="202">
        <v>0.28999999999999998</v>
      </c>
      <c r="G32" s="456"/>
      <c r="H32" s="458"/>
      <c r="I32" s="460"/>
      <c r="J32" s="202">
        <v>0.28999999999999998</v>
      </c>
      <c r="K32" s="456"/>
      <c r="L32" s="458"/>
      <c r="M32" s="460"/>
      <c r="N32" s="202">
        <v>0.28999999999999998</v>
      </c>
      <c r="O32" s="456"/>
      <c r="P32" s="458"/>
      <c r="Q32" s="460"/>
      <c r="R32" s="202">
        <v>0.28999999999999998</v>
      </c>
      <c r="S32" s="456"/>
      <c r="T32" s="458"/>
      <c r="U32" s="460"/>
    </row>
    <row r="33" spans="3:21" ht="16">
      <c r="C33" s="528"/>
      <c r="D33" s="466" t="s">
        <v>107</v>
      </c>
      <c r="E33" s="201" t="s">
        <v>106</v>
      </c>
      <c r="F33" s="200">
        <v>44.6</v>
      </c>
      <c r="G33" s="199">
        <v>52.7</v>
      </c>
      <c r="H33" s="457">
        <v>8.1000000000000014</v>
      </c>
      <c r="I33" s="459" t="s">
        <v>236</v>
      </c>
      <c r="J33" s="200">
        <v>21</v>
      </c>
      <c r="K33" s="199">
        <v>31.7</v>
      </c>
      <c r="L33" s="457">
        <v>10.7</v>
      </c>
      <c r="M33" s="459" t="s">
        <v>236</v>
      </c>
      <c r="N33" s="200">
        <v>21</v>
      </c>
      <c r="O33" s="199">
        <v>28.1</v>
      </c>
      <c r="P33" s="457">
        <v>7.1000000000000014</v>
      </c>
      <c r="Q33" s="459" t="s">
        <v>236</v>
      </c>
      <c r="R33" s="200">
        <v>21</v>
      </c>
      <c r="S33" s="199">
        <v>32.299999999999997</v>
      </c>
      <c r="T33" s="457">
        <v>11.299999999999997</v>
      </c>
      <c r="U33" s="459" t="s">
        <v>236</v>
      </c>
    </row>
    <row r="34" spans="3:21" ht="16">
      <c r="C34" s="528"/>
      <c r="D34" s="467"/>
      <c r="E34" s="463" t="s">
        <v>104</v>
      </c>
      <c r="F34" s="198">
        <v>0.25</v>
      </c>
      <c r="G34" s="197">
        <v>0.3</v>
      </c>
      <c r="H34" s="458"/>
      <c r="I34" s="460"/>
      <c r="J34" s="198">
        <v>0.12</v>
      </c>
      <c r="K34" s="197">
        <v>0.18</v>
      </c>
      <c r="L34" s="458"/>
      <c r="M34" s="460"/>
      <c r="N34" s="198">
        <v>0.12</v>
      </c>
      <c r="O34" s="197">
        <v>0.16</v>
      </c>
      <c r="P34" s="458"/>
      <c r="Q34" s="460"/>
      <c r="R34" s="198">
        <v>0.12</v>
      </c>
      <c r="S34" s="197">
        <v>0.18</v>
      </c>
      <c r="T34" s="458"/>
      <c r="U34" s="460"/>
    </row>
    <row r="35" spans="3:21" ht="13.5" customHeight="1">
      <c r="C35" s="528"/>
      <c r="D35" s="468"/>
      <c r="E35" s="464"/>
      <c r="F35" s="196">
        <v>57.8</v>
      </c>
      <c r="G35" s="195"/>
      <c r="H35" s="195"/>
      <c r="I35" s="194"/>
      <c r="J35" s="196">
        <v>57.8</v>
      </c>
      <c r="K35" s="195"/>
      <c r="L35" s="195"/>
      <c r="M35" s="194"/>
      <c r="N35" s="196">
        <v>57.8</v>
      </c>
      <c r="O35" s="195"/>
      <c r="P35" s="195"/>
      <c r="Q35" s="194"/>
      <c r="R35" s="196">
        <v>57.8</v>
      </c>
      <c r="S35" s="195"/>
      <c r="T35" s="195"/>
      <c r="U35" s="194"/>
    </row>
    <row r="36" spans="3:21" ht="16">
      <c r="C36" s="528"/>
      <c r="D36" s="468"/>
      <c r="E36" s="465"/>
      <c r="F36" s="193">
        <v>0.28000000000000003</v>
      </c>
      <c r="G36" s="192"/>
      <c r="H36" s="192"/>
      <c r="I36" s="191"/>
      <c r="J36" s="193">
        <v>0.28000000000000003</v>
      </c>
      <c r="K36" s="192"/>
      <c r="L36" s="192"/>
      <c r="M36" s="191"/>
      <c r="N36" s="193">
        <v>0.28000000000000003</v>
      </c>
      <c r="O36" s="192"/>
      <c r="P36" s="192"/>
      <c r="Q36" s="191"/>
      <c r="R36" s="193">
        <v>0.28000000000000003</v>
      </c>
      <c r="S36" s="192"/>
      <c r="T36" s="192"/>
      <c r="U36" s="191"/>
    </row>
    <row r="37" spans="3:21" ht="16">
      <c r="C37" s="528"/>
      <c r="D37" s="467"/>
      <c r="E37" s="190" t="s">
        <v>103</v>
      </c>
      <c r="F37" s="166">
        <v>10</v>
      </c>
      <c r="G37" s="165">
        <v>0.49999999999999856</v>
      </c>
      <c r="H37" s="164">
        <f>G37-F37</f>
        <v>-9.5000000000000018</v>
      </c>
      <c r="I37" s="189" t="s">
        <v>237</v>
      </c>
      <c r="J37" s="166">
        <v>10</v>
      </c>
      <c r="K37" s="165">
        <v>0.5</v>
      </c>
      <c r="L37" s="164">
        <f>K37-J37</f>
        <v>-9.5</v>
      </c>
      <c r="M37" s="189" t="s">
        <v>237</v>
      </c>
      <c r="N37" s="166">
        <v>10</v>
      </c>
      <c r="O37" s="165">
        <v>0.5</v>
      </c>
      <c r="P37" s="164">
        <f>O37-N37</f>
        <v>-9.5</v>
      </c>
      <c r="Q37" s="189" t="s">
        <v>237</v>
      </c>
      <c r="R37" s="166">
        <v>10</v>
      </c>
      <c r="S37" s="165">
        <v>1.3</v>
      </c>
      <c r="T37" s="164">
        <f>S37-R37</f>
        <v>-8.6999999999999993</v>
      </c>
      <c r="U37" s="189" t="s">
        <v>237</v>
      </c>
    </row>
    <row r="38" spans="3:21" ht="16.5" thickBot="1">
      <c r="C38" s="529"/>
      <c r="D38" s="427" t="s">
        <v>101</v>
      </c>
      <c r="E38" s="428"/>
      <c r="F38" s="188">
        <v>109</v>
      </c>
      <c r="G38" s="187">
        <v>107.6</v>
      </c>
      <c r="H38" s="187">
        <f>H31+H33+H37</f>
        <v>-1.4000000000000004</v>
      </c>
      <c r="I38" s="186"/>
      <c r="J38" s="188">
        <v>85.4</v>
      </c>
      <c r="K38" s="187">
        <v>86.6</v>
      </c>
      <c r="L38" s="187">
        <f>L31+L33+L37</f>
        <v>1.1999999999999993</v>
      </c>
      <c r="M38" s="186"/>
      <c r="N38" s="188">
        <v>85.4</v>
      </c>
      <c r="O38" s="187">
        <v>83</v>
      </c>
      <c r="P38" s="187">
        <f>P31+P33+P37</f>
        <v>-2.3999999999999986</v>
      </c>
      <c r="Q38" s="186"/>
      <c r="R38" s="188">
        <v>85.4</v>
      </c>
      <c r="S38" s="187">
        <v>103.19999999999999</v>
      </c>
      <c r="T38" s="187">
        <f>T31+T33+T37</f>
        <v>17.799999999999994</v>
      </c>
      <c r="U38" s="186"/>
    </row>
    <row r="39" spans="3:21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3"/>
    </row>
    <row r="40" spans="3:21" ht="16.5" thickBot="1">
      <c r="C40" s="514" t="s">
        <v>100</v>
      </c>
      <c r="D40" s="430"/>
      <c r="E40" s="431"/>
      <c r="F40" s="469">
        <v>46108</v>
      </c>
      <c r="G40" s="470"/>
      <c r="H40" s="470"/>
      <c r="I40" s="471"/>
      <c r="J40" s="469">
        <v>46109</v>
      </c>
      <c r="K40" s="470"/>
      <c r="L40" s="470"/>
      <c r="M40" s="471"/>
      <c r="N40" s="469">
        <v>46110</v>
      </c>
      <c r="O40" s="470"/>
      <c r="P40" s="470"/>
      <c r="Q40" s="471"/>
      <c r="R40" s="432">
        <v>46111</v>
      </c>
      <c r="S40" s="433"/>
      <c r="T40" s="433"/>
      <c r="U40" s="434"/>
    </row>
    <row r="41" spans="3:21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</row>
    <row r="42" spans="3:21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172.8</v>
      </c>
      <c r="S42" s="478">
        <v>87.7</v>
      </c>
      <c r="T42" s="457">
        <f>S42-R42</f>
        <v>-85.100000000000009</v>
      </c>
      <c r="U42" s="459" t="s">
        <v>234</v>
      </c>
    </row>
    <row r="43" spans="3:21" ht="16.5" thickBot="1">
      <c r="C43" s="531"/>
      <c r="D43" s="475"/>
      <c r="E43" s="477"/>
      <c r="F43" s="183">
        <v>210.9</v>
      </c>
      <c r="G43" s="479"/>
      <c r="H43" s="480"/>
      <c r="I43" s="481"/>
      <c r="J43" s="183">
        <v>181</v>
      </c>
      <c r="K43" s="479"/>
      <c r="L43" s="480"/>
      <c r="M43" s="481"/>
      <c r="N43" s="183">
        <v>181</v>
      </c>
      <c r="O43" s="479"/>
      <c r="P43" s="480"/>
      <c r="Q43" s="481"/>
      <c r="R43" s="183">
        <v>226.1</v>
      </c>
      <c r="S43" s="479"/>
      <c r="T43" s="480"/>
      <c r="U43" s="481"/>
    </row>
    <row r="44" spans="3:21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3"/>
    </row>
    <row r="45" spans="3:21" ht="16.5" thickBot="1">
      <c r="C45" s="514" t="s">
        <v>94</v>
      </c>
      <c r="D45" s="430"/>
      <c r="E45" s="431"/>
      <c r="F45" s="469">
        <v>46108</v>
      </c>
      <c r="G45" s="470"/>
      <c r="H45" s="470"/>
      <c r="I45" s="471"/>
      <c r="J45" s="469">
        <v>46109</v>
      </c>
      <c r="K45" s="470"/>
      <c r="L45" s="470"/>
      <c r="M45" s="471"/>
      <c r="N45" s="469">
        <v>46110</v>
      </c>
      <c r="O45" s="470"/>
      <c r="P45" s="470"/>
      <c r="Q45" s="471"/>
      <c r="R45" s="432">
        <v>46111</v>
      </c>
      <c r="S45" s="433"/>
      <c r="T45" s="433"/>
      <c r="U45" s="434"/>
    </row>
    <row r="46" spans="3:21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</row>
    <row r="47" spans="3:21" ht="16">
      <c r="C47" s="525"/>
      <c r="D47" s="483"/>
      <c r="E47" s="488" t="s">
        <v>91</v>
      </c>
      <c r="F47" s="178">
        <v>44.3</v>
      </c>
      <c r="G47" s="478">
        <v>52.5</v>
      </c>
      <c r="H47" s="457">
        <v>8.2000000000000028</v>
      </c>
      <c r="I47" s="459" t="s">
        <v>232</v>
      </c>
      <c r="J47" s="178">
        <v>44.3</v>
      </c>
      <c r="K47" s="478">
        <v>50.6</v>
      </c>
      <c r="L47" s="457">
        <v>6.3000000000000043</v>
      </c>
      <c r="M47" s="459" t="s">
        <v>232</v>
      </c>
      <c r="N47" s="178">
        <v>44.3</v>
      </c>
      <c r="O47" s="478">
        <v>51.1</v>
      </c>
      <c r="P47" s="457">
        <v>6.8000000000000043</v>
      </c>
      <c r="Q47" s="459" t="s">
        <v>232</v>
      </c>
      <c r="R47" s="178">
        <v>44.3</v>
      </c>
      <c r="S47" s="478">
        <v>54.2</v>
      </c>
      <c r="T47" s="457">
        <v>9.9000000000000057</v>
      </c>
      <c r="U47" s="459" t="s">
        <v>232</v>
      </c>
    </row>
    <row r="48" spans="3:21" ht="16.5" thickBot="1">
      <c r="C48" s="533"/>
      <c r="D48" s="487"/>
      <c r="E48" s="489"/>
      <c r="F48" s="177">
        <v>0.56999999999999995</v>
      </c>
      <c r="G48" s="479"/>
      <c r="H48" s="480"/>
      <c r="I48" s="481"/>
      <c r="J48" s="177">
        <v>0.56999999999999995</v>
      </c>
      <c r="K48" s="479"/>
      <c r="L48" s="480"/>
      <c r="M48" s="481"/>
      <c r="N48" s="177">
        <v>0.56999999999999995</v>
      </c>
      <c r="O48" s="479"/>
      <c r="P48" s="480"/>
      <c r="Q48" s="481"/>
      <c r="R48" s="177">
        <v>0.56999999999999995</v>
      </c>
      <c r="S48" s="479"/>
      <c r="T48" s="509"/>
      <c r="U48" s="481"/>
    </row>
    <row r="49" spans="1:21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3"/>
    </row>
    <row r="50" spans="1:21" ht="16.5" thickBot="1">
      <c r="C50" s="514" t="s">
        <v>89</v>
      </c>
      <c r="D50" s="430"/>
      <c r="E50" s="431"/>
      <c r="F50" s="469">
        <v>46108</v>
      </c>
      <c r="G50" s="470"/>
      <c r="H50" s="470"/>
      <c r="I50" s="471"/>
      <c r="J50" s="469">
        <v>46109</v>
      </c>
      <c r="K50" s="470"/>
      <c r="L50" s="470"/>
      <c r="M50" s="471"/>
      <c r="N50" s="469">
        <v>46110</v>
      </c>
      <c r="O50" s="470"/>
      <c r="P50" s="470"/>
      <c r="Q50" s="471"/>
      <c r="R50" s="432">
        <v>46111</v>
      </c>
      <c r="S50" s="433"/>
      <c r="T50" s="433"/>
      <c r="U50" s="434"/>
    </row>
    <row r="51" spans="1:21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</row>
    <row r="52" spans="1:21" ht="16">
      <c r="C52" s="525"/>
      <c r="D52" s="483"/>
      <c r="E52" s="167" t="s">
        <v>83</v>
      </c>
      <c r="F52" s="345">
        <v>0</v>
      </c>
      <c r="G52" s="323">
        <v>0.1</v>
      </c>
      <c r="H52" s="346">
        <f>G52-F52</f>
        <v>0.1</v>
      </c>
      <c r="I52" s="359" t="s">
        <v>231</v>
      </c>
      <c r="J52" s="345">
        <v>0</v>
      </c>
      <c r="K52" s="323">
        <v>0.1</v>
      </c>
      <c r="L52" s="346">
        <f>K52-J52</f>
        <v>0.1</v>
      </c>
      <c r="M52" s="359" t="s">
        <v>231</v>
      </c>
      <c r="N52" s="345">
        <v>0</v>
      </c>
      <c r="O52" s="323">
        <v>0.1</v>
      </c>
      <c r="P52" s="346">
        <f>O52-N52</f>
        <v>0.1</v>
      </c>
      <c r="Q52" s="359" t="s">
        <v>231</v>
      </c>
      <c r="R52" s="345">
        <v>0</v>
      </c>
      <c r="S52" s="323">
        <v>0.1</v>
      </c>
      <c r="T52" s="164">
        <f>S52-R52</f>
        <v>0.1</v>
      </c>
      <c r="U52" s="163" t="s">
        <v>231</v>
      </c>
    </row>
    <row r="53" spans="1:21" ht="16.5" thickBot="1">
      <c r="C53" s="533"/>
      <c r="D53" s="487"/>
      <c r="E53" s="162" t="s">
        <v>82</v>
      </c>
      <c r="F53" s="360">
        <v>0</v>
      </c>
      <c r="G53" s="358">
        <v>31.5</v>
      </c>
      <c r="H53" s="361" t="s">
        <v>81</v>
      </c>
      <c r="I53" s="362" t="s">
        <v>230</v>
      </c>
      <c r="J53" s="360">
        <v>0</v>
      </c>
      <c r="K53" s="358">
        <v>31.8</v>
      </c>
      <c r="L53" s="361" t="s">
        <v>81</v>
      </c>
      <c r="M53" s="362" t="s">
        <v>230</v>
      </c>
      <c r="N53" s="360">
        <v>0</v>
      </c>
      <c r="O53" s="358">
        <v>35.1</v>
      </c>
      <c r="P53" s="361" t="s">
        <v>81</v>
      </c>
      <c r="Q53" s="362" t="s">
        <v>230</v>
      </c>
      <c r="R53" s="360">
        <v>0</v>
      </c>
      <c r="S53" s="358">
        <v>35.1</v>
      </c>
      <c r="T53" s="159" t="s">
        <v>81</v>
      </c>
      <c r="U53" s="362" t="s">
        <v>230</v>
      </c>
    </row>
    <row r="54" spans="1:21">
      <c r="C54" s="1" t="s">
        <v>79</v>
      </c>
    </row>
    <row r="56" spans="1:21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 t="s">
        <v>239</v>
      </c>
      <c r="P56" s="23"/>
      <c r="Q56" s="22"/>
    </row>
    <row r="57" spans="1:21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 t="s">
        <v>240</v>
      </c>
      <c r="P57" s="23"/>
      <c r="Q57" s="22"/>
    </row>
    <row r="59" spans="1:21">
      <c r="F59" s="85"/>
      <c r="G59" s="85"/>
      <c r="H59" s="85"/>
      <c r="J59" s="85"/>
      <c r="K59" s="85"/>
      <c r="L59" s="85"/>
      <c r="N59" s="85"/>
      <c r="O59" s="85"/>
      <c r="P59" s="85"/>
      <c r="R59" s="85"/>
      <c r="S59" s="85"/>
      <c r="T59" s="85"/>
    </row>
    <row r="60" spans="1:21">
      <c r="F60" s="86"/>
      <c r="G60" s="86"/>
      <c r="H60" s="86"/>
      <c r="J60" s="86"/>
      <c r="K60" s="86"/>
      <c r="L60" s="86"/>
      <c r="N60" s="86"/>
      <c r="O60" s="86"/>
      <c r="P60" s="86"/>
      <c r="R60" s="86"/>
      <c r="S60" s="86"/>
      <c r="T60" s="86"/>
    </row>
    <row r="62" spans="1:21">
      <c r="F62" s="85"/>
      <c r="G62" s="85"/>
      <c r="H62" s="85"/>
      <c r="J62" s="85"/>
      <c r="K62" s="85"/>
      <c r="L62" s="85"/>
      <c r="N62" s="85"/>
      <c r="O62" s="85"/>
      <c r="P62" s="85"/>
      <c r="R62" s="85"/>
      <c r="S62" s="85"/>
      <c r="T62" s="85"/>
    </row>
    <row r="63" spans="1:21">
      <c r="F63" s="86"/>
      <c r="G63" s="86"/>
      <c r="H63" s="86"/>
      <c r="J63" s="86"/>
      <c r="K63" s="86"/>
      <c r="L63" s="86"/>
      <c r="N63" s="86"/>
      <c r="O63" s="86"/>
      <c r="P63" s="86"/>
      <c r="R63" s="86"/>
      <c r="S63" s="86"/>
      <c r="T63" s="86"/>
    </row>
    <row r="65" spans="6:20">
      <c r="F65" s="85"/>
      <c r="G65" s="85"/>
      <c r="H65" s="85"/>
      <c r="J65" s="85"/>
      <c r="K65" s="85"/>
      <c r="L65" s="85"/>
      <c r="N65" s="85"/>
      <c r="O65" s="85"/>
      <c r="P65" s="85"/>
      <c r="R65" s="85"/>
      <c r="S65" s="85"/>
      <c r="T65" s="85"/>
    </row>
    <row r="66" spans="6:20">
      <c r="F66" s="86"/>
      <c r="G66" s="86"/>
      <c r="H66" s="86"/>
      <c r="J66" s="86"/>
      <c r="K66" s="86"/>
      <c r="L66" s="86"/>
      <c r="N66" s="86"/>
      <c r="O66" s="86"/>
      <c r="P66" s="86"/>
      <c r="R66" s="86"/>
      <c r="S66" s="86"/>
      <c r="T66" s="86"/>
    </row>
  </sheetData>
  <mergeCells count="114">
    <mergeCell ref="K47:K48"/>
    <mergeCell ref="C45:E45"/>
    <mergeCell ref="F45:I45"/>
    <mergeCell ref="J45:M45"/>
    <mergeCell ref="N45:Q45"/>
    <mergeCell ref="R45:U45"/>
    <mergeCell ref="C51:D53"/>
    <mergeCell ref="T47:T48"/>
    <mergeCell ref="U47:U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O29:O30"/>
    <mergeCell ref="P29:P30"/>
    <mergeCell ref="E34:E36"/>
    <mergeCell ref="D38:E38"/>
    <mergeCell ref="C40:E40"/>
    <mergeCell ref="F40:I40"/>
    <mergeCell ref="J40:M40"/>
    <mergeCell ref="N40:Q40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U33:U34"/>
    <mergeCell ref="M31:M32"/>
    <mergeCell ref="O31:O32"/>
    <mergeCell ref="P31:P32"/>
    <mergeCell ref="Q31:Q32"/>
    <mergeCell ref="S31:S32"/>
    <mergeCell ref="T31:T32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Q29:Q30"/>
    <mergeCell ref="S29:S30"/>
    <mergeCell ref="T29:T30"/>
    <mergeCell ref="U29:U30"/>
    <mergeCell ref="E31:E32"/>
    <mergeCell ref="G31:G32"/>
    <mergeCell ref="H31:H32"/>
    <mergeCell ref="I31:I32"/>
    <mergeCell ref="K31:K32"/>
    <mergeCell ref="L31:L32"/>
    <mergeCell ref="I29:I30"/>
    <mergeCell ref="K29:K30"/>
    <mergeCell ref="L29:L30"/>
    <mergeCell ref="M29:M30"/>
    <mergeCell ref="C23:E23"/>
    <mergeCell ref="F23:I23"/>
    <mergeCell ref="J23:M23"/>
    <mergeCell ref="N23:Q23"/>
    <mergeCell ref="R23:U23"/>
    <mergeCell ref="C24:D25"/>
    <mergeCell ref="E24:E25"/>
    <mergeCell ref="C11:E11"/>
    <mergeCell ref="F11:I11"/>
    <mergeCell ref="J11:M11"/>
    <mergeCell ref="N11:Q11"/>
    <mergeCell ref="R11:U11"/>
    <mergeCell ref="C12:C21"/>
    <mergeCell ref="D13:D14"/>
    <mergeCell ref="D15:D16"/>
    <mergeCell ref="D17:D20"/>
    <mergeCell ref="D21:E21"/>
    <mergeCell ref="C3:E3"/>
    <mergeCell ref="F3:I3"/>
    <mergeCell ref="J3:M3"/>
    <mergeCell ref="N3:Q3"/>
    <mergeCell ref="R3:U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2" fitToHeight="0" orientation="landscape" r:id="rId1"/>
  <headerFooter>
    <oddHeader>&amp;L&amp;"メイリオ,レギュラー"
　&amp;"メイリオ,ボールド"&amp;22日別の優先給電ルールに基づく抑制、調整状況（2026年3月）</oddHeader>
    <oddFooter>&amp;R&amp;"メイリオ,レギュラー"&amp;14九州電力送配電株式会社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589C-A6B0-4C56-8082-EE68DFCF7BA2}">
  <sheetPr>
    <tabColor rgb="FFFFFF00"/>
    <pageSetUpPr fitToPage="1"/>
  </sheetPr>
  <dimension ref="A1:L29"/>
  <sheetViews>
    <sheetView showGridLines="0" view="pageBreakPreview" zoomScale="70" zoomScaleNormal="70" zoomScaleSheetLayoutView="70" zoomScalePageLayoutView="70" workbookViewId="0">
      <selection sqref="A1:L29"/>
    </sheetView>
  </sheetViews>
  <sheetFormatPr defaultColWidth="8.90625" defaultRowHeight="16.5"/>
  <cols>
    <col min="1" max="1" width="8.90625" style="315"/>
    <col min="2" max="2" width="18.453125" style="315" customWidth="1"/>
    <col min="3" max="3" width="20" style="315" customWidth="1"/>
    <col min="4" max="4" width="17.36328125" style="316" customWidth="1"/>
    <col min="5" max="5" width="17.36328125" style="315" customWidth="1"/>
    <col min="6" max="6" width="34.08984375" style="315" customWidth="1"/>
    <col min="7" max="7" width="6.453125" style="315" customWidth="1"/>
    <col min="8" max="8" width="30.36328125" style="315" customWidth="1"/>
    <col min="9" max="9" width="12.453125" style="315" customWidth="1"/>
    <col min="10" max="10" width="4.90625" style="315" customWidth="1"/>
    <col min="11" max="11" width="12.453125" style="315" customWidth="1"/>
    <col min="12" max="12" width="15.90625" style="315" customWidth="1"/>
    <col min="13" max="16384" width="8.90625" style="315"/>
  </cols>
  <sheetData>
    <row r="1" spans="1:12">
      <c r="A1" s="363" t="s">
        <v>188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12" ht="33.65" customHeight="1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2" ht="8.65" customHeight="1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</row>
    <row r="4" spans="1:12" ht="32.15" customHeight="1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</row>
    <row r="5" spans="1:12" ht="33" customHeight="1">
      <c r="A5" s="364"/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</row>
    <row r="6" spans="1:12" ht="38.65" customHeight="1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</row>
    <row r="7" spans="1:12" ht="38.65" customHeight="1">
      <c r="A7" s="364"/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</row>
    <row r="8" spans="1:12" ht="38.65" customHeight="1">
      <c r="A8" s="364"/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</row>
    <row r="9" spans="1:12" ht="38.65" customHeight="1">
      <c r="A9" s="364"/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</row>
    <row r="10" spans="1:12" ht="38.15" customHeight="1">
      <c r="A10" s="364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</row>
    <row r="11" spans="1:12" ht="38.15" customHeight="1">
      <c r="A11" s="364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</row>
    <row r="12" spans="1:12" ht="19.399999999999999" customHeight="1">
      <c r="A12" s="364"/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</row>
    <row r="13" spans="1:12" ht="19.399999999999999" customHeight="1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</row>
    <row r="14" spans="1:12" ht="38.65" customHeight="1">
      <c r="A14" s="364"/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</row>
    <row r="15" spans="1:12" ht="38.65" customHeight="1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</row>
    <row r="16" spans="1:12" ht="38.65" customHeight="1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</row>
    <row r="17" spans="1:12" ht="38.65" customHeight="1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</row>
    <row r="18" spans="1:12" ht="38.65" customHeight="1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</row>
    <row r="19" spans="1:12" ht="38.65" customHeight="1">
      <c r="A19" s="364"/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</row>
    <row r="20" spans="1:12" ht="38.65" customHeight="1">
      <c r="A20" s="364"/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</row>
    <row r="21" spans="1:12" ht="38.65" customHeight="1">
      <c r="A21" s="364"/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</row>
    <row r="22" spans="1:12" ht="38.65" customHeight="1">
      <c r="A22" s="364"/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</row>
    <row r="23" spans="1:12" ht="7.4" customHeight="1">
      <c r="A23" s="364"/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</row>
    <row r="24" spans="1:12" ht="24.65" customHeight="1">
      <c r="A24" s="364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</row>
    <row r="25" spans="1:12" ht="24.65" customHeight="1">
      <c r="A25" s="364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</row>
    <row r="26" spans="1:12" ht="24.65" customHeight="1">
      <c r="A26" s="364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</row>
    <row r="27" spans="1:12" ht="24.65" customHeight="1">
      <c r="A27" s="364"/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</row>
    <row r="28" spans="1:12" ht="24.65" customHeight="1">
      <c r="A28" s="364"/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</row>
    <row r="29" spans="1:12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</row>
  </sheetData>
  <mergeCells count="1">
    <mergeCell ref="A1:L29"/>
  </mergeCells>
  <phoneticPr fontId="1"/>
  <printOptions horizontalCentered="1" verticalCentered="1"/>
  <pageMargins left="0.47244094488188981" right="0.43307086614173229" top="0.51181102362204722" bottom="0.15748031496062992" header="0.31496062992125984" footer="0.31496062992125984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1C9E-CBDB-407C-B9A6-046867152DAC}">
  <sheetPr codeName="Sheet2"/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45383</v>
      </c>
      <c r="G3" s="26" t="s">
        <v>48</v>
      </c>
      <c r="H3" s="25">
        <v>45389</v>
      </c>
      <c r="I3" s="26" t="s">
        <v>49</v>
      </c>
      <c r="J3" s="25">
        <v>45391</v>
      </c>
      <c r="K3" s="26" t="s">
        <v>48</v>
      </c>
      <c r="L3" s="25">
        <v>45392</v>
      </c>
      <c r="M3" s="26" t="s">
        <v>48</v>
      </c>
      <c r="N3" s="25">
        <v>45394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95.1</v>
      </c>
      <c r="G5" s="384" t="s">
        <v>45</v>
      </c>
      <c r="H5" s="9">
        <v>93.7</v>
      </c>
      <c r="I5" s="384" t="s">
        <v>45</v>
      </c>
      <c r="J5" s="9">
        <v>95.7</v>
      </c>
      <c r="K5" s="384" t="s">
        <v>45</v>
      </c>
      <c r="L5" s="9">
        <v>95.4</v>
      </c>
      <c r="M5" s="384" t="s">
        <v>45</v>
      </c>
      <c r="N5" s="9">
        <v>95.3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66.2</v>
      </c>
      <c r="G6" s="385"/>
      <c r="H6" s="10">
        <v>59.9</v>
      </c>
      <c r="I6" s="385"/>
      <c r="J6" s="10">
        <v>76.400000000000006</v>
      </c>
      <c r="K6" s="385"/>
      <c r="L6" s="10">
        <v>71.8</v>
      </c>
      <c r="M6" s="385"/>
      <c r="N6" s="10">
        <v>70.8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298.89999999999998</v>
      </c>
      <c r="G7" s="385"/>
      <c r="H7" s="28">
        <v>299.10000000000002</v>
      </c>
      <c r="I7" s="385"/>
      <c r="J7" s="28">
        <v>296</v>
      </c>
      <c r="K7" s="385"/>
      <c r="L7" s="28">
        <v>295.89999999999998</v>
      </c>
      <c r="M7" s="385"/>
      <c r="N7" s="28">
        <v>299.10000000000002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77.700000000000088</v>
      </c>
      <c r="G8" s="385"/>
      <c r="H8" s="29">
        <v>78.799999999999983</v>
      </c>
      <c r="I8" s="385"/>
      <c r="J8" s="29">
        <v>69.5</v>
      </c>
      <c r="K8" s="385"/>
      <c r="L8" s="29">
        <v>67</v>
      </c>
      <c r="M8" s="385"/>
      <c r="N8" s="29">
        <v>60.6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16.2</v>
      </c>
      <c r="G9" s="385"/>
      <c r="H9" s="30">
        <v>16</v>
      </c>
      <c r="I9" s="385"/>
      <c r="J9" s="30">
        <v>16</v>
      </c>
      <c r="K9" s="385"/>
      <c r="L9" s="30">
        <v>15.8</v>
      </c>
      <c r="M9" s="385"/>
      <c r="N9" s="30">
        <v>16.8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32.799999999999997</v>
      </c>
      <c r="G10" s="385"/>
      <c r="H10" s="11">
        <v>34.200000000000003</v>
      </c>
      <c r="I10" s="385"/>
      <c r="J10" s="11">
        <v>35.1</v>
      </c>
      <c r="K10" s="385"/>
      <c r="L10" s="11">
        <v>35.1</v>
      </c>
      <c r="M10" s="385"/>
      <c r="N10" s="11">
        <v>37.5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24.9</v>
      </c>
      <c r="G11" s="385"/>
      <c r="H11" s="12">
        <v>23.1</v>
      </c>
      <c r="I11" s="385"/>
      <c r="J11" s="12">
        <v>20.3</v>
      </c>
      <c r="K11" s="385"/>
      <c r="L11" s="12">
        <v>19.8</v>
      </c>
      <c r="M11" s="385"/>
      <c r="N11" s="12">
        <v>19.2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901.1</v>
      </c>
      <c r="G12" s="385"/>
      <c r="H12" s="13">
        <v>540.6</v>
      </c>
      <c r="I12" s="385"/>
      <c r="J12" s="13">
        <v>821.2</v>
      </c>
      <c r="K12" s="385"/>
      <c r="L12" s="13">
        <v>902.4</v>
      </c>
      <c r="M12" s="385"/>
      <c r="N12" s="13">
        <v>775.2</v>
      </c>
      <c r="O12" s="385"/>
    </row>
    <row r="13" spans="2:15" ht="16">
      <c r="B13" s="376"/>
      <c r="C13" s="379"/>
      <c r="D13" s="388"/>
      <c r="E13" s="45" t="s">
        <v>27</v>
      </c>
      <c r="F13" s="13">
        <v>8.3000000000000007</v>
      </c>
      <c r="G13" s="385"/>
      <c r="H13" s="13">
        <v>7.7</v>
      </c>
      <c r="I13" s="385"/>
      <c r="J13" s="13">
        <v>20.3</v>
      </c>
      <c r="K13" s="385"/>
      <c r="L13" s="13">
        <v>9.8000000000000007</v>
      </c>
      <c r="M13" s="385"/>
      <c r="N13" s="13">
        <v>5.4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222</v>
      </c>
      <c r="G14" s="385"/>
      <c r="H14" s="14">
        <v>378</v>
      </c>
      <c r="I14" s="385"/>
      <c r="J14" s="14">
        <v>222</v>
      </c>
      <c r="K14" s="385"/>
      <c r="L14" s="14">
        <v>222</v>
      </c>
      <c r="M14" s="385"/>
      <c r="N14" s="14">
        <v>222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1743.2</v>
      </c>
      <c r="G15" s="385"/>
      <c r="H15" s="15">
        <v>1531.1000000000001</v>
      </c>
      <c r="I15" s="385"/>
      <c r="J15" s="15">
        <v>1672.5</v>
      </c>
      <c r="K15" s="385"/>
      <c r="L15" s="15">
        <v>1734.9999999999998</v>
      </c>
      <c r="M15" s="385"/>
      <c r="N15" s="15">
        <v>1601.9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825</v>
      </c>
      <c r="G16" s="385"/>
      <c r="H16" s="8">
        <v>755</v>
      </c>
      <c r="I16" s="385"/>
      <c r="J16" s="8">
        <v>855</v>
      </c>
      <c r="K16" s="385"/>
      <c r="L16" s="8">
        <v>840.8</v>
      </c>
      <c r="M16" s="385"/>
      <c r="N16" s="8">
        <v>835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-154.19999999999999</v>
      </c>
      <c r="G17" s="385"/>
      <c r="H17" s="16">
        <v>-186.7</v>
      </c>
      <c r="I17" s="385"/>
      <c r="J17" s="16">
        <v>-186.7</v>
      </c>
      <c r="K17" s="385"/>
      <c r="L17" s="16">
        <v>-186.7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-225.7</v>
      </c>
      <c r="G19" s="385"/>
      <c r="H19" s="18">
        <v>-56.6</v>
      </c>
      <c r="I19" s="385"/>
      <c r="J19" s="18">
        <v>-223.7</v>
      </c>
      <c r="K19" s="385"/>
      <c r="L19" s="18">
        <v>-159</v>
      </c>
      <c r="M19" s="385"/>
      <c r="N19" s="18">
        <v>-159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1209.9000000000001</v>
      </c>
      <c r="G21" s="386"/>
      <c r="H21" s="27">
        <v>1003.3000000000001</v>
      </c>
      <c r="I21" s="386"/>
      <c r="J21" s="27">
        <v>1270.4000000000001</v>
      </c>
      <c r="K21" s="386"/>
      <c r="L21" s="27">
        <v>1191.5</v>
      </c>
      <c r="M21" s="386"/>
      <c r="N21" s="27">
        <v>1218.2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1743.2</v>
      </c>
      <c r="G23" s="400"/>
      <c r="H23" s="20">
        <v>1531.1000000000001</v>
      </c>
      <c r="I23" s="400"/>
      <c r="J23" s="20">
        <v>1672.5</v>
      </c>
      <c r="K23" s="400"/>
      <c r="L23" s="20">
        <v>1734.9999999999998</v>
      </c>
      <c r="M23" s="400"/>
      <c r="N23" s="20">
        <v>1601.9</v>
      </c>
      <c r="O23" s="400"/>
    </row>
    <row r="24" spans="2:15" ht="16">
      <c r="B24" s="409"/>
      <c r="C24" s="403" t="s">
        <v>37</v>
      </c>
      <c r="D24" s="404"/>
      <c r="E24" s="405"/>
      <c r="F24" s="21">
        <v>1209.9000000000001</v>
      </c>
      <c r="G24" s="401"/>
      <c r="H24" s="21">
        <v>1003.3000000000001</v>
      </c>
      <c r="I24" s="401"/>
      <c r="J24" s="21">
        <v>1270.4000000000001</v>
      </c>
      <c r="K24" s="401"/>
      <c r="L24" s="21">
        <v>1191.5</v>
      </c>
      <c r="M24" s="401"/>
      <c r="N24" s="21">
        <v>1218.2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533.29999999999995</v>
      </c>
      <c r="G25" s="402"/>
      <c r="H25" s="67">
        <v>527.80000000000007</v>
      </c>
      <c r="I25" s="402"/>
      <c r="J25" s="67">
        <v>402.09999999999991</v>
      </c>
      <c r="K25" s="402"/>
      <c r="L25" s="67">
        <v>543.49999999999977</v>
      </c>
      <c r="M25" s="402"/>
      <c r="N25" s="67">
        <v>383.70000000000005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 customHeight="1">
      <c r="B51" s="64"/>
      <c r="C51" s="71"/>
      <c r="D51" s="90" t="s">
        <v>22</v>
      </c>
      <c r="E51" s="91"/>
      <c r="F51" s="91"/>
      <c r="H51" s="71"/>
      <c r="I51" s="71"/>
      <c r="J51" s="71"/>
      <c r="K51" s="71"/>
      <c r="L51" s="71"/>
      <c r="M51" s="71"/>
      <c r="N51" s="71"/>
      <c r="O51" s="83"/>
    </row>
    <row r="52" spans="2:15" ht="19.5" customHeight="1">
      <c r="B52" s="64"/>
      <c r="C52" s="71"/>
      <c r="D52" s="90" t="s">
        <v>23</v>
      </c>
      <c r="E52" s="91"/>
      <c r="F52" s="91"/>
      <c r="H52" s="71"/>
      <c r="I52" s="71"/>
      <c r="J52" s="71"/>
      <c r="K52" s="71"/>
      <c r="L52" s="71"/>
      <c r="M52" s="71"/>
      <c r="N52" s="71"/>
      <c r="O52" s="83"/>
    </row>
    <row r="53" spans="2:15" ht="19.5" customHeight="1">
      <c r="B53" s="64"/>
      <c r="C53" s="71"/>
      <c r="D53" s="90" t="s">
        <v>51</v>
      </c>
      <c r="E53" s="91"/>
      <c r="F53" s="91"/>
      <c r="H53" s="71"/>
      <c r="I53" s="71"/>
      <c r="J53" s="71"/>
      <c r="K53" s="71"/>
      <c r="L53" s="71"/>
      <c r="M53" s="71"/>
      <c r="N53" s="71"/>
      <c r="O53" s="83"/>
    </row>
    <row r="54" spans="2:15" ht="19.5" customHeight="1">
      <c r="B54" s="64"/>
      <c r="C54" s="71"/>
      <c r="D54" s="90" t="s">
        <v>52</v>
      </c>
      <c r="E54" s="91"/>
      <c r="F54" s="91"/>
      <c r="H54" s="71"/>
      <c r="I54" s="71"/>
      <c r="J54" s="71"/>
      <c r="K54" s="71"/>
      <c r="L54" s="71"/>
      <c r="M54" s="71"/>
      <c r="N54" s="71"/>
      <c r="O54" s="83"/>
    </row>
    <row r="55" spans="2:15" ht="19.5" customHeight="1" thickBot="1">
      <c r="B55" s="65"/>
      <c r="C55" s="66"/>
      <c r="D55" s="92" t="s">
        <v>53</v>
      </c>
      <c r="E55" s="93"/>
      <c r="F55" s="93"/>
      <c r="G55" s="94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E8F4-93C7-45D6-8DE3-6176831179B8}">
  <sheetPr codeName="Sheet3"/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45395</v>
      </c>
      <c r="G3" s="26" t="s">
        <v>48</v>
      </c>
      <c r="H3" s="25">
        <v>45396</v>
      </c>
      <c r="I3" s="26" t="s">
        <v>50</v>
      </c>
      <c r="J3" s="25">
        <v>45398</v>
      </c>
      <c r="K3" s="26" t="s">
        <v>48</v>
      </c>
      <c r="L3" s="25">
        <v>45399</v>
      </c>
      <c r="M3" s="26" t="s">
        <v>49</v>
      </c>
      <c r="N3" s="25">
        <v>45400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81.8</v>
      </c>
      <c r="G5" s="384" t="s">
        <v>45</v>
      </c>
      <c r="H5" s="9">
        <v>92.9</v>
      </c>
      <c r="I5" s="384" t="s">
        <v>45</v>
      </c>
      <c r="J5" s="9">
        <v>95.7</v>
      </c>
      <c r="K5" s="384" t="s">
        <v>45</v>
      </c>
      <c r="L5" s="9">
        <v>96.3</v>
      </c>
      <c r="M5" s="384" t="s">
        <v>45</v>
      </c>
      <c r="N5" s="9">
        <v>96.1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44.7</v>
      </c>
      <c r="G6" s="385"/>
      <c r="H6" s="10">
        <v>43.2</v>
      </c>
      <c r="I6" s="385"/>
      <c r="J6" s="10">
        <v>63.1</v>
      </c>
      <c r="K6" s="385"/>
      <c r="L6" s="10">
        <v>69.7</v>
      </c>
      <c r="M6" s="385"/>
      <c r="N6" s="10">
        <v>57.3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299.2</v>
      </c>
      <c r="G7" s="385"/>
      <c r="H7" s="28">
        <v>299.3</v>
      </c>
      <c r="I7" s="385"/>
      <c r="J7" s="28">
        <v>299.39999999999998</v>
      </c>
      <c r="K7" s="385"/>
      <c r="L7" s="28">
        <v>299.3</v>
      </c>
      <c r="M7" s="385"/>
      <c r="N7" s="28">
        <v>299.2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48.100000000000151</v>
      </c>
      <c r="G8" s="385"/>
      <c r="H8" s="29">
        <v>45.899999999999842</v>
      </c>
      <c r="I8" s="385"/>
      <c r="J8" s="29">
        <v>46.6</v>
      </c>
      <c r="K8" s="385"/>
      <c r="L8" s="29">
        <v>39.900000000000148</v>
      </c>
      <c r="M8" s="385"/>
      <c r="N8" s="29">
        <v>40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16.899999999999999</v>
      </c>
      <c r="G9" s="385"/>
      <c r="H9" s="30">
        <v>16.7</v>
      </c>
      <c r="I9" s="385"/>
      <c r="J9" s="30">
        <v>16.7</v>
      </c>
      <c r="K9" s="385"/>
      <c r="L9" s="30">
        <v>16.8</v>
      </c>
      <c r="M9" s="385"/>
      <c r="N9" s="30">
        <v>16.8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36.299999999999997</v>
      </c>
      <c r="G10" s="385"/>
      <c r="H10" s="11">
        <v>36.299999999999997</v>
      </c>
      <c r="I10" s="385"/>
      <c r="J10" s="11">
        <v>36.9</v>
      </c>
      <c r="K10" s="385"/>
      <c r="L10" s="11">
        <v>29.5</v>
      </c>
      <c r="M10" s="385"/>
      <c r="N10" s="11">
        <v>29.5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20.3</v>
      </c>
      <c r="G11" s="385"/>
      <c r="H11" s="12">
        <v>19.600000000000001</v>
      </c>
      <c r="I11" s="385"/>
      <c r="J11" s="12">
        <v>22.3</v>
      </c>
      <c r="K11" s="385"/>
      <c r="L11" s="12">
        <v>22.2</v>
      </c>
      <c r="M11" s="385"/>
      <c r="N11" s="12">
        <v>21.3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584.20000000000005</v>
      </c>
      <c r="G12" s="385"/>
      <c r="H12" s="13">
        <v>865.2</v>
      </c>
      <c r="I12" s="385"/>
      <c r="J12" s="13">
        <v>698.9</v>
      </c>
      <c r="K12" s="385"/>
      <c r="L12" s="13">
        <v>842.7</v>
      </c>
      <c r="M12" s="385"/>
      <c r="N12" s="13">
        <v>923.2</v>
      </c>
      <c r="O12" s="385"/>
    </row>
    <row r="13" spans="2:15" ht="16">
      <c r="B13" s="376"/>
      <c r="C13" s="379"/>
      <c r="D13" s="388"/>
      <c r="E13" s="45" t="s">
        <v>27</v>
      </c>
      <c r="F13" s="13">
        <v>7.1</v>
      </c>
      <c r="G13" s="385"/>
      <c r="H13" s="13">
        <v>10.1</v>
      </c>
      <c r="I13" s="385"/>
      <c r="J13" s="13">
        <v>5.4</v>
      </c>
      <c r="K13" s="385"/>
      <c r="L13" s="13">
        <v>1.3</v>
      </c>
      <c r="M13" s="385"/>
      <c r="N13" s="13">
        <v>8.4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378</v>
      </c>
      <c r="G14" s="385"/>
      <c r="H14" s="14">
        <v>222</v>
      </c>
      <c r="I14" s="385"/>
      <c r="J14" s="14">
        <v>378</v>
      </c>
      <c r="K14" s="385"/>
      <c r="L14" s="14">
        <v>222</v>
      </c>
      <c r="M14" s="385"/>
      <c r="N14" s="14">
        <v>222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1516.6</v>
      </c>
      <c r="G15" s="385"/>
      <c r="H15" s="15">
        <v>1651.1999999999998</v>
      </c>
      <c r="I15" s="385"/>
      <c r="J15" s="15">
        <v>1663</v>
      </c>
      <c r="K15" s="385"/>
      <c r="L15" s="15">
        <v>1639.7</v>
      </c>
      <c r="M15" s="385"/>
      <c r="N15" s="15">
        <v>1713.8000000000002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779.5</v>
      </c>
      <c r="G16" s="385"/>
      <c r="H16" s="8">
        <v>715</v>
      </c>
      <c r="I16" s="385"/>
      <c r="J16" s="8">
        <v>855</v>
      </c>
      <c r="K16" s="385"/>
      <c r="L16" s="8">
        <v>882.7</v>
      </c>
      <c r="M16" s="385"/>
      <c r="N16" s="8">
        <v>875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-219.2</v>
      </c>
      <c r="K17" s="385"/>
      <c r="L17" s="16">
        <v>-185.2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-104.1</v>
      </c>
      <c r="G19" s="385"/>
      <c r="H19" s="18">
        <v>-96.6</v>
      </c>
      <c r="I19" s="385"/>
      <c r="J19" s="18">
        <v>-141.80000000000001</v>
      </c>
      <c r="K19" s="385"/>
      <c r="L19" s="18">
        <v>-159</v>
      </c>
      <c r="M19" s="385"/>
      <c r="N19" s="18">
        <v>-159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1107.8</v>
      </c>
      <c r="G21" s="386"/>
      <c r="H21" s="27">
        <v>1035.8</v>
      </c>
      <c r="I21" s="386"/>
      <c r="J21" s="27">
        <v>1221</v>
      </c>
      <c r="K21" s="386"/>
      <c r="L21" s="27">
        <v>1231.9000000000001</v>
      </c>
      <c r="M21" s="386"/>
      <c r="N21" s="27">
        <v>1258.2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1516.6</v>
      </c>
      <c r="G23" s="400"/>
      <c r="H23" s="20">
        <v>1651.1999999999998</v>
      </c>
      <c r="I23" s="400"/>
      <c r="J23" s="20">
        <v>1663</v>
      </c>
      <c r="K23" s="400"/>
      <c r="L23" s="20">
        <v>1639.7</v>
      </c>
      <c r="M23" s="400"/>
      <c r="N23" s="20">
        <v>1713.8000000000002</v>
      </c>
      <c r="O23" s="400"/>
    </row>
    <row r="24" spans="2:15" ht="16">
      <c r="B24" s="409"/>
      <c r="C24" s="403" t="s">
        <v>37</v>
      </c>
      <c r="D24" s="404"/>
      <c r="E24" s="405"/>
      <c r="F24" s="21">
        <v>1107.8</v>
      </c>
      <c r="G24" s="401"/>
      <c r="H24" s="21">
        <v>1035.8</v>
      </c>
      <c r="I24" s="401"/>
      <c r="J24" s="21">
        <v>1221</v>
      </c>
      <c r="K24" s="401"/>
      <c r="L24" s="21">
        <v>1231.9000000000001</v>
      </c>
      <c r="M24" s="401"/>
      <c r="N24" s="21">
        <v>1258.2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408.79999999999995</v>
      </c>
      <c r="G25" s="402"/>
      <c r="H25" s="67">
        <v>615.39999999999986</v>
      </c>
      <c r="I25" s="402"/>
      <c r="J25" s="67">
        <v>442</v>
      </c>
      <c r="K25" s="402"/>
      <c r="L25" s="67">
        <v>407.79999999999995</v>
      </c>
      <c r="M25" s="402"/>
      <c r="N25" s="67">
        <v>455.60000000000014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 customHeight="1">
      <c r="B51" s="64"/>
      <c r="C51" s="71"/>
      <c r="D51" s="90" t="s">
        <v>22</v>
      </c>
      <c r="E51" s="9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9.5" customHeight="1">
      <c r="B52" s="64"/>
      <c r="C52" s="71"/>
      <c r="D52" s="90" t="s">
        <v>23</v>
      </c>
      <c r="E52" s="9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 customHeight="1">
      <c r="B53" s="64"/>
      <c r="C53" s="71"/>
      <c r="D53" s="90" t="s">
        <v>51</v>
      </c>
      <c r="E53" s="9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 ht="19.5" customHeight="1">
      <c r="B54" s="64"/>
      <c r="C54" s="71"/>
      <c r="D54" s="90" t="s">
        <v>52</v>
      </c>
      <c r="E54" s="9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9.5" customHeight="1" thickBot="1">
      <c r="B55" s="65"/>
      <c r="C55" s="66"/>
      <c r="D55" s="92" t="s">
        <v>53</v>
      </c>
      <c r="E55" s="93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44B0-5F3F-4E89-8D60-A9DC2FE8CCE0}">
  <sheetPr codeName="Sheet4"/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45401</v>
      </c>
      <c r="G3" s="26" t="s">
        <v>48</v>
      </c>
      <c r="H3" s="25">
        <v>45406</v>
      </c>
      <c r="I3" s="26" t="s">
        <v>48</v>
      </c>
      <c r="J3" s="25">
        <v>45407</v>
      </c>
      <c r="K3" s="26" t="s">
        <v>48</v>
      </c>
      <c r="L3" s="25">
        <v>45409</v>
      </c>
      <c r="M3" s="26" t="s">
        <v>48</v>
      </c>
      <c r="N3" s="25">
        <v>45410</v>
      </c>
      <c r="O3" s="26" t="s">
        <v>50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96.3</v>
      </c>
      <c r="G5" s="384" t="s">
        <v>45</v>
      </c>
      <c r="H5" s="9">
        <v>83.5</v>
      </c>
      <c r="I5" s="384" t="s">
        <v>45</v>
      </c>
      <c r="J5" s="9">
        <v>83.5</v>
      </c>
      <c r="K5" s="384" t="s">
        <v>45</v>
      </c>
      <c r="L5" s="9">
        <v>81.5</v>
      </c>
      <c r="M5" s="384" t="s">
        <v>45</v>
      </c>
      <c r="N5" s="9">
        <v>80.5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57.1</v>
      </c>
      <c r="G6" s="385"/>
      <c r="H6" s="10">
        <v>68.5</v>
      </c>
      <c r="I6" s="385"/>
      <c r="J6" s="10">
        <v>69.7</v>
      </c>
      <c r="K6" s="385"/>
      <c r="L6" s="10">
        <v>49.7</v>
      </c>
      <c r="M6" s="385"/>
      <c r="N6" s="10">
        <v>52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299.2</v>
      </c>
      <c r="G7" s="385"/>
      <c r="H7" s="28">
        <v>298.8</v>
      </c>
      <c r="I7" s="385"/>
      <c r="J7" s="28">
        <v>298.89999999999998</v>
      </c>
      <c r="K7" s="385"/>
      <c r="L7" s="28">
        <v>299.10000000000002</v>
      </c>
      <c r="M7" s="385"/>
      <c r="N7" s="28">
        <v>299.2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38.1</v>
      </c>
      <c r="G8" s="385"/>
      <c r="H8" s="29">
        <v>52.3</v>
      </c>
      <c r="I8" s="385"/>
      <c r="J8" s="29">
        <v>39.4</v>
      </c>
      <c r="K8" s="385"/>
      <c r="L8" s="29">
        <v>36.399999999999977</v>
      </c>
      <c r="M8" s="385"/>
      <c r="N8" s="29">
        <v>36.1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16.2</v>
      </c>
      <c r="G9" s="385"/>
      <c r="H9" s="30">
        <v>16.5</v>
      </c>
      <c r="I9" s="385"/>
      <c r="J9" s="30">
        <v>16.3</v>
      </c>
      <c r="K9" s="385"/>
      <c r="L9" s="30">
        <v>16.8</v>
      </c>
      <c r="M9" s="385"/>
      <c r="N9" s="30">
        <v>16.8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29.5</v>
      </c>
      <c r="G10" s="385"/>
      <c r="H10" s="11">
        <v>29.5</v>
      </c>
      <c r="I10" s="385"/>
      <c r="J10" s="11">
        <v>31.7</v>
      </c>
      <c r="K10" s="385"/>
      <c r="L10" s="11">
        <v>29.5</v>
      </c>
      <c r="M10" s="385"/>
      <c r="N10" s="11">
        <v>29.5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21.5</v>
      </c>
      <c r="G11" s="385"/>
      <c r="H11" s="12">
        <v>24.4</v>
      </c>
      <c r="I11" s="385"/>
      <c r="J11" s="12">
        <v>23.6</v>
      </c>
      <c r="K11" s="385"/>
      <c r="L11" s="12">
        <v>26.3</v>
      </c>
      <c r="M11" s="385"/>
      <c r="N11" s="12">
        <v>25.5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931.1</v>
      </c>
      <c r="G12" s="385"/>
      <c r="H12" s="13">
        <v>688.5</v>
      </c>
      <c r="I12" s="385"/>
      <c r="J12" s="13">
        <v>935.1</v>
      </c>
      <c r="K12" s="385"/>
      <c r="L12" s="13">
        <v>583.20000000000005</v>
      </c>
      <c r="M12" s="385"/>
      <c r="N12" s="13">
        <v>764.4</v>
      </c>
      <c r="O12" s="385"/>
    </row>
    <row r="13" spans="2:15" ht="16">
      <c r="B13" s="376"/>
      <c r="C13" s="379"/>
      <c r="D13" s="388"/>
      <c r="E13" s="45" t="s">
        <v>27</v>
      </c>
      <c r="F13" s="13">
        <v>1</v>
      </c>
      <c r="G13" s="385"/>
      <c r="H13" s="13">
        <v>13.2</v>
      </c>
      <c r="I13" s="385"/>
      <c r="J13" s="13">
        <v>3.7</v>
      </c>
      <c r="K13" s="385"/>
      <c r="L13" s="13">
        <v>5.7</v>
      </c>
      <c r="M13" s="385"/>
      <c r="N13" s="13">
        <v>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222</v>
      </c>
      <c r="G14" s="385"/>
      <c r="H14" s="14">
        <v>378</v>
      </c>
      <c r="I14" s="385"/>
      <c r="J14" s="14">
        <v>222</v>
      </c>
      <c r="K14" s="385"/>
      <c r="L14" s="14">
        <v>378</v>
      </c>
      <c r="M14" s="385"/>
      <c r="N14" s="14">
        <v>378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1712</v>
      </c>
      <c r="G15" s="385"/>
      <c r="H15" s="15">
        <v>1653.2</v>
      </c>
      <c r="I15" s="385"/>
      <c r="J15" s="15">
        <v>1723.9</v>
      </c>
      <c r="K15" s="385"/>
      <c r="L15" s="15">
        <v>1506.2</v>
      </c>
      <c r="M15" s="385"/>
      <c r="N15" s="15">
        <v>1685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885</v>
      </c>
      <c r="G16" s="385"/>
      <c r="H16" s="8">
        <v>865</v>
      </c>
      <c r="I16" s="385"/>
      <c r="J16" s="8">
        <v>865</v>
      </c>
      <c r="K16" s="385"/>
      <c r="L16" s="8">
        <v>766.8</v>
      </c>
      <c r="M16" s="385"/>
      <c r="N16" s="8">
        <v>715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-219.2</v>
      </c>
      <c r="I17" s="385"/>
      <c r="J17" s="16">
        <v>-151.19999999999999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-159</v>
      </c>
      <c r="G19" s="385"/>
      <c r="H19" s="18">
        <v>-201.3</v>
      </c>
      <c r="I19" s="385"/>
      <c r="J19" s="18">
        <v>-197.6</v>
      </c>
      <c r="K19" s="385"/>
      <c r="L19" s="18">
        <v>-176.8</v>
      </c>
      <c r="M19" s="385"/>
      <c r="N19" s="18">
        <v>-127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1268.2</v>
      </c>
      <c r="G21" s="386"/>
      <c r="H21" s="27">
        <v>1290.5</v>
      </c>
      <c r="I21" s="386"/>
      <c r="J21" s="27">
        <v>1218.8</v>
      </c>
      <c r="K21" s="386"/>
      <c r="L21" s="27">
        <v>1133.8</v>
      </c>
      <c r="M21" s="386"/>
      <c r="N21" s="27">
        <v>1032.2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1712</v>
      </c>
      <c r="G23" s="400"/>
      <c r="H23" s="20">
        <v>1653.2</v>
      </c>
      <c r="I23" s="400"/>
      <c r="J23" s="20">
        <v>1723.9</v>
      </c>
      <c r="K23" s="400"/>
      <c r="L23" s="20">
        <v>1506.2</v>
      </c>
      <c r="M23" s="400"/>
      <c r="N23" s="20">
        <v>1685</v>
      </c>
      <c r="O23" s="400"/>
    </row>
    <row r="24" spans="2:15" ht="16">
      <c r="B24" s="409"/>
      <c r="C24" s="403" t="s">
        <v>37</v>
      </c>
      <c r="D24" s="404"/>
      <c r="E24" s="405"/>
      <c r="F24" s="21">
        <v>1268.2</v>
      </c>
      <c r="G24" s="401"/>
      <c r="H24" s="21">
        <v>1290.5</v>
      </c>
      <c r="I24" s="401"/>
      <c r="J24" s="21">
        <v>1218.8</v>
      </c>
      <c r="K24" s="401"/>
      <c r="L24" s="21">
        <v>1133.8</v>
      </c>
      <c r="M24" s="401"/>
      <c r="N24" s="21">
        <v>1032.2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443.79999999999995</v>
      </c>
      <c r="G25" s="402"/>
      <c r="H25" s="67">
        <v>362.70000000000005</v>
      </c>
      <c r="I25" s="402"/>
      <c r="J25" s="67">
        <v>505.10000000000014</v>
      </c>
      <c r="K25" s="402"/>
      <c r="L25" s="67">
        <v>372.40000000000009</v>
      </c>
      <c r="M25" s="402"/>
      <c r="N25" s="67">
        <v>652.79999999999995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 customHeight="1">
      <c r="B51" s="64"/>
      <c r="C51" s="71"/>
      <c r="D51" s="90" t="s">
        <v>22</v>
      </c>
      <c r="E51" s="91"/>
      <c r="F51" s="71"/>
      <c r="G51" s="71"/>
      <c r="H51" s="71"/>
      <c r="I51" s="71"/>
      <c r="J51" s="71"/>
      <c r="K51" s="71"/>
      <c r="L51" s="71"/>
      <c r="M51" s="71"/>
      <c r="N51" s="71"/>
      <c r="O51" s="83"/>
    </row>
    <row r="52" spans="2:15" ht="19.5" customHeight="1">
      <c r="B52" s="64"/>
      <c r="C52" s="71"/>
      <c r="D52" s="90" t="s">
        <v>23</v>
      </c>
      <c r="E52" s="91"/>
      <c r="F52" s="71"/>
      <c r="G52" s="71"/>
      <c r="H52" s="71"/>
      <c r="I52" s="71"/>
      <c r="J52" s="71"/>
      <c r="K52" s="71"/>
      <c r="L52" s="71"/>
      <c r="M52" s="71"/>
      <c r="N52" s="71"/>
      <c r="O52" s="83"/>
    </row>
    <row r="53" spans="2:15" ht="19.5" customHeight="1">
      <c r="B53" s="64"/>
      <c r="C53" s="71"/>
      <c r="D53" s="90" t="s">
        <v>51</v>
      </c>
      <c r="E53" s="91"/>
      <c r="F53" s="71"/>
      <c r="G53" s="71"/>
      <c r="H53" s="71"/>
      <c r="I53" s="71"/>
      <c r="J53" s="71"/>
      <c r="K53" s="71"/>
      <c r="L53" s="71"/>
      <c r="M53" s="71"/>
      <c r="N53" s="71"/>
      <c r="O53" s="83"/>
    </row>
    <row r="54" spans="2:15" ht="19.5" customHeight="1">
      <c r="B54" s="64"/>
      <c r="C54" s="71"/>
      <c r="D54" s="90" t="s">
        <v>52</v>
      </c>
      <c r="E54" s="91"/>
      <c r="F54" s="71"/>
      <c r="G54" s="71"/>
      <c r="H54" s="71"/>
      <c r="I54" s="71"/>
      <c r="J54" s="71"/>
      <c r="K54" s="71"/>
      <c r="L54" s="71"/>
      <c r="M54" s="71"/>
      <c r="N54" s="71"/>
      <c r="O54" s="83"/>
    </row>
    <row r="55" spans="2:15" ht="19.5" customHeight="1" thickBot="1">
      <c r="B55" s="65"/>
      <c r="C55" s="66"/>
      <c r="D55" s="92" t="s">
        <v>53</v>
      </c>
      <c r="E55" s="93"/>
      <c r="F55" s="66"/>
      <c r="G55" s="66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日別の需給状況・再エネ出力抑制の必要性（2024年4月）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85BC-DBB2-48F4-AB93-90511D4226C5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45383</v>
      </c>
      <c r="G3" s="516"/>
      <c r="H3" s="516"/>
      <c r="I3" s="517"/>
      <c r="J3" s="515">
        <v>45389</v>
      </c>
      <c r="K3" s="516"/>
      <c r="L3" s="516"/>
      <c r="M3" s="517"/>
      <c r="N3" s="515">
        <v>45391</v>
      </c>
      <c r="O3" s="516"/>
      <c r="P3" s="516"/>
      <c r="Q3" s="517"/>
      <c r="R3" s="515">
        <v>45392</v>
      </c>
      <c r="S3" s="516"/>
      <c r="T3" s="516"/>
      <c r="U3" s="517"/>
      <c r="V3" s="515">
        <v>45394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53.7</v>
      </c>
      <c r="G8" s="216">
        <v>53.7</v>
      </c>
      <c r="H8" s="215">
        <v>0</v>
      </c>
      <c r="I8" s="214"/>
      <c r="J8" s="217">
        <v>52.300000000000004</v>
      </c>
      <c r="K8" s="216">
        <v>52.300000000000004</v>
      </c>
      <c r="L8" s="215">
        <v>0</v>
      </c>
      <c r="M8" s="214"/>
      <c r="N8" s="217">
        <v>54.300000000000004</v>
      </c>
      <c r="O8" s="216">
        <v>54.300000000000004</v>
      </c>
      <c r="P8" s="215">
        <v>0</v>
      </c>
      <c r="Q8" s="214"/>
      <c r="R8" s="217">
        <v>54</v>
      </c>
      <c r="S8" s="216">
        <v>54</v>
      </c>
      <c r="T8" s="215">
        <v>0</v>
      </c>
      <c r="U8" s="214"/>
      <c r="V8" s="217">
        <v>53.900000000000006</v>
      </c>
      <c r="W8" s="216">
        <v>53.900000000000006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95.100000000000009</v>
      </c>
      <c r="G9" s="187">
        <v>95.100000000000009</v>
      </c>
      <c r="H9" s="187">
        <v>0</v>
      </c>
      <c r="I9" s="213" t="s">
        <v>81</v>
      </c>
      <c r="J9" s="188">
        <v>93.700000000000017</v>
      </c>
      <c r="K9" s="187">
        <v>93.700000000000017</v>
      </c>
      <c r="L9" s="187">
        <v>0</v>
      </c>
      <c r="M9" s="213" t="s">
        <v>81</v>
      </c>
      <c r="N9" s="188">
        <v>95.700000000000017</v>
      </c>
      <c r="O9" s="187">
        <v>95.700000000000017</v>
      </c>
      <c r="P9" s="187">
        <v>0</v>
      </c>
      <c r="Q9" s="213" t="s">
        <v>81</v>
      </c>
      <c r="R9" s="188">
        <v>95.4</v>
      </c>
      <c r="S9" s="187">
        <v>95.4</v>
      </c>
      <c r="T9" s="187">
        <v>0</v>
      </c>
      <c r="U9" s="213" t="s">
        <v>81</v>
      </c>
      <c r="V9" s="188">
        <v>95.300000000000011</v>
      </c>
      <c r="W9" s="187">
        <v>95.300000000000011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45383</v>
      </c>
      <c r="G11" s="433"/>
      <c r="H11" s="433"/>
      <c r="I11" s="434"/>
      <c r="J11" s="432">
        <v>45389</v>
      </c>
      <c r="K11" s="433"/>
      <c r="L11" s="433"/>
      <c r="M11" s="434"/>
      <c r="N11" s="432">
        <v>45391</v>
      </c>
      <c r="O11" s="433"/>
      <c r="P11" s="433"/>
      <c r="Q11" s="434"/>
      <c r="R11" s="432">
        <v>45392</v>
      </c>
      <c r="S11" s="433"/>
      <c r="T11" s="433"/>
      <c r="U11" s="434"/>
      <c r="V11" s="432">
        <v>45394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0</v>
      </c>
      <c r="H15" s="164">
        <v>32.5</v>
      </c>
      <c r="I15" s="189" t="s">
        <v>123</v>
      </c>
      <c r="J15" s="166">
        <v>-32.5</v>
      </c>
      <c r="K15" s="165">
        <v>0</v>
      </c>
      <c r="L15" s="164">
        <v>32.5</v>
      </c>
      <c r="M15" s="189" t="s">
        <v>123</v>
      </c>
      <c r="N15" s="166">
        <v>-32.5</v>
      </c>
      <c r="O15" s="165">
        <v>0</v>
      </c>
      <c r="P15" s="164">
        <v>32.5</v>
      </c>
      <c r="Q15" s="189" t="s">
        <v>123</v>
      </c>
      <c r="R15" s="166">
        <v>-32.5</v>
      </c>
      <c r="S15" s="165">
        <v>0</v>
      </c>
      <c r="T15" s="164">
        <v>32.5</v>
      </c>
      <c r="U15" s="189" t="s">
        <v>123</v>
      </c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0</v>
      </c>
      <c r="H16" s="164">
        <v>32.5</v>
      </c>
      <c r="I16" s="189" t="s">
        <v>123</v>
      </c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123</v>
      </c>
      <c r="J18" s="166">
        <v>-34</v>
      </c>
      <c r="K18" s="165">
        <v>0</v>
      </c>
      <c r="L18" s="164">
        <v>34</v>
      </c>
      <c r="M18" s="189" t="s">
        <v>123</v>
      </c>
      <c r="N18" s="166">
        <v>-34</v>
      </c>
      <c r="O18" s="165">
        <v>0</v>
      </c>
      <c r="P18" s="164">
        <v>34</v>
      </c>
      <c r="Q18" s="189" t="s">
        <v>123</v>
      </c>
      <c r="R18" s="166">
        <v>-34</v>
      </c>
      <c r="S18" s="165">
        <v>0</v>
      </c>
      <c r="T18" s="164">
        <v>34</v>
      </c>
      <c r="U18" s="189" t="s">
        <v>123</v>
      </c>
      <c r="V18" s="166">
        <v>-34</v>
      </c>
      <c r="W18" s="165">
        <v>0</v>
      </c>
      <c r="X18" s="164">
        <v>34</v>
      </c>
      <c r="Y18" s="189" t="s">
        <v>123</v>
      </c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-154.19999999999999</v>
      </c>
      <c r="H21" s="187">
        <v>99</v>
      </c>
      <c r="I21" s="186" t="s">
        <v>81</v>
      </c>
      <c r="J21" s="188">
        <v>-253.2</v>
      </c>
      <c r="K21" s="187">
        <v>-186.7</v>
      </c>
      <c r="L21" s="187">
        <v>66.5</v>
      </c>
      <c r="M21" s="186" t="s">
        <v>81</v>
      </c>
      <c r="N21" s="188">
        <v>-253.2</v>
      </c>
      <c r="O21" s="187">
        <v>-186.7</v>
      </c>
      <c r="P21" s="187">
        <v>66.5</v>
      </c>
      <c r="Q21" s="186" t="s">
        <v>81</v>
      </c>
      <c r="R21" s="188">
        <v>-253.2</v>
      </c>
      <c r="S21" s="187">
        <v>-186.7</v>
      </c>
      <c r="T21" s="187">
        <v>66.5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45383</v>
      </c>
      <c r="G23" s="433"/>
      <c r="H23" s="433"/>
      <c r="I23" s="434"/>
      <c r="J23" s="432">
        <v>45389</v>
      </c>
      <c r="K23" s="433"/>
      <c r="L23" s="433"/>
      <c r="M23" s="434"/>
      <c r="N23" s="432">
        <v>45391</v>
      </c>
      <c r="O23" s="433"/>
      <c r="P23" s="433"/>
      <c r="Q23" s="434"/>
      <c r="R23" s="432">
        <v>45392</v>
      </c>
      <c r="S23" s="433"/>
      <c r="T23" s="433"/>
      <c r="U23" s="434"/>
      <c r="V23" s="432">
        <v>45394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45383</v>
      </c>
      <c r="G27" s="433"/>
      <c r="H27" s="433"/>
      <c r="I27" s="434"/>
      <c r="J27" s="432">
        <v>45389</v>
      </c>
      <c r="K27" s="433"/>
      <c r="L27" s="433"/>
      <c r="M27" s="434"/>
      <c r="N27" s="432">
        <v>45391</v>
      </c>
      <c r="O27" s="433"/>
      <c r="P27" s="433"/>
      <c r="Q27" s="434"/>
      <c r="R27" s="432">
        <v>45392</v>
      </c>
      <c r="S27" s="433"/>
      <c r="T27" s="433"/>
      <c r="U27" s="434"/>
      <c r="V27" s="432">
        <v>45394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36.9</v>
      </c>
      <c r="H31" s="457">
        <v>9.6999999999999993</v>
      </c>
      <c r="I31" s="459" t="s">
        <v>108</v>
      </c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36.9</v>
      </c>
      <c r="P31" s="457">
        <v>9.6999999999999993</v>
      </c>
      <c r="Q31" s="459" t="s">
        <v>108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36.9</v>
      </c>
      <c r="X31" s="457">
        <v>9.6999999999999993</v>
      </c>
      <c r="Y31" s="459" t="s">
        <v>108</v>
      </c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29.5</v>
      </c>
      <c r="G33" s="199">
        <v>28.9</v>
      </c>
      <c r="H33" s="457">
        <v>-0.60000000000000142</v>
      </c>
      <c r="I33" s="459" t="s">
        <v>95</v>
      </c>
      <c r="J33" s="200">
        <v>29.5</v>
      </c>
      <c r="K33" s="199">
        <v>22.6</v>
      </c>
      <c r="L33" s="457">
        <v>-6.8999999999999986</v>
      </c>
      <c r="M33" s="459" t="s">
        <v>95</v>
      </c>
      <c r="N33" s="200">
        <v>29.5</v>
      </c>
      <c r="O33" s="199">
        <v>39.1</v>
      </c>
      <c r="P33" s="457">
        <v>9.6000000000000014</v>
      </c>
      <c r="Q33" s="459" t="s">
        <v>105</v>
      </c>
      <c r="R33" s="200">
        <v>29.5</v>
      </c>
      <c r="S33" s="199">
        <v>44.3</v>
      </c>
      <c r="T33" s="457">
        <v>14.799999999999997</v>
      </c>
      <c r="U33" s="459" t="s">
        <v>105</v>
      </c>
      <c r="V33" s="200">
        <v>23.9</v>
      </c>
      <c r="W33" s="199">
        <v>33.700000000000003</v>
      </c>
      <c r="X33" s="457">
        <v>9.8000000000000043</v>
      </c>
      <c r="Y33" s="459" t="s">
        <v>105</v>
      </c>
    </row>
    <row r="34" spans="3:25" ht="16">
      <c r="C34" s="528"/>
      <c r="D34" s="467"/>
      <c r="E34" s="463" t="s">
        <v>104</v>
      </c>
      <c r="F34" s="198">
        <v>0.22</v>
      </c>
      <c r="G34" s="197">
        <v>0.22</v>
      </c>
      <c r="H34" s="458"/>
      <c r="I34" s="460"/>
      <c r="J34" s="198">
        <v>0.22</v>
      </c>
      <c r="K34" s="197">
        <v>0.17</v>
      </c>
      <c r="L34" s="458"/>
      <c r="M34" s="460"/>
      <c r="N34" s="198">
        <v>0.22</v>
      </c>
      <c r="O34" s="197">
        <v>0.28999999999999998</v>
      </c>
      <c r="P34" s="458"/>
      <c r="Q34" s="460"/>
      <c r="R34" s="198">
        <v>0.22</v>
      </c>
      <c r="S34" s="197">
        <v>0.33</v>
      </c>
      <c r="T34" s="458"/>
      <c r="U34" s="460"/>
      <c r="V34" s="198">
        <v>0.19</v>
      </c>
      <c r="W34" s="197">
        <v>0.27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0.40000000000000141</v>
      </c>
      <c r="H37" s="164">
        <v>-9.5999999999999979</v>
      </c>
      <c r="I37" s="189" t="s">
        <v>102</v>
      </c>
      <c r="J37" s="166">
        <v>10</v>
      </c>
      <c r="K37" s="165">
        <v>0.4</v>
      </c>
      <c r="L37" s="164">
        <v>-9.6</v>
      </c>
      <c r="M37" s="189" t="s">
        <v>102</v>
      </c>
      <c r="N37" s="166">
        <v>10</v>
      </c>
      <c r="O37" s="165">
        <v>0.4</v>
      </c>
      <c r="P37" s="164">
        <v>-9.6</v>
      </c>
      <c r="Q37" s="189" t="s">
        <v>102</v>
      </c>
      <c r="R37" s="166">
        <v>10</v>
      </c>
      <c r="S37" s="165">
        <v>0.3</v>
      </c>
      <c r="T37" s="164">
        <v>-9.6999999999999993</v>
      </c>
      <c r="U37" s="189" t="s">
        <v>102</v>
      </c>
      <c r="V37" s="166">
        <v>10</v>
      </c>
      <c r="W37" s="165">
        <v>0.2</v>
      </c>
      <c r="X37" s="164">
        <v>-9.8000000000000007</v>
      </c>
      <c r="Y37" s="189" t="s">
        <v>102</v>
      </c>
    </row>
    <row r="38" spans="3:25" ht="16.5" thickBot="1">
      <c r="C38" s="529"/>
      <c r="D38" s="427" t="s">
        <v>101</v>
      </c>
      <c r="E38" s="428"/>
      <c r="F38" s="188">
        <v>66.7</v>
      </c>
      <c r="G38" s="187">
        <v>66.2</v>
      </c>
      <c r="H38" s="187">
        <v>-0.5</v>
      </c>
      <c r="I38" s="186"/>
      <c r="J38" s="188">
        <v>66.7</v>
      </c>
      <c r="K38" s="187">
        <v>50.199999999999996</v>
      </c>
      <c r="L38" s="187">
        <v>-16.5</v>
      </c>
      <c r="M38" s="186"/>
      <c r="N38" s="188">
        <v>66.7</v>
      </c>
      <c r="O38" s="187">
        <v>76.400000000000006</v>
      </c>
      <c r="P38" s="187">
        <v>9.7000000000000011</v>
      </c>
      <c r="Q38" s="186"/>
      <c r="R38" s="188">
        <v>66.7</v>
      </c>
      <c r="S38" s="187">
        <v>71.8</v>
      </c>
      <c r="T38" s="187">
        <v>5.0999999999999979</v>
      </c>
      <c r="U38" s="186"/>
      <c r="V38" s="188">
        <v>61.099999999999994</v>
      </c>
      <c r="W38" s="187">
        <v>70.8</v>
      </c>
      <c r="X38" s="187">
        <v>9.7000000000000028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45383</v>
      </c>
      <c r="G40" s="470"/>
      <c r="H40" s="470"/>
      <c r="I40" s="471"/>
      <c r="J40" s="469">
        <v>45389</v>
      </c>
      <c r="K40" s="470"/>
      <c r="L40" s="470"/>
      <c r="M40" s="471"/>
      <c r="N40" s="469">
        <v>45391</v>
      </c>
      <c r="O40" s="470"/>
      <c r="P40" s="470"/>
      <c r="Q40" s="471"/>
      <c r="R40" s="469">
        <v>45392</v>
      </c>
      <c r="S40" s="470"/>
      <c r="T40" s="470"/>
      <c r="U40" s="471"/>
      <c r="V40" s="469">
        <v>45394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127.4</v>
      </c>
      <c r="K42" s="478">
        <v>0</v>
      </c>
      <c r="L42" s="457">
        <v>-127.4</v>
      </c>
      <c r="M42" s="459" t="s">
        <v>95</v>
      </c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31.6</v>
      </c>
      <c r="W42" s="478">
        <v>0</v>
      </c>
      <c r="X42" s="457">
        <v>-31.6</v>
      </c>
      <c r="Y42" s="459" t="s">
        <v>95</v>
      </c>
    </row>
    <row r="43" spans="3:25" ht="16.5" thickBot="1">
      <c r="C43" s="531"/>
      <c r="D43" s="475"/>
      <c r="E43" s="477"/>
      <c r="F43" s="183">
        <v>225.7</v>
      </c>
      <c r="G43" s="479"/>
      <c r="H43" s="480"/>
      <c r="I43" s="481"/>
      <c r="J43" s="183">
        <v>184</v>
      </c>
      <c r="K43" s="479"/>
      <c r="L43" s="480"/>
      <c r="M43" s="481"/>
      <c r="N43" s="183">
        <v>223.7</v>
      </c>
      <c r="O43" s="479"/>
      <c r="P43" s="480"/>
      <c r="Q43" s="481"/>
      <c r="R43" s="183">
        <v>159</v>
      </c>
      <c r="S43" s="479"/>
      <c r="T43" s="480"/>
      <c r="U43" s="481"/>
      <c r="V43" s="183">
        <v>190.6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45383</v>
      </c>
      <c r="G45" s="470"/>
      <c r="H45" s="470"/>
      <c r="I45" s="471"/>
      <c r="J45" s="469">
        <v>45389</v>
      </c>
      <c r="K45" s="470"/>
      <c r="L45" s="470"/>
      <c r="M45" s="471"/>
      <c r="N45" s="469">
        <v>45391</v>
      </c>
      <c r="O45" s="470"/>
      <c r="P45" s="470"/>
      <c r="Q45" s="471"/>
      <c r="R45" s="469">
        <v>45392</v>
      </c>
      <c r="S45" s="470"/>
      <c r="T45" s="470"/>
      <c r="U45" s="471"/>
      <c r="V45" s="469">
        <v>45394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30.8</v>
      </c>
      <c r="G47" s="478">
        <v>32.799999999999997</v>
      </c>
      <c r="H47" s="457">
        <v>1.9999999999999964</v>
      </c>
      <c r="I47" s="459" t="s">
        <v>90</v>
      </c>
      <c r="J47" s="178">
        <v>30.8</v>
      </c>
      <c r="K47" s="478">
        <v>34.200000000000003</v>
      </c>
      <c r="L47" s="457">
        <v>3.4000000000000021</v>
      </c>
      <c r="M47" s="459" t="s">
        <v>90</v>
      </c>
      <c r="N47" s="178">
        <v>30.8</v>
      </c>
      <c r="O47" s="478">
        <v>35.1</v>
      </c>
      <c r="P47" s="457">
        <v>4.3000000000000007</v>
      </c>
      <c r="Q47" s="459" t="s">
        <v>90</v>
      </c>
      <c r="R47" s="178">
        <v>30.8</v>
      </c>
      <c r="S47" s="478">
        <v>35.1</v>
      </c>
      <c r="T47" s="457">
        <v>4.3000000000000007</v>
      </c>
      <c r="U47" s="459" t="s">
        <v>90</v>
      </c>
      <c r="V47" s="178">
        <v>30.8</v>
      </c>
      <c r="W47" s="478">
        <v>37.5</v>
      </c>
      <c r="X47" s="457">
        <v>6.6999999999999993</v>
      </c>
      <c r="Y47" s="459" t="s">
        <v>90</v>
      </c>
    </row>
    <row r="48" spans="3:25" ht="16.5" thickBot="1">
      <c r="C48" s="533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1"/>
      <c r="R48" s="177">
        <v>0.64</v>
      </c>
      <c r="S48" s="479"/>
      <c r="T48" s="480"/>
      <c r="U48" s="481"/>
      <c r="V48" s="177">
        <v>0.64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45383</v>
      </c>
      <c r="G50" s="470"/>
      <c r="H50" s="470"/>
      <c r="I50" s="471"/>
      <c r="J50" s="469">
        <v>45389</v>
      </c>
      <c r="K50" s="470"/>
      <c r="L50" s="470"/>
      <c r="M50" s="471"/>
      <c r="N50" s="469">
        <v>45391</v>
      </c>
      <c r="O50" s="470"/>
      <c r="P50" s="470"/>
      <c r="Q50" s="471"/>
      <c r="R50" s="469">
        <v>45392</v>
      </c>
      <c r="S50" s="470"/>
      <c r="T50" s="470"/>
      <c r="U50" s="471"/>
      <c r="V50" s="469">
        <v>45394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24.8</v>
      </c>
      <c r="H53" s="159" t="s">
        <v>81</v>
      </c>
      <c r="I53" s="158" t="s">
        <v>80</v>
      </c>
      <c r="J53" s="161">
        <v>0</v>
      </c>
      <c r="K53" s="160">
        <v>23.1</v>
      </c>
      <c r="L53" s="159" t="s">
        <v>81</v>
      </c>
      <c r="M53" s="158" t="s">
        <v>80</v>
      </c>
      <c r="N53" s="161">
        <v>0</v>
      </c>
      <c r="O53" s="160">
        <v>20.3</v>
      </c>
      <c r="P53" s="159" t="s">
        <v>81</v>
      </c>
      <c r="Q53" s="158" t="s">
        <v>80</v>
      </c>
      <c r="R53" s="161">
        <v>0</v>
      </c>
      <c r="S53" s="160">
        <v>19.8</v>
      </c>
      <c r="T53" s="159" t="s">
        <v>81</v>
      </c>
      <c r="U53" s="158" t="s">
        <v>80</v>
      </c>
      <c r="V53" s="161">
        <v>0</v>
      </c>
      <c r="W53" s="160">
        <v>19.2</v>
      </c>
      <c r="X53" s="159" t="s">
        <v>81</v>
      </c>
      <c r="Y53" s="158" t="s">
        <v>80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1684-7E63-4C63-92EF-007E2AD58329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45395</v>
      </c>
      <c r="G3" s="516"/>
      <c r="H3" s="516"/>
      <c r="I3" s="517"/>
      <c r="J3" s="515">
        <v>45396</v>
      </c>
      <c r="K3" s="516"/>
      <c r="L3" s="516"/>
      <c r="M3" s="517"/>
      <c r="N3" s="515">
        <v>45398</v>
      </c>
      <c r="O3" s="516"/>
      <c r="P3" s="516"/>
      <c r="Q3" s="517"/>
      <c r="R3" s="515">
        <v>45399</v>
      </c>
      <c r="S3" s="516"/>
      <c r="T3" s="516"/>
      <c r="U3" s="517"/>
      <c r="V3" s="515">
        <v>45400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20.3</v>
      </c>
      <c r="G5" s="165">
        <v>20.3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52.800000000000004</v>
      </c>
      <c r="G8" s="216">
        <v>52.800000000000004</v>
      </c>
      <c r="H8" s="215">
        <v>0</v>
      </c>
      <c r="I8" s="214"/>
      <c r="J8" s="217">
        <v>51.5</v>
      </c>
      <c r="K8" s="216">
        <v>51.5</v>
      </c>
      <c r="L8" s="215">
        <v>0</v>
      </c>
      <c r="M8" s="214"/>
      <c r="N8" s="217">
        <v>54.300000000000004</v>
      </c>
      <c r="O8" s="216">
        <v>54.300000000000004</v>
      </c>
      <c r="P8" s="215">
        <v>0</v>
      </c>
      <c r="Q8" s="214"/>
      <c r="R8" s="217">
        <v>54.900000000000006</v>
      </c>
      <c r="S8" s="216">
        <v>54.900000000000006</v>
      </c>
      <c r="T8" s="215">
        <v>0</v>
      </c>
      <c r="U8" s="214"/>
      <c r="V8" s="217">
        <v>54.7</v>
      </c>
      <c r="W8" s="216">
        <v>54.7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81.800000000000011</v>
      </c>
      <c r="G9" s="187">
        <v>81.800000000000011</v>
      </c>
      <c r="H9" s="187">
        <v>0</v>
      </c>
      <c r="I9" s="213" t="s">
        <v>81</v>
      </c>
      <c r="J9" s="188">
        <v>92.9</v>
      </c>
      <c r="K9" s="187">
        <v>92.9</v>
      </c>
      <c r="L9" s="187">
        <v>0</v>
      </c>
      <c r="M9" s="213" t="s">
        <v>81</v>
      </c>
      <c r="N9" s="188">
        <v>95.700000000000017</v>
      </c>
      <c r="O9" s="187">
        <v>95.700000000000017</v>
      </c>
      <c r="P9" s="187">
        <v>0</v>
      </c>
      <c r="Q9" s="213" t="s">
        <v>81</v>
      </c>
      <c r="R9" s="188">
        <v>96.300000000000011</v>
      </c>
      <c r="S9" s="187">
        <v>96.300000000000011</v>
      </c>
      <c r="T9" s="187">
        <v>0</v>
      </c>
      <c r="U9" s="213" t="s">
        <v>81</v>
      </c>
      <c r="V9" s="188">
        <v>96.100000000000009</v>
      </c>
      <c r="W9" s="187">
        <v>96.100000000000009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45395</v>
      </c>
      <c r="G11" s="433"/>
      <c r="H11" s="433"/>
      <c r="I11" s="434"/>
      <c r="J11" s="432">
        <v>45396</v>
      </c>
      <c r="K11" s="433"/>
      <c r="L11" s="433"/>
      <c r="M11" s="434"/>
      <c r="N11" s="432">
        <v>45398</v>
      </c>
      <c r="O11" s="433"/>
      <c r="P11" s="433"/>
      <c r="Q11" s="434"/>
      <c r="R11" s="432">
        <v>45399</v>
      </c>
      <c r="S11" s="433"/>
      <c r="T11" s="433"/>
      <c r="U11" s="434"/>
      <c r="V11" s="432">
        <v>45400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0</v>
      </c>
      <c r="T17" s="164">
        <v>34</v>
      </c>
      <c r="U17" s="189" t="s">
        <v>123</v>
      </c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123</v>
      </c>
      <c r="J18" s="166">
        <v>-34</v>
      </c>
      <c r="K18" s="165">
        <v>0</v>
      </c>
      <c r="L18" s="164">
        <v>34</v>
      </c>
      <c r="M18" s="189" t="s">
        <v>123</v>
      </c>
      <c r="N18" s="166">
        <v>-34</v>
      </c>
      <c r="O18" s="165">
        <v>0</v>
      </c>
      <c r="P18" s="164">
        <v>34</v>
      </c>
      <c r="Q18" s="189" t="s">
        <v>123</v>
      </c>
      <c r="R18" s="166">
        <v>-34</v>
      </c>
      <c r="S18" s="165">
        <v>0</v>
      </c>
      <c r="T18" s="164">
        <v>34</v>
      </c>
      <c r="U18" s="189" t="s">
        <v>123</v>
      </c>
      <c r="V18" s="166">
        <v>-34</v>
      </c>
      <c r="W18" s="165">
        <v>0</v>
      </c>
      <c r="X18" s="164">
        <v>34</v>
      </c>
      <c r="Y18" s="189" t="s">
        <v>123</v>
      </c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45395</v>
      </c>
      <c r="G23" s="433"/>
      <c r="H23" s="433"/>
      <c r="I23" s="434"/>
      <c r="J23" s="432">
        <v>45396</v>
      </c>
      <c r="K23" s="433"/>
      <c r="L23" s="433"/>
      <c r="M23" s="434"/>
      <c r="N23" s="432">
        <v>45398</v>
      </c>
      <c r="O23" s="433"/>
      <c r="P23" s="433"/>
      <c r="Q23" s="434"/>
      <c r="R23" s="432">
        <v>45399</v>
      </c>
      <c r="S23" s="433"/>
      <c r="T23" s="433"/>
      <c r="U23" s="434"/>
      <c r="V23" s="432">
        <v>45400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45395</v>
      </c>
      <c r="G27" s="433"/>
      <c r="H27" s="433"/>
      <c r="I27" s="434"/>
      <c r="J27" s="432">
        <v>45396</v>
      </c>
      <c r="K27" s="433"/>
      <c r="L27" s="433"/>
      <c r="M27" s="434"/>
      <c r="N27" s="432">
        <v>45398</v>
      </c>
      <c r="O27" s="433"/>
      <c r="P27" s="433"/>
      <c r="Q27" s="434"/>
      <c r="R27" s="432">
        <v>45399</v>
      </c>
      <c r="S27" s="433"/>
      <c r="T27" s="433"/>
      <c r="U27" s="434"/>
      <c r="V27" s="432">
        <v>45400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27.2</v>
      </c>
      <c r="P31" s="457">
        <v>0</v>
      </c>
      <c r="Q31" s="459"/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27.2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23.9</v>
      </c>
      <c r="G33" s="199">
        <v>17.3</v>
      </c>
      <c r="H33" s="457">
        <v>-6.5999999999999979</v>
      </c>
      <c r="I33" s="459" t="s">
        <v>95</v>
      </c>
      <c r="J33" s="200">
        <v>23.9</v>
      </c>
      <c r="K33" s="199">
        <v>15.6</v>
      </c>
      <c r="L33" s="457">
        <v>-8.2999999999999989</v>
      </c>
      <c r="M33" s="459" t="s">
        <v>95</v>
      </c>
      <c r="N33" s="200">
        <v>23.9</v>
      </c>
      <c r="O33" s="199">
        <v>35.5</v>
      </c>
      <c r="P33" s="457">
        <v>11.600000000000001</v>
      </c>
      <c r="Q33" s="459" t="s">
        <v>105</v>
      </c>
      <c r="R33" s="200">
        <v>23.9</v>
      </c>
      <c r="S33" s="199">
        <v>42.1</v>
      </c>
      <c r="T33" s="457">
        <v>18.200000000000003</v>
      </c>
      <c r="U33" s="459" t="s">
        <v>105</v>
      </c>
      <c r="V33" s="200">
        <v>23.9</v>
      </c>
      <c r="W33" s="199">
        <v>30</v>
      </c>
      <c r="X33" s="457">
        <v>6.1000000000000014</v>
      </c>
      <c r="Y33" s="459" t="s">
        <v>105</v>
      </c>
    </row>
    <row r="34" spans="3:25" ht="16">
      <c r="C34" s="528"/>
      <c r="D34" s="467"/>
      <c r="E34" s="463" t="s">
        <v>104</v>
      </c>
      <c r="F34" s="198">
        <v>0.19</v>
      </c>
      <c r="G34" s="197">
        <v>0.14000000000000001</v>
      </c>
      <c r="H34" s="458"/>
      <c r="I34" s="460"/>
      <c r="J34" s="198">
        <v>0.19</v>
      </c>
      <c r="K34" s="197">
        <v>0.13</v>
      </c>
      <c r="L34" s="458"/>
      <c r="M34" s="460"/>
      <c r="N34" s="198">
        <v>0.19</v>
      </c>
      <c r="O34" s="197">
        <v>0.28999999999999998</v>
      </c>
      <c r="P34" s="458"/>
      <c r="Q34" s="460"/>
      <c r="R34" s="198">
        <v>0.19</v>
      </c>
      <c r="S34" s="197">
        <v>0.34</v>
      </c>
      <c r="T34" s="458"/>
      <c r="U34" s="460"/>
      <c r="V34" s="198">
        <v>0.19</v>
      </c>
      <c r="W34" s="197">
        <v>0.24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0.2</v>
      </c>
      <c r="H37" s="164">
        <v>-9.8000000000000007</v>
      </c>
      <c r="I37" s="189" t="s">
        <v>102</v>
      </c>
      <c r="J37" s="166">
        <v>10</v>
      </c>
      <c r="K37" s="165">
        <v>0.4</v>
      </c>
      <c r="L37" s="164">
        <v>-9.6</v>
      </c>
      <c r="M37" s="189" t="s">
        <v>102</v>
      </c>
      <c r="N37" s="166">
        <v>10</v>
      </c>
      <c r="O37" s="165">
        <v>0.4</v>
      </c>
      <c r="P37" s="164">
        <v>-9.6</v>
      </c>
      <c r="Q37" s="189" t="s">
        <v>102</v>
      </c>
      <c r="R37" s="166">
        <v>10</v>
      </c>
      <c r="S37" s="165">
        <v>0.4</v>
      </c>
      <c r="T37" s="164">
        <v>-9.6</v>
      </c>
      <c r="U37" s="189" t="s">
        <v>102</v>
      </c>
      <c r="V37" s="166">
        <v>10</v>
      </c>
      <c r="W37" s="165">
        <v>0.1</v>
      </c>
      <c r="X37" s="164">
        <v>-9.9</v>
      </c>
      <c r="Y37" s="189" t="s">
        <v>102</v>
      </c>
    </row>
    <row r="38" spans="3:25" ht="16.5" thickBot="1">
      <c r="C38" s="529"/>
      <c r="D38" s="427" t="s">
        <v>101</v>
      </c>
      <c r="E38" s="428"/>
      <c r="F38" s="188">
        <v>61.099999999999994</v>
      </c>
      <c r="G38" s="187">
        <v>44.7</v>
      </c>
      <c r="H38" s="187">
        <v>-16.399999999999999</v>
      </c>
      <c r="I38" s="186"/>
      <c r="J38" s="188">
        <v>61.099999999999994</v>
      </c>
      <c r="K38" s="187">
        <v>43.199999999999996</v>
      </c>
      <c r="L38" s="187">
        <v>-17.899999999999999</v>
      </c>
      <c r="M38" s="186"/>
      <c r="N38" s="188">
        <v>61.099999999999994</v>
      </c>
      <c r="O38" s="187">
        <v>63.1</v>
      </c>
      <c r="P38" s="187">
        <v>2.0000000000000018</v>
      </c>
      <c r="Q38" s="186"/>
      <c r="R38" s="188">
        <v>61.099999999999994</v>
      </c>
      <c r="S38" s="187">
        <v>69.7</v>
      </c>
      <c r="T38" s="187">
        <v>8.6000000000000032</v>
      </c>
      <c r="U38" s="186"/>
      <c r="V38" s="188">
        <v>61.099999999999994</v>
      </c>
      <c r="W38" s="187">
        <v>57.300000000000004</v>
      </c>
      <c r="X38" s="187">
        <v>-3.7999999999999989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45395</v>
      </c>
      <c r="G40" s="470"/>
      <c r="H40" s="470"/>
      <c r="I40" s="471"/>
      <c r="J40" s="469">
        <v>45396</v>
      </c>
      <c r="K40" s="470"/>
      <c r="L40" s="470"/>
      <c r="M40" s="471"/>
      <c r="N40" s="469">
        <v>45398</v>
      </c>
      <c r="O40" s="470"/>
      <c r="P40" s="470"/>
      <c r="Q40" s="471"/>
      <c r="R40" s="469">
        <v>45399</v>
      </c>
      <c r="S40" s="470"/>
      <c r="T40" s="470"/>
      <c r="U40" s="471"/>
      <c r="V40" s="469">
        <v>45400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25.9</v>
      </c>
      <c r="G42" s="478">
        <v>0</v>
      </c>
      <c r="H42" s="457">
        <v>-25.9</v>
      </c>
      <c r="I42" s="459" t="s">
        <v>95</v>
      </c>
      <c r="J42" s="178">
        <v>33.4</v>
      </c>
      <c r="K42" s="478">
        <v>0</v>
      </c>
      <c r="L42" s="457">
        <v>-33.4</v>
      </c>
      <c r="M42" s="459" t="s">
        <v>95</v>
      </c>
      <c r="N42" s="178">
        <v>17.2</v>
      </c>
      <c r="O42" s="478">
        <v>0</v>
      </c>
      <c r="P42" s="457">
        <v>-17.2</v>
      </c>
      <c r="Q42" s="459" t="s">
        <v>95</v>
      </c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130</v>
      </c>
      <c r="G43" s="479"/>
      <c r="H43" s="480"/>
      <c r="I43" s="481"/>
      <c r="J43" s="183">
        <v>130</v>
      </c>
      <c r="K43" s="479"/>
      <c r="L43" s="480"/>
      <c r="M43" s="481"/>
      <c r="N43" s="183">
        <v>159</v>
      </c>
      <c r="O43" s="479"/>
      <c r="P43" s="480"/>
      <c r="Q43" s="481"/>
      <c r="R43" s="183">
        <v>159</v>
      </c>
      <c r="S43" s="479"/>
      <c r="T43" s="480"/>
      <c r="U43" s="481"/>
      <c r="V43" s="183">
        <v>159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45395</v>
      </c>
      <c r="G45" s="470"/>
      <c r="H45" s="470"/>
      <c r="I45" s="471"/>
      <c r="J45" s="469">
        <v>45396</v>
      </c>
      <c r="K45" s="470"/>
      <c r="L45" s="470"/>
      <c r="M45" s="471"/>
      <c r="N45" s="469">
        <v>45398</v>
      </c>
      <c r="O45" s="470"/>
      <c r="P45" s="470"/>
      <c r="Q45" s="471"/>
      <c r="R45" s="469">
        <v>45399</v>
      </c>
      <c r="S45" s="470"/>
      <c r="T45" s="470"/>
      <c r="U45" s="471"/>
      <c r="V45" s="469">
        <v>45400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30.8</v>
      </c>
      <c r="G47" s="478">
        <v>36.299999999999997</v>
      </c>
      <c r="H47" s="457">
        <v>5.4999999999999964</v>
      </c>
      <c r="I47" s="459" t="s">
        <v>90</v>
      </c>
      <c r="J47" s="178">
        <v>30.8</v>
      </c>
      <c r="K47" s="478">
        <v>36.299999999999997</v>
      </c>
      <c r="L47" s="457">
        <v>5.4999999999999964</v>
      </c>
      <c r="M47" s="459" t="s">
        <v>90</v>
      </c>
      <c r="N47" s="178">
        <v>30.8</v>
      </c>
      <c r="O47" s="478">
        <v>36.9</v>
      </c>
      <c r="P47" s="457">
        <v>6.0999999999999979</v>
      </c>
      <c r="Q47" s="459" t="s">
        <v>90</v>
      </c>
      <c r="R47" s="178">
        <v>30.8</v>
      </c>
      <c r="S47" s="478">
        <v>29.5</v>
      </c>
      <c r="T47" s="457">
        <v>-1.3000000000000007</v>
      </c>
      <c r="U47" s="459" t="s">
        <v>95</v>
      </c>
      <c r="V47" s="178">
        <v>30.8</v>
      </c>
      <c r="W47" s="478">
        <v>29.5</v>
      </c>
      <c r="X47" s="457">
        <v>-1.3000000000000007</v>
      </c>
      <c r="Y47" s="459" t="s">
        <v>95</v>
      </c>
    </row>
    <row r="48" spans="3:25" ht="16.5" thickBot="1">
      <c r="C48" s="533"/>
      <c r="D48" s="487"/>
      <c r="E48" s="489"/>
      <c r="F48" s="177">
        <v>0.64</v>
      </c>
      <c r="G48" s="479"/>
      <c r="H48" s="480"/>
      <c r="I48" s="481"/>
      <c r="J48" s="177">
        <v>0.64</v>
      </c>
      <c r="K48" s="479"/>
      <c r="L48" s="480"/>
      <c r="M48" s="481"/>
      <c r="N48" s="177">
        <v>0.64</v>
      </c>
      <c r="O48" s="479"/>
      <c r="P48" s="480"/>
      <c r="Q48" s="481"/>
      <c r="R48" s="177">
        <v>0.64</v>
      </c>
      <c r="S48" s="479"/>
      <c r="T48" s="480"/>
      <c r="U48" s="481"/>
      <c r="V48" s="177">
        <v>0.64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45395</v>
      </c>
      <c r="G50" s="470"/>
      <c r="H50" s="470"/>
      <c r="I50" s="471"/>
      <c r="J50" s="469">
        <v>45396</v>
      </c>
      <c r="K50" s="470"/>
      <c r="L50" s="470"/>
      <c r="M50" s="471"/>
      <c r="N50" s="469">
        <v>45398</v>
      </c>
      <c r="O50" s="470"/>
      <c r="P50" s="470"/>
      <c r="Q50" s="471"/>
      <c r="R50" s="469">
        <v>45399</v>
      </c>
      <c r="S50" s="470"/>
      <c r="T50" s="470"/>
      <c r="U50" s="471"/>
      <c r="V50" s="469">
        <v>45400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20.3</v>
      </c>
      <c r="H53" s="159" t="s">
        <v>81</v>
      </c>
      <c r="I53" s="158" t="s">
        <v>80</v>
      </c>
      <c r="J53" s="161">
        <v>0</v>
      </c>
      <c r="K53" s="160">
        <v>19.600000000000001</v>
      </c>
      <c r="L53" s="159" t="s">
        <v>81</v>
      </c>
      <c r="M53" s="158" t="s">
        <v>80</v>
      </c>
      <c r="N53" s="161">
        <v>0</v>
      </c>
      <c r="O53" s="160">
        <v>22.3</v>
      </c>
      <c r="P53" s="159" t="s">
        <v>81</v>
      </c>
      <c r="Q53" s="158" t="s">
        <v>80</v>
      </c>
      <c r="R53" s="161">
        <v>0</v>
      </c>
      <c r="S53" s="160">
        <v>22.2</v>
      </c>
      <c r="T53" s="159" t="s">
        <v>81</v>
      </c>
      <c r="U53" s="158" t="s">
        <v>80</v>
      </c>
      <c r="V53" s="161">
        <v>0</v>
      </c>
      <c r="W53" s="160">
        <v>21.3</v>
      </c>
      <c r="X53" s="159" t="s">
        <v>81</v>
      </c>
      <c r="Y53" s="158" t="s">
        <v>80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494E-B1FC-4354-A7D6-0BB433784B77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45401</v>
      </c>
      <c r="G3" s="516"/>
      <c r="H3" s="516"/>
      <c r="I3" s="517"/>
      <c r="J3" s="515">
        <v>45406</v>
      </c>
      <c r="K3" s="516"/>
      <c r="L3" s="516"/>
      <c r="M3" s="517"/>
      <c r="N3" s="515">
        <v>45407</v>
      </c>
      <c r="O3" s="516"/>
      <c r="P3" s="516"/>
      <c r="Q3" s="517"/>
      <c r="R3" s="515">
        <v>45409</v>
      </c>
      <c r="S3" s="516"/>
      <c r="T3" s="516"/>
      <c r="U3" s="517"/>
      <c r="V3" s="515">
        <v>45410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20.3</v>
      </c>
      <c r="K5" s="165">
        <v>20.3</v>
      </c>
      <c r="L5" s="164">
        <v>0</v>
      </c>
      <c r="M5" s="219"/>
      <c r="N5" s="166">
        <v>20.3</v>
      </c>
      <c r="O5" s="165">
        <v>20.3</v>
      </c>
      <c r="P5" s="164">
        <v>0</v>
      </c>
      <c r="Q5" s="219"/>
      <c r="R5" s="166">
        <v>20.3</v>
      </c>
      <c r="S5" s="165">
        <v>20.3</v>
      </c>
      <c r="T5" s="164">
        <v>0</v>
      </c>
      <c r="U5" s="219"/>
      <c r="V5" s="166">
        <v>20.3</v>
      </c>
      <c r="W5" s="165">
        <v>20.3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54.900000000000006</v>
      </c>
      <c r="G8" s="216">
        <v>54.900000000000006</v>
      </c>
      <c r="H8" s="215">
        <v>0</v>
      </c>
      <c r="I8" s="214"/>
      <c r="J8" s="217">
        <v>54.5</v>
      </c>
      <c r="K8" s="216">
        <v>54.5</v>
      </c>
      <c r="L8" s="215">
        <v>0</v>
      </c>
      <c r="M8" s="214"/>
      <c r="N8" s="217">
        <v>54.5</v>
      </c>
      <c r="O8" s="216">
        <v>54.5</v>
      </c>
      <c r="P8" s="215">
        <v>0</v>
      </c>
      <c r="Q8" s="214"/>
      <c r="R8" s="217">
        <v>52.5</v>
      </c>
      <c r="S8" s="216">
        <v>52.5</v>
      </c>
      <c r="T8" s="215">
        <v>0</v>
      </c>
      <c r="U8" s="214"/>
      <c r="V8" s="217">
        <v>51.5</v>
      </c>
      <c r="W8" s="216">
        <v>51.5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96.300000000000011</v>
      </c>
      <c r="G9" s="187">
        <v>96.300000000000011</v>
      </c>
      <c r="H9" s="187">
        <v>0</v>
      </c>
      <c r="I9" s="213" t="s">
        <v>81</v>
      </c>
      <c r="J9" s="188">
        <v>83.5</v>
      </c>
      <c r="K9" s="187">
        <v>83.5</v>
      </c>
      <c r="L9" s="187">
        <v>0</v>
      </c>
      <c r="M9" s="213" t="s">
        <v>81</v>
      </c>
      <c r="N9" s="188">
        <v>83.5</v>
      </c>
      <c r="O9" s="187">
        <v>83.5</v>
      </c>
      <c r="P9" s="187">
        <v>0</v>
      </c>
      <c r="Q9" s="213" t="s">
        <v>81</v>
      </c>
      <c r="R9" s="188">
        <v>81.5</v>
      </c>
      <c r="S9" s="187">
        <v>81.5</v>
      </c>
      <c r="T9" s="187">
        <v>0</v>
      </c>
      <c r="U9" s="213" t="s">
        <v>81</v>
      </c>
      <c r="V9" s="188">
        <v>80.5</v>
      </c>
      <c r="W9" s="187">
        <v>80.5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45401</v>
      </c>
      <c r="G11" s="433"/>
      <c r="H11" s="433"/>
      <c r="I11" s="434"/>
      <c r="J11" s="432">
        <v>45406</v>
      </c>
      <c r="K11" s="433"/>
      <c r="L11" s="433"/>
      <c r="M11" s="434"/>
      <c r="N11" s="432">
        <v>45407</v>
      </c>
      <c r="O11" s="433"/>
      <c r="P11" s="433"/>
      <c r="Q11" s="434"/>
      <c r="R11" s="432">
        <v>45409</v>
      </c>
      <c r="S11" s="433"/>
      <c r="T11" s="433"/>
      <c r="U11" s="434"/>
      <c r="V11" s="432">
        <v>45410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123</v>
      </c>
      <c r="J18" s="166">
        <v>-34</v>
      </c>
      <c r="K18" s="165">
        <v>0</v>
      </c>
      <c r="L18" s="164">
        <v>34</v>
      </c>
      <c r="M18" s="189" t="s">
        <v>123</v>
      </c>
      <c r="N18" s="166">
        <v>-34</v>
      </c>
      <c r="O18" s="165">
        <v>0</v>
      </c>
      <c r="P18" s="164">
        <v>34</v>
      </c>
      <c r="Q18" s="189" t="s">
        <v>123</v>
      </c>
      <c r="R18" s="166">
        <v>-34</v>
      </c>
      <c r="S18" s="165">
        <v>0</v>
      </c>
      <c r="T18" s="164">
        <v>34</v>
      </c>
      <c r="U18" s="189" t="s">
        <v>123</v>
      </c>
      <c r="V18" s="166">
        <v>-34</v>
      </c>
      <c r="W18" s="165">
        <v>0</v>
      </c>
      <c r="X18" s="164">
        <v>34</v>
      </c>
      <c r="Y18" s="189" t="s">
        <v>123</v>
      </c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0</v>
      </c>
      <c r="P19" s="164">
        <v>34</v>
      </c>
      <c r="Q19" s="189" t="s">
        <v>123</v>
      </c>
      <c r="R19" s="166">
        <v>-34</v>
      </c>
      <c r="S19" s="165">
        <v>0</v>
      </c>
      <c r="T19" s="164">
        <v>34</v>
      </c>
      <c r="U19" s="189" t="s">
        <v>123</v>
      </c>
      <c r="V19" s="166">
        <v>-34</v>
      </c>
      <c r="W19" s="165">
        <v>0</v>
      </c>
      <c r="X19" s="164">
        <v>34</v>
      </c>
      <c r="Y19" s="189" t="s">
        <v>123</v>
      </c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0</v>
      </c>
      <c r="P20" s="164">
        <v>34</v>
      </c>
      <c r="Q20" s="189" t="s">
        <v>123</v>
      </c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-151.19999999999999</v>
      </c>
      <c r="P21" s="187">
        <v>102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45401</v>
      </c>
      <c r="G23" s="433"/>
      <c r="H23" s="433"/>
      <c r="I23" s="434"/>
      <c r="J23" s="432">
        <v>45406</v>
      </c>
      <c r="K23" s="433"/>
      <c r="L23" s="433"/>
      <c r="M23" s="434"/>
      <c r="N23" s="432">
        <v>45407</v>
      </c>
      <c r="O23" s="433"/>
      <c r="P23" s="433"/>
      <c r="Q23" s="434"/>
      <c r="R23" s="432">
        <v>45409</v>
      </c>
      <c r="S23" s="433"/>
      <c r="T23" s="433"/>
      <c r="U23" s="434"/>
      <c r="V23" s="432">
        <v>45410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45401</v>
      </c>
      <c r="G27" s="433"/>
      <c r="H27" s="433"/>
      <c r="I27" s="434"/>
      <c r="J27" s="432">
        <v>45406</v>
      </c>
      <c r="K27" s="433"/>
      <c r="L27" s="433"/>
      <c r="M27" s="434"/>
      <c r="N27" s="432">
        <v>45407</v>
      </c>
      <c r="O27" s="433"/>
      <c r="P27" s="433"/>
      <c r="Q27" s="434"/>
      <c r="R27" s="432">
        <v>45409</v>
      </c>
      <c r="S27" s="433"/>
      <c r="T27" s="433"/>
      <c r="U27" s="434"/>
      <c r="V27" s="432">
        <v>45410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36.9</v>
      </c>
      <c r="L31" s="457">
        <v>9.6999999999999993</v>
      </c>
      <c r="M31" s="459" t="s">
        <v>108</v>
      </c>
      <c r="N31" s="200">
        <v>27.2</v>
      </c>
      <c r="O31" s="455">
        <v>36.9</v>
      </c>
      <c r="P31" s="457">
        <v>9.6999999999999993</v>
      </c>
      <c r="Q31" s="459" t="s">
        <v>108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27.2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23.9</v>
      </c>
      <c r="G33" s="199">
        <v>29.8</v>
      </c>
      <c r="H33" s="457">
        <v>5.9000000000000021</v>
      </c>
      <c r="I33" s="459" t="s">
        <v>105</v>
      </c>
      <c r="J33" s="200">
        <v>23.9</v>
      </c>
      <c r="K33" s="199">
        <v>31.6</v>
      </c>
      <c r="L33" s="457">
        <v>7.7000000000000028</v>
      </c>
      <c r="M33" s="459" t="s">
        <v>105</v>
      </c>
      <c r="N33" s="200">
        <v>16</v>
      </c>
      <c r="O33" s="199">
        <v>32.799999999999997</v>
      </c>
      <c r="P33" s="457">
        <v>16.799999999999997</v>
      </c>
      <c r="Q33" s="459" t="s">
        <v>105</v>
      </c>
      <c r="R33" s="200">
        <v>19.899999999999999</v>
      </c>
      <c r="S33" s="199">
        <v>22.3</v>
      </c>
      <c r="T33" s="457">
        <v>2.4000000000000021</v>
      </c>
      <c r="U33" s="459" t="s">
        <v>105</v>
      </c>
      <c r="V33" s="200">
        <v>19.899999999999999</v>
      </c>
      <c r="W33" s="199">
        <v>24.3</v>
      </c>
      <c r="X33" s="457">
        <v>4.4000000000000021</v>
      </c>
      <c r="Y33" s="459" t="s">
        <v>105</v>
      </c>
    </row>
    <row r="34" spans="3:25" ht="16">
      <c r="C34" s="528"/>
      <c r="D34" s="467"/>
      <c r="E34" s="463" t="s">
        <v>104</v>
      </c>
      <c r="F34" s="198">
        <v>0.19</v>
      </c>
      <c r="G34" s="197">
        <v>0.24</v>
      </c>
      <c r="H34" s="458"/>
      <c r="I34" s="460"/>
      <c r="J34" s="198">
        <v>0.19</v>
      </c>
      <c r="K34" s="197">
        <v>0.26</v>
      </c>
      <c r="L34" s="458"/>
      <c r="M34" s="460"/>
      <c r="N34" s="198">
        <v>0.15</v>
      </c>
      <c r="O34" s="197">
        <v>0.31</v>
      </c>
      <c r="P34" s="458"/>
      <c r="Q34" s="460"/>
      <c r="R34" s="198">
        <v>0.16</v>
      </c>
      <c r="S34" s="197">
        <v>0.18</v>
      </c>
      <c r="T34" s="458"/>
      <c r="U34" s="460"/>
      <c r="V34" s="198">
        <v>0.16</v>
      </c>
      <c r="W34" s="197">
        <v>0.2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0.1</v>
      </c>
      <c r="H37" s="164">
        <v>-9.9</v>
      </c>
      <c r="I37" s="189" t="s">
        <v>102</v>
      </c>
      <c r="J37" s="166">
        <v>10</v>
      </c>
      <c r="K37" s="165">
        <v>0</v>
      </c>
      <c r="L37" s="164">
        <v>-10</v>
      </c>
      <c r="M37" s="189" t="s">
        <v>102</v>
      </c>
      <c r="N37" s="166">
        <v>10</v>
      </c>
      <c r="O37" s="165">
        <v>0</v>
      </c>
      <c r="P37" s="164">
        <v>-10</v>
      </c>
      <c r="Q37" s="189" t="s">
        <v>102</v>
      </c>
      <c r="R37" s="166">
        <v>10</v>
      </c>
      <c r="S37" s="165">
        <v>0.2</v>
      </c>
      <c r="T37" s="164">
        <v>-9.8000000000000007</v>
      </c>
      <c r="U37" s="189" t="s">
        <v>102</v>
      </c>
      <c r="V37" s="166">
        <v>10</v>
      </c>
      <c r="W37" s="165">
        <v>0.5</v>
      </c>
      <c r="X37" s="164">
        <v>-9.5</v>
      </c>
      <c r="Y37" s="189" t="s">
        <v>102</v>
      </c>
    </row>
    <row r="38" spans="3:25" ht="16.5" thickBot="1">
      <c r="C38" s="529"/>
      <c r="D38" s="427" t="s">
        <v>101</v>
      </c>
      <c r="E38" s="428"/>
      <c r="F38" s="188">
        <v>61.099999999999994</v>
      </c>
      <c r="G38" s="187">
        <v>57.1</v>
      </c>
      <c r="H38" s="187">
        <v>-3.9999999999999982</v>
      </c>
      <c r="I38" s="186"/>
      <c r="J38" s="188">
        <v>61.099999999999994</v>
      </c>
      <c r="K38" s="187">
        <v>68.5</v>
      </c>
      <c r="L38" s="187">
        <v>7.4000000000000021</v>
      </c>
      <c r="M38" s="186"/>
      <c r="N38" s="188">
        <v>53.2</v>
      </c>
      <c r="O38" s="187">
        <v>69.699999999999989</v>
      </c>
      <c r="P38" s="187">
        <v>16.499999999999996</v>
      </c>
      <c r="Q38" s="186"/>
      <c r="R38" s="188">
        <v>57.099999999999994</v>
      </c>
      <c r="S38" s="187">
        <v>49.7</v>
      </c>
      <c r="T38" s="187">
        <v>-7.3999999999999986</v>
      </c>
      <c r="U38" s="186"/>
      <c r="V38" s="188">
        <v>57.099999999999994</v>
      </c>
      <c r="W38" s="187">
        <v>52</v>
      </c>
      <c r="X38" s="187">
        <v>-5.0999999999999979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45401</v>
      </c>
      <c r="G40" s="470"/>
      <c r="H40" s="470"/>
      <c r="I40" s="471"/>
      <c r="J40" s="469">
        <v>45406</v>
      </c>
      <c r="K40" s="470"/>
      <c r="L40" s="470"/>
      <c r="M40" s="471"/>
      <c r="N40" s="469">
        <v>45407</v>
      </c>
      <c r="O40" s="470"/>
      <c r="P40" s="470"/>
      <c r="Q40" s="471"/>
      <c r="R40" s="469">
        <v>45409</v>
      </c>
      <c r="S40" s="470"/>
      <c r="T40" s="470"/>
      <c r="U40" s="471"/>
      <c r="V40" s="469">
        <v>45410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47.8</v>
      </c>
      <c r="W42" s="478">
        <v>0</v>
      </c>
      <c r="X42" s="457">
        <v>-47.8</v>
      </c>
      <c r="Y42" s="459" t="s">
        <v>95</v>
      </c>
    </row>
    <row r="43" spans="3:25" ht="16.5" thickBot="1">
      <c r="C43" s="531"/>
      <c r="D43" s="475"/>
      <c r="E43" s="477"/>
      <c r="F43" s="183">
        <v>159</v>
      </c>
      <c r="G43" s="479"/>
      <c r="H43" s="480"/>
      <c r="I43" s="481"/>
      <c r="J43" s="183">
        <v>201.3</v>
      </c>
      <c r="K43" s="479"/>
      <c r="L43" s="480"/>
      <c r="M43" s="481"/>
      <c r="N43" s="183">
        <v>197.6</v>
      </c>
      <c r="O43" s="479"/>
      <c r="P43" s="480"/>
      <c r="Q43" s="481"/>
      <c r="R43" s="183">
        <v>176.8</v>
      </c>
      <c r="S43" s="479"/>
      <c r="T43" s="480"/>
      <c r="U43" s="481"/>
      <c r="V43" s="183">
        <v>174.8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45401</v>
      </c>
      <c r="G45" s="470"/>
      <c r="H45" s="470"/>
      <c r="I45" s="471"/>
      <c r="J45" s="469">
        <v>45406</v>
      </c>
      <c r="K45" s="470"/>
      <c r="L45" s="470"/>
      <c r="M45" s="471"/>
      <c r="N45" s="469">
        <v>45407</v>
      </c>
      <c r="O45" s="470"/>
      <c r="P45" s="470"/>
      <c r="Q45" s="471"/>
      <c r="R45" s="469">
        <v>45409</v>
      </c>
      <c r="S45" s="470"/>
      <c r="T45" s="470"/>
      <c r="U45" s="471"/>
      <c r="V45" s="469">
        <v>45410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30.8</v>
      </c>
      <c r="G47" s="478">
        <v>29.5</v>
      </c>
      <c r="H47" s="457">
        <v>-1.3000000000000007</v>
      </c>
      <c r="I47" s="459" t="s">
        <v>95</v>
      </c>
      <c r="J47" s="178">
        <v>27.4</v>
      </c>
      <c r="K47" s="478">
        <v>29.5</v>
      </c>
      <c r="L47" s="457">
        <v>2.1000000000000014</v>
      </c>
      <c r="M47" s="459" t="s">
        <v>90</v>
      </c>
      <c r="N47" s="178">
        <v>27.4</v>
      </c>
      <c r="O47" s="478">
        <v>31.7</v>
      </c>
      <c r="P47" s="457">
        <v>4.3000000000000007</v>
      </c>
      <c r="Q47" s="459" t="s">
        <v>123</v>
      </c>
      <c r="R47" s="178">
        <v>27.4</v>
      </c>
      <c r="S47" s="478">
        <v>29.5</v>
      </c>
      <c r="T47" s="457">
        <v>2.1000000000000014</v>
      </c>
      <c r="U47" s="459" t="s">
        <v>90</v>
      </c>
      <c r="V47" s="178">
        <v>27.4</v>
      </c>
      <c r="W47" s="478">
        <v>29.5</v>
      </c>
      <c r="X47" s="457">
        <v>2.1000000000000014</v>
      </c>
      <c r="Y47" s="459" t="s">
        <v>90</v>
      </c>
    </row>
    <row r="48" spans="3:25" ht="16.5" thickBot="1">
      <c r="C48" s="533"/>
      <c r="D48" s="487"/>
      <c r="E48" s="489"/>
      <c r="F48" s="177">
        <v>0.64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0.68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45401</v>
      </c>
      <c r="G50" s="470"/>
      <c r="H50" s="470"/>
      <c r="I50" s="471"/>
      <c r="J50" s="469">
        <v>45406</v>
      </c>
      <c r="K50" s="470"/>
      <c r="L50" s="470"/>
      <c r="M50" s="471"/>
      <c r="N50" s="469">
        <v>45407</v>
      </c>
      <c r="O50" s="470"/>
      <c r="P50" s="470"/>
      <c r="Q50" s="471"/>
      <c r="R50" s="469">
        <v>45409</v>
      </c>
      <c r="S50" s="470"/>
      <c r="T50" s="470"/>
      <c r="U50" s="471"/>
      <c r="V50" s="469">
        <v>45410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21.5</v>
      </c>
      <c r="H53" s="159" t="s">
        <v>81</v>
      </c>
      <c r="I53" s="158" t="s">
        <v>80</v>
      </c>
      <c r="J53" s="161">
        <v>0</v>
      </c>
      <c r="K53" s="160">
        <v>24.4</v>
      </c>
      <c r="L53" s="159" t="s">
        <v>81</v>
      </c>
      <c r="M53" s="158" t="s">
        <v>80</v>
      </c>
      <c r="N53" s="161">
        <v>0</v>
      </c>
      <c r="O53" s="160">
        <v>23.6</v>
      </c>
      <c r="P53" s="159" t="s">
        <v>81</v>
      </c>
      <c r="Q53" s="158" t="s">
        <v>80</v>
      </c>
      <c r="R53" s="161">
        <v>0</v>
      </c>
      <c r="S53" s="160">
        <v>26.3</v>
      </c>
      <c r="T53" s="159" t="s">
        <v>81</v>
      </c>
      <c r="U53" s="158" t="s">
        <v>80</v>
      </c>
      <c r="V53" s="161">
        <v>0</v>
      </c>
      <c r="W53" s="160">
        <v>25.5</v>
      </c>
      <c r="X53" s="159" t="s">
        <v>81</v>
      </c>
      <c r="Y53" s="158" t="s">
        <v>80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9C2A-AD7C-4C5A-9E8D-FF6874A6F8A0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45414</v>
      </c>
      <c r="G3" s="96" t="s">
        <v>48</v>
      </c>
      <c r="H3" s="25">
        <v>45415</v>
      </c>
      <c r="I3" s="26" t="s">
        <v>49</v>
      </c>
      <c r="J3" s="25">
        <v>45416</v>
      </c>
      <c r="K3" s="26" t="s">
        <v>50</v>
      </c>
      <c r="L3" s="25">
        <v>45417</v>
      </c>
      <c r="M3" s="26" t="s">
        <v>49</v>
      </c>
      <c r="N3" s="25">
        <v>45419</v>
      </c>
      <c r="O3" s="26" t="s">
        <v>49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81.900000000000006</v>
      </c>
      <c r="G5" s="381" t="s">
        <v>45</v>
      </c>
      <c r="H5" s="9">
        <v>73</v>
      </c>
      <c r="I5" s="384" t="s">
        <v>45</v>
      </c>
      <c r="J5" s="9">
        <v>72.599999999999994</v>
      </c>
      <c r="K5" s="384" t="s">
        <v>45</v>
      </c>
      <c r="L5" s="9">
        <v>72.8</v>
      </c>
      <c r="M5" s="384" t="s">
        <v>45</v>
      </c>
      <c r="N5" s="9">
        <v>75.5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24.5</v>
      </c>
      <c r="G6" s="382"/>
      <c r="H6" s="10">
        <v>24.4</v>
      </c>
      <c r="I6" s="385"/>
      <c r="J6" s="10">
        <v>24.6</v>
      </c>
      <c r="K6" s="385"/>
      <c r="L6" s="10">
        <v>24.4</v>
      </c>
      <c r="M6" s="385"/>
      <c r="N6" s="10">
        <v>61.6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299.10000000000002</v>
      </c>
      <c r="G7" s="382"/>
      <c r="H7" s="28">
        <v>299.10000000000002</v>
      </c>
      <c r="I7" s="385"/>
      <c r="J7" s="28">
        <v>299.3</v>
      </c>
      <c r="K7" s="385"/>
      <c r="L7" s="28">
        <v>299.10000000000002</v>
      </c>
      <c r="M7" s="385"/>
      <c r="N7" s="28">
        <v>298.89999999999998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54.899999999999977</v>
      </c>
      <c r="G8" s="382"/>
      <c r="H8" s="29">
        <v>61.500000000000206</v>
      </c>
      <c r="I8" s="385"/>
      <c r="J8" s="29">
        <v>50.4</v>
      </c>
      <c r="K8" s="385"/>
      <c r="L8" s="29">
        <v>48.90000000000002</v>
      </c>
      <c r="M8" s="385"/>
      <c r="N8" s="29">
        <v>53.8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16.2</v>
      </c>
      <c r="G9" s="382"/>
      <c r="H9" s="30">
        <v>16.3</v>
      </c>
      <c r="I9" s="385"/>
      <c r="J9" s="30">
        <v>16.2</v>
      </c>
      <c r="K9" s="385"/>
      <c r="L9" s="30">
        <v>16.2</v>
      </c>
      <c r="M9" s="385"/>
      <c r="N9" s="30">
        <v>16.2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27.4</v>
      </c>
      <c r="G10" s="382"/>
      <c r="H10" s="11">
        <v>27.4</v>
      </c>
      <c r="I10" s="385"/>
      <c r="J10" s="11">
        <v>27.4</v>
      </c>
      <c r="K10" s="385"/>
      <c r="L10" s="11">
        <v>25.6</v>
      </c>
      <c r="M10" s="385"/>
      <c r="N10" s="11">
        <v>26.9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25.5</v>
      </c>
      <c r="G11" s="382"/>
      <c r="H11" s="12">
        <v>25.4</v>
      </c>
      <c r="I11" s="385"/>
      <c r="J11" s="12">
        <v>25.2</v>
      </c>
      <c r="K11" s="385"/>
      <c r="L11" s="12">
        <v>25.6</v>
      </c>
      <c r="M11" s="385"/>
      <c r="N11" s="12">
        <v>25.2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748.7</v>
      </c>
      <c r="G12" s="382"/>
      <c r="H12" s="13">
        <v>735.4</v>
      </c>
      <c r="I12" s="385"/>
      <c r="J12" s="13">
        <v>727.9</v>
      </c>
      <c r="K12" s="385"/>
      <c r="L12" s="13">
        <v>549.4</v>
      </c>
      <c r="M12" s="385"/>
      <c r="N12" s="13">
        <v>761.9</v>
      </c>
      <c r="O12" s="385"/>
    </row>
    <row r="13" spans="2:15" ht="16">
      <c r="B13" s="376"/>
      <c r="C13" s="379"/>
      <c r="D13" s="388"/>
      <c r="E13" s="45" t="s">
        <v>27</v>
      </c>
      <c r="F13" s="106">
        <v>14.4</v>
      </c>
      <c r="G13" s="382"/>
      <c r="H13" s="13">
        <v>10.3</v>
      </c>
      <c r="I13" s="385"/>
      <c r="J13" s="13">
        <v>14</v>
      </c>
      <c r="K13" s="385"/>
      <c r="L13" s="13">
        <v>22.3</v>
      </c>
      <c r="M13" s="385"/>
      <c r="N13" s="13">
        <v>16.899999999999999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263</v>
      </c>
      <c r="G14" s="382"/>
      <c r="H14" s="14">
        <v>263</v>
      </c>
      <c r="I14" s="385"/>
      <c r="J14" s="14">
        <v>263</v>
      </c>
      <c r="K14" s="385"/>
      <c r="L14" s="14">
        <v>295</v>
      </c>
      <c r="M14" s="385"/>
      <c r="N14" s="14">
        <v>256.10000000000002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1555.6000000000001</v>
      </c>
      <c r="G15" s="382"/>
      <c r="H15" s="15">
        <v>1535.8000000000002</v>
      </c>
      <c r="I15" s="385"/>
      <c r="J15" s="15">
        <v>1520.6</v>
      </c>
      <c r="K15" s="385"/>
      <c r="L15" s="15">
        <v>1379.3</v>
      </c>
      <c r="M15" s="385"/>
      <c r="N15" s="15">
        <v>1593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785</v>
      </c>
      <c r="G16" s="382"/>
      <c r="H16" s="8">
        <v>735</v>
      </c>
      <c r="I16" s="385"/>
      <c r="J16" s="8">
        <v>715</v>
      </c>
      <c r="K16" s="385"/>
      <c r="L16" s="8">
        <v>725</v>
      </c>
      <c r="M16" s="385"/>
      <c r="N16" s="8">
        <v>857.7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-185.2</v>
      </c>
      <c r="G17" s="382"/>
      <c r="H17" s="16">
        <v>-185.2</v>
      </c>
      <c r="I17" s="385"/>
      <c r="J17" s="16">
        <v>-185.2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382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-106.3</v>
      </c>
      <c r="G19" s="382"/>
      <c r="H19" s="18">
        <v>-91.9</v>
      </c>
      <c r="I19" s="385"/>
      <c r="J19" s="18">
        <v>-87.3</v>
      </c>
      <c r="K19" s="385"/>
      <c r="L19" s="18">
        <v>-45.7</v>
      </c>
      <c r="M19" s="385"/>
      <c r="N19" s="18">
        <v>-187.6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1081.5</v>
      </c>
      <c r="G21" s="383"/>
      <c r="H21" s="27">
        <v>1017.1</v>
      </c>
      <c r="I21" s="386"/>
      <c r="J21" s="27">
        <v>992.5</v>
      </c>
      <c r="K21" s="386"/>
      <c r="L21" s="27">
        <v>960.90000000000009</v>
      </c>
      <c r="M21" s="386"/>
      <c r="N21" s="27">
        <v>1235.5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1555.6000000000001</v>
      </c>
      <c r="G23" s="414"/>
      <c r="H23" s="20">
        <v>1535.8000000000002</v>
      </c>
      <c r="I23" s="400"/>
      <c r="J23" s="20">
        <v>1520.6</v>
      </c>
      <c r="K23" s="400"/>
      <c r="L23" s="20">
        <v>1379.3</v>
      </c>
      <c r="M23" s="400"/>
      <c r="N23" s="20">
        <v>1593</v>
      </c>
      <c r="O23" s="400"/>
    </row>
    <row r="24" spans="2:15" ht="16">
      <c r="B24" s="409"/>
      <c r="C24" s="403" t="s">
        <v>37</v>
      </c>
      <c r="D24" s="404"/>
      <c r="E24" s="405"/>
      <c r="F24" s="21">
        <v>1081.5</v>
      </c>
      <c r="G24" s="415"/>
      <c r="H24" s="21">
        <v>1017.1</v>
      </c>
      <c r="I24" s="401"/>
      <c r="J24" s="21">
        <v>992.5</v>
      </c>
      <c r="K24" s="401"/>
      <c r="L24" s="21">
        <v>960.90000000000009</v>
      </c>
      <c r="M24" s="401"/>
      <c r="N24" s="21">
        <v>1235.5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474.10000000000014</v>
      </c>
      <c r="G25" s="416"/>
      <c r="H25" s="67">
        <v>518.70000000000016</v>
      </c>
      <c r="I25" s="402"/>
      <c r="J25" s="67">
        <v>528.09999999999991</v>
      </c>
      <c r="K25" s="402"/>
      <c r="L25" s="67">
        <v>418.39999999999986</v>
      </c>
      <c r="M25" s="402"/>
      <c r="N25" s="67">
        <v>357.5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F7DB-492A-49FF-B073-8DDB7B602656}">
  <sheetPr>
    <pageSetUpPr fitToPage="1"/>
  </sheetPr>
  <dimension ref="A1:Z57"/>
  <sheetViews>
    <sheetView showGridLines="0" view="pageLayout" topLeftCell="A19" zoomScale="55" zoomScaleNormal="55" zoomScaleSheetLayoutView="55" zoomScalePageLayoutView="55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6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6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6" ht="17" thickTop="1" thickBot="1">
      <c r="C3" s="435" t="s">
        <v>142</v>
      </c>
      <c r="D3" s="436"/>
      <c r="E3" s="437"/>
      <c r="F3" s="417">
        <v>45749</v>
      </c>
      <c r="G3" s="418"/>
      <c r="H3" s="418"/>
      <c r="I3" s="419"/>
      <c r="J3" s="417">
        <v>45750</v>
      </c>
      <c r="K3" s="418"/>
      <c r="L3" s="418"/>
      <c r="M3" s="419"/>
      <c r="N3" s="417">
        <v>45751</v>
      </c>
      <c r="O3" s="418"/>
      <c r="P3" s="418"/>
      <c r="Q3" s="419"/>
      <c r="R3" s="417">
        <v>45752</v>
      </c>
      <c r="S3" s="418"/>
      <c r="T3" s="418"/>
      <c r="U3" s="419"/>
      <c r="V3" s="417">
        <v>45753</v>
      </c>
      <c r="W3" s="418"/>
      <c r="X3" s="418"/>
      <c r="Y3" s="420"/>
      <c r="Z3" s="261"/>
    </row>
    <row r="4" spans="3:26" ht="16.149999999999999" customHeight="1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212</v>
      </c>
      <c r="W4" s="181" t="s">
        <v>162</v>
      </c>
      <c r="X4" s="180" t="s">
        <v>161</v>
      </c>
      <c r="Y4" s="262" t="s">
        <v>166</v>
      </c>
      <c r="Z4" s="261"/>
    </row>
    <row r="5" spans="3:26" ht="16">
      <c r="C5" s="422"/>
      <c r="D5" s="425" t="s">
        <v>138</v>
      </c>
      <c r="E5" s="211" t="s">
        <v>137</v>
      </c>
      <c r="F5" s="166">
        <v>28.1</v>
      </c>
      <c r="G5" s="165">
        <v>28.1</v>
      </c>
      <c r="H5" s="164">
        <f t="shared" ref="H5:H8" si="0">SUM(G5,-F5)</f>
        <v>0</v>
      </c>
      <c r="I5" s="219"/>
      <c r="J5" s="166">
        <v>28.1</v>
      </c>
      <c r="K5" s="165">
        <v>28.1</v>
      </c>
      <c r="L5" s="164">
        <f t="shared" ref="L5:L8" si="1">SUM(K5,-J5)</f>
        <v>0</v>
      </c>
      <c r="M5" s="219"/>
      <c r="N5" s="166">
        <v>28.1</v>
      </c>
      <c r="O5" s="165">
        <v>28.1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  <c r="Z5" s="261"/>
    </row>
    <row r="6" spans="3:26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  <c r="Z6" s="261"/>
    </row>
    <row r="7" spans="3:26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  <c r="Z7" s="261"/>
    </row>
    <row r="8" spans="3:26" ht="16">
      <c r="C8" s="423"/>
      <c r="D8" s="426"/>
      <c r="E8" s="218" t="s">
        <v>133</v>
      </c>
      <c r="F8" s="217">
        <v>55.5</v>
      </c>
      <c r="G8" s="216">
        <v>55.5</v>
      </c>
      <c r="H8" s="215">
        <f t="shared" si="0"/>
        <v>0</v>
      </c>
      <c r="I8" s="214"/>
      <c r="J8" s="217">
        <v>55.300000000000004</v>
      </c>
      <c r="K8" s="216">
        <v>55.300000000000004</v>
      </c>
      <c r="L8" s="215">
        <f t="shared" si="1"/>
        <v>0</v>
      </c>
      <c r="M8" s="214"/>
      <c r="N8" s="217">
        <v>55.1</v>
      </c>
      <c r="O8" s="216">
        <v>55.1</v>
      </c>
      <c r="P8" s="215">
        <f>SUM(O8,-N8)</f>
        <v>0</v>
      </c>
      <c r="Q8" s="189"/>
      <c r="R8" s="217">
        <v>53.5</v>
      </c>
      <c r="S8" s="216">
        <v>53.5</v>
      </c>
      <c r="T8" s="215">
        <f>SUM(S8,-R8)</f>
        <v>0</v>
      </c>
      <c r="U8" s="189"/>
      <c r="V8" s="217">
        <v>51.900000000000006</v>
      </c>
      <c r="W8" s="216">
        <v>51.900000000000006</v>
      </c>
      <c r="X8" s="215">
        <f>SUM(W8,-V8)</f>
        <v>0</v>
      </c>
      <c r="Y8" s="264"/>
      <c r="Z8" s="261"/>
    </row>
    <row r="9" spans="3:26" ht="16.5" thickBot="1">
      <c r="C9" s="424"/>
      <c r="D9" s="427" t="s">
        <v>101</v>
      </c>
      <c r="E9" s="428"/>
      <c r="F9" s="188">
        <f t="shared" ref="F9:H9" si="5">SUM(F5:F8)</f>
        <v>92.4</v>
      </c>
      <c r="G9" s="187">
        <f t="shared" si="5"/>
        <v>92.4</v>
      </c>
      <c r="H9" s="187">
        <f t="shared" si="5"/>
        <v>0</v>
      </c>
      <c r="I9" s="213" t="s">
        <v>159</v>
      </c>
      <c r="J9" s="188">
        <f>SUM(J5:J8)</f>
        <v>92.200000000000017</v>
      </c>
      <c r="K9" s="187">
        <f>SUM(K5:K8)</f>
        <v>92.200000000000017</v>
      </c>
      <c r="L9" s="187">
        <f t="shared" ref="L9" si="6">SUM(L5:L8)</f>
        <v>0</v>
      </c>
      <c r="M9" s="213" t="s">
        <v>159</v>
      </c>
      <c r="N9" s="188">
        <f>SUM(N5:N8)</f>
        <v>92</v>
      </c>
      <c r="O9" s="187">
        <f>SUM(O5:O8)</f>
        <v>92</v>
      </c>
      <c r="P9" s="187">
        <f>SUM(P5:P8)</f>
        <v>0</v>
      </c>
      <c r="Q9" s="213" t="s">
        <v>159</v>
      </c>
      <c r="R9" s="188">
        <f>SUM(R5:R8)</f>
        <v>74.7</v>
      </c>
      <c r="S9" s="187">
        <f>SUM(S5:S8)</f>
        <v>74.7</v>
      </c>
      <c r="T9" s="187">
        <f>SUM(T5:T8)</f>
        <v>0</v>
      </c>
      <c r="U9" s="213" t="s">
        <v>159</v>
      </c>
      <c r="V9" s="188">
        <f>SUM(V5:V8)</f>
        <v>73.100000000000009</v>
      </c>
      <c r="W9" s="187">
        <f>SUM(W5:W8)</f>
        <v>73.100000000000009</v>
      </c>
      <c r="X9" s="187">
        <f>SUM(X5:X8)</f>
        <v>0</v>
      </c>
      <c r="Y9" s="265" t="s">
        <v>159</v>
      </c>
      <c r="Z9" s="261"/>
    </row>
    <row r="10" spans="3:26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  <c r="Z10" s="261"/>
    </row>
    <row r="11" spans="3:26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  <c r="Z11" s="261"/>
    </row>
    <row r="12" spans="3:26" ht="16.149999999999999" customHeight="1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  <c r="Z12" s="261"/>
    </row>
    <row r="13" spans="3:26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  <c r="Z13" s="261"/>
    </row>
    <row r="14" spans="3:26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  <c r="Z14" s="261"/>
    </row>
    <row r="15" spans="3:26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1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0</v>
      </c>
      <c r="P15" s="164">
        <f t="shared" si="9"/>
        <v>32.5</v>
      </c>
      <c r="Q15" s="189" t="s">
        <v>145</v>
      </c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-32.5</v>
      </c>
      <c r="X15" s="164">
        <f t="shared" si="11"/>
        <v>0</v>
      </c>
      <c r="Y15" s="267"/>
      <c r="Z15" s="261"/>
    </row>
    <row r="16" spans="3:26" ht="16">
      <c r="C16" s="440"/>
      <c r="D16" s="442"/>
      <c r="E16" s="211" t="s">
        <v>124</v>
      </c>
      <c r="F16" s="166">
        <v>-32.5</v>
      </c>
      <c r="G16" s="165">
        <v>0</v>
      </c>
      <c r="H16" s="164">
        <f t="shared" si="7"/>
        <v>32.5</v>
      </c>
      <c r="I16" s="232" t="s">
        <v>149</v>
      </c>
      <c r="J16" s="166">
        <v>-32.5</v>
      </c>
      <c r="K16" s="165">
        <v>0</v>
      </c>
      <c r="L16" s="164">
        <f t="shared" si="8"/>
        <v>32.5</v>
      </c>
      <c r="M16" s="189" t="s">
        <v>145</v>
      </c>
      <c r="N16" s="166">
        <v>-32.5</v>
      </c>
      <c r="O16" s="165">
        <v>0</v>
      </c>
      <c r="P16" s="164">
        <f t="shared" si="9"/>
        <v>32.5</v>
      </c>
      <c r="Q16" s="189" t="s">
        <v>145</v>
      </c>
      <c r="R16" s="166">
        <v>-32.5</v>
      </c>
      <c r="S16" s="165">
        <v>0</v>
      </c>
      <c r="T16" s="164">
        <f t="shared" si="10"/>
        <v>32.5</v>
      </c>
      <c r="U16" s="189" t="s">
        <v>145</v>
      </c>
      <c r="V16" s="166">
        <v>-32.5</v>
      </c>
      <c r="W16" s="165">
        <v>0</v>
      </c>
      <c r="X16" s="164">
        <f t="shared" si="11"/>
        <v>32.5</v>
      </c>
      <c r="Y16" s="267" t="s">
        <v>145</v>
      </c>
      <c r="Z16" s="261"/>
    </row>
    <row r="17" spans="3:26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7"/>
        <v>0</v>
      </c>
      <c r="I17" s="232"/>
      <c r="J17" s="166">
        <v>-34</v>
      </c>
      <c r="K17" s="165">
        <v>-34</v>
      </c>
      <c r="L17" s="164">
        <f t="shared" si="8"/>
        <v>0</v>
      </c>
      <c r="M17" s="189"/>
      <c r="N17" s="166">
        <v>-34</v>
      </c>
      <c r="O17" s="165">
        <v>-34</v>
      </c>
      <c r="P17" s="164">
        <f t="shared" si="9"/>
        <v>0</v>
      </c>
      <c r="Q17" s="189"/>
      <c r="R17" s="166">
        <v>-34</v>
      </c>
      <c r="S17" s="165">
        <v>-34</v>
      </c>
      <c r="T17" s="164">
        <f t="shared" si="10"/>
        <v>0</v>
      </c>
      <c r="U17" s="189"/>
      <c r="V17" s="166">
        <v>-34</v>
      </c>
      <c r="W17" s="165">
        <v>-34</v>
      </c>
      <c r="X17" s="164">
        <f t="shared" si="11"/>
        <v>0</v>
      </c>
      <c r="Y17" s="267"/>
      <c r="Z17" s="261"/>
    </row>
    <row r="18" spans="3:26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-34</v>
      </c>
      <c r="L18" s="164">
        <f t="shared" si="8"/>
        <v>0</v>
      </c>
      <c r="M18" s="189"/>
      <c r="N18" s="166">
        <v>-34</v>
      </c>
      <c r="O18" s="165">
        <v>-34</v>
      </c>
      <c r="P18" s="164">
        <f t="shared" si="9"/>
        <v>0</v>
      </c>
      <c r="Q18" s="189"/>
      <c r="R18" s="166">
        <v>-34</v>
      </c>
      <c r="S18" s="165">
        <v>-34</v>
      </c>
      <c r="T18" s="164">
        <f t="shared" si="10"/>
        <v>0</v>
      </c>
      <c r="U18" s="189"/>
      <c r="V18" s="166">
        <v>-34</v>
      </c>
      <c r="W18" s="165">
        <v>-34</v>
      </c>
      <c r="X18" s="164">
        <f t="shared" si="11"/>
        <v>0</v>
      </c>
      <c r="Y18" s="267"/>
      <c r="Z18" s="261"/>
    </row>
    <row r="19" spans="3:26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  <c r="Z19" s="261"/>
    </row>
    <row r="20" spans="3:26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-34</v>
      </c>
      <c r="X20" s="164">
        <f t="shared" si="11"/>
        <v>0</v>
      </c>
      <c r="Y20" s="267"/>
      <c r="Z20" s="261"/>
    </row>
    <row r="21" spans="3:26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-194.6</v>
      </c>
      <c r="H21" s="187">
        <f t="shared" si="12"/>
        <v>58.6</v>
      </c>
      <c r="I21" s="186" t="s">
        <v>159</v>
      </c>
      <c r="J21" s="188">
        <f t="shared" si="12"/>
        <v>-253.2</v>
      </c>
      <c r="K21" s="187">
        <f t="shared" si="12"/>
        <v>-194.6</v>
      </c>
      <c r="L21" s="187">
        <f t="shared" ref="L21" si="13">SUM(L13:L20)</f>
        <v>58.6</v>
      </c>
      <c r="M21" s="186" t="s">
        <v>159</v>
      </c>
      <c r="N21" s="188">
        <f>SUM(N13:N20)</f>
        <v>-253.2</v>
      </c>
      <c r="O21" s="187">
        <f>SUM(O13:O20)</f>
        <v>-162.1</v>
      </c>
      <c r="P21" s="187">
        <f>SUM(P13:P20)</f>
        <v>91.1</v>
      </c>
      <c r="Q21" s="186" t="s">
        <v>159</v>
      </c>
      <c r="R21" s="188">
        <f>SUM(R13:R20)</f>
        <v>-253.2</v>
      </c>
      <c r="S21" s="187">
        <f>SUM(S13:S20)</f>
        <v>-194.6</v>
      </c>
      <c r="T21" s="187">
        <f>SUM(T13:T20)</f>
        <v>58.6</v>
      </c>
      <c r="U21" s="186" t="s">
        <v>159</v>
      </c>
      <c r="V21" s="188">
        <v>-253.2</v>
      </c>
      <c r="W21" s="187">
        <f>SUM(W13:W20)</f>
        <v>-194.6</v>
      </c>
      <c r="X21" s="187">
        <f>SUM(X13:X20)</f>
        <v>58.6</v>
      </c>
      <c r="Y21" s="268" t="s">
        <v>159</v>
      </c>
      <c r="Z21" s="261"/>
    </row>
    <row r="22" spans="3:26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  <c r="Z22" s="261"/>
    </row>
    <row r="23" spans="3:26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  <c r="Z23" s="261"/>
    </row>
    <row r="24" spans="3:26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  <c r="Z24" s="261"/>
    </row>
    <row r="25" spans="3:26" ht="16.5" thickBot="1">
      <c r="C25" s="446"/>
      <c r="D25" s="447"/>
      <c r="E25" s="449"/>
      <c r="F25" s="209">
        <v>-5</v>
      </c>
      <c r="G25" s="208">
        <v>-4.5</v>
      </c>
      <c r="H25" s="207">
        <f t="shared" ref="H25" si="14">SUM(G25,-F25)</f>
        <v>0.5</v>
      </c>
      <c r="I25" s="232" t="s">
        <v>150</v>
      </c>
      <c r="J25" s="209">
        <v>-5</v>
      </c>
      <c r="K25" s="208">
        <v>-4.5</v>
      </c>
      <c r="L25" s="207">
        <f t="shared" ref="L25" si="15">SUM(K25,-J25)</f>
        <v>0.5</v>
      </c>
      <c r="M25" s="206" t="s">
        <v>173</v>
      </c>
      <c r="N25" s="209">
        <v>-5</v>
      </c>
      <c r="O25" s="208">
        <v>-4.5</v>
      </c>
      <c r="P25" s="207">
        <f t="shared" ref="P25" si="16">SUM(O25,-N25)</f>
        <v>0.5</v>
      </c>
      <c r="Q25" s="206" t="s">
        <v>173</v>
      </c>
      <c r="R25" s="209">
        <v>-5</v>
      </c>
      <c r="S25" s="208">
        <v>-4.5</v>
      </c>
      <c r="T25" s="207">
        <f t="shared" ref="T25" si="17">SUM(S25,-R25)</f>
        <v>0.5</v>
      </c>
      <c r="U25" s="206" t="s">
        <v>173</v>
      </c>
      <c r="V25" s="209">
        <v>-5</v>
      </c>
      <c r="W25" s="208">
        <v>-4.5</v>
      </c>
      <c r="X25" s="207">
        <f>SUM(W25,-V25)</f>
        <v>0.5</v>
      </c>
      <c r="Y25" s="269" t="s">
        <v>173</v>
      </c>
      <c r="Z25" s="261"/>
    </row>
    <row r="26" spans="3:26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  <c r="Z26" s="261"/>
    </row>
    <row r="27" spans="3:26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  <c r="Z27" s="261"/>
    </row>
    <row r="28" spans="3:26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  <c r="Z28" s="261"/>
    </row>
    <row r="29" spans="3:26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8">SUM(G29,-F29)</f>
        <v>0</v>
      </c>
      <c r="I29" s="459"/>
      <c r="J29" s="200">
        <v>0</v>
      </c>
      <c r="K29" s="455">
        <v>0</v>
      </c>
      <c r="L29" s="457">
        <f t="shared" ref="L29" si="19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461"/>
      <c r="Z29" s="261"/>
    </row>
    <row r="30" spans="3:26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2"/>
      <c r="Z30" s="261"/>
    </row>
    <row r="31" spans="3:26" ht="16">
      <c r="C31" s="451"/>
      <c r="D31" s="443"/>
      <c r="E31" s="453" t="s">
        <v>109</v>
      </c>
      <c r="F31" s="200">
        <v>54.4</v>
      </c>
      <c r="G31" s="455">
        <v>64.099999999999994</v>
      </c>
      <c r="H31" s="457">
        <f t="shared" ref="H31" si="20">SUM(G31,-F31)</f>
        <v>9.6999999999999957</v>
      </c>
      <c r="I31" s="459" t="s">
        <v>185</v>
      </c>
      <c r="J31" s="200">
        <v>54.4</v>
      </c>
      <c r="K31" s="455">
        <v>121.7</v>
      </c>
      <c r="L31" s="457">
        <f t="shared" ref="L31" si="21">SUM(K31,-J31)</f>
        <v>67.300000000000011</v>
      </c>
      <c r="M31" s="459" t="s">
        <v>185</v>
      </c>
      <c r="N31" s="200">
        <v>54.4</v>
      </c>
      <c r="O31" s="455">
        <v>121.7</v>
      </c>
      <c r="P31" s="457">
        <f t="shared" ref="P31" si="22">SUM(O31,-N31)</f>
        <v>67.300000000000011</v>
      </c>
      <c r="Q31" s="459" t="s">
        <v>185</v>
      </c>
      <c r="R31" s="200">
        <v>27.2</v>
      </c>
      <c r="S31" s="455">
        <v>26.1</v>
      </c>
      <c r="T31" s="457">
        <f t="shared" ref="T31" si="23">SUM(S31,-R31)</f>
        <v>-1.0999999999999979</v>
      </c>
      <c r="U31" s="459" t="s">
        <v>146</v>
      </c>
      <c r="V31" s="200">
        <v>27.2</v>
      </c>
      <c r="W31" s="455">
        <v>26.1</v>
      </c>
      <c r="X31" s="457">
        <f t="shared" ref="X31" si="24">SUM(W31,-V31)</f>
        <v>-1.0999999999999979</v>
      </c>
      <c r="Y31" s="461" t="s">
        <v>146</v>
      </c>
      <c r="Z31" s="261"/>
    </row>
    <row r="32" spans="3:26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  <c r="Z32" s="261"/>
    </row>
    <row r="33" spans="3:26" ht="16.149999999999999" customHeight="1">
      <c r="C33" s="451"/>
      <c r="D33" s="466" t="s">
        <v>107</v>
      </c>
      <c r="E33" s="201" t="s">
        <v>106</v>
      </c>
      <c r="F33" s="200">
        <v>21.6</v>
      </c>
      <c r="G33" s="199">
        <v>30.1</v>
      </c>
      <c r="H33" s="457">
        <f t="shared" ref="H33" si="25">SUM(G33,-F33)</f>
        <v>8.5</v>
      </c>
      <c r="I33" s="459" t="s">
        <v>148</v>
      </c>
      <c r="J33" s="200">
        <v>21.6</v>
      </c>
      <c r="K33" s="199">
        <v>33.6</v>
      </c>
      <c r="L33" s="457">
        <f t="shared" ref="L33" si="26">SUM(K33,-J33)</f>
        <v>12</v>
      </c>
      <c r="M33" s="459" t="s">
        <v>184</v>
      </c>
      <c r="N33" s="200">
        <v>21.6</v>
      </c>
      <c r="O33" s="199">
        <v>47.6</v>
      </c>
      <c r="P33" s="457">
        <f t="shared" ref="P33" si="27">SUM(O33,-N33)</f>
        <v>26</v>
      </c>
      <c r="Q33" s="459" t="s">
        <v>184</v>
      </c>
      <c r="R33" s="200">
        <v>21.6</v>
      </c>
      <c r="S33" s="199">
        <v>21.7</v>
      </c>
      <c r="T33" s="457">
        <f t="shared" ref="T33" si="28">SUM(S33,-R33)</f>
        <v>9.9999999999997868E-2</v>
      </c>
      <c r="U33" s="459" t="s">
        <v>184</v>
      </c>
      <c r="V33" s="200">
        <v>21.6</v>
      </c>
      <c r="W33" s="199">
        <v>13.2</v>
      </c>
      <c r="X33" s="457">
        <f t="shared" ref="X33" si="29">SUM(W33,-V33)</f>
        <v>-8.4000000000000021</v>
      </c>
      <c r="Y33" s="461" t="s">
        <v>184</v>
      </c>
      <c r="Z33" s="261"/>
    </row>
    <row r="34" spans="3:26" ht="16.149999999999999" customHeight="1">
      <c r="C34" s="451"/>
      <c r="D34" s="467"/>
      <c r="E34" s="463" t="s">
        <v>104</v>
      </c>
      <c r="F34" s="198">
        <v>0.18</v>
      </c>
      <c r="G34" s="230">
        <v>26</v>
      </c>
      <c r="H34" s="458"/>
      <c r="I34" s="460"/>
      <c r="J34" s="198">
        <v>0.18</v>
      </c>
      <c r="K34" s="230">
        <v>29</v>
      </c>
      <c r="L34" s="458"/>
      <c r="M34" s="460"/>
      <c r="N34" s="198">
        <v>0.18</v>
      </c>
      <c r="O34" s="230">
        <v>40</v>
      </c>
      <c r="P34" s="458"/>
      <c r="Q34" s="460"/>
      <c r="R34" s="198">
        <v>0.18</v>
      </c>
      <c r="S34" s="230">
        <v>18</v>
      </c>
      <c r="T34" s="458"/>
      <c r="U34" s="460"/>
      <c r="V34" s="198">
        <v>0.18</v>
      </c>
      <c r="W34" s="230">
        <v>11</v>
      </c>
      <c r="X34" s="458"/>
      <c r="Y34" s="462"/>
      <c r="Z34" s="261"/>
    </row>
    <row r="35" spans="3:26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  <c r="Z35" s="261"/>
    </row>
    <row r="36" spans="3:26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  <c r="Z36" s="261"/>
    </row>
    <row r="37" spans="3:26" ht="16">
      <c r="C37" s="451"/>
      <c r="D37" s="467"/>
      <c r="E37" s="190" t="s">
        <v>103</v>
      </c>
      <c r="F37" s="166">
        <v>10</v>
      </c>
      <c r="G37" s="165">
        <v>1.8</v>
      </c>
      <c r="H37" s="164">
        <f t="shared" ref="H37" si="30">SUM(G37,-F37)</f>
        <v>-8.1999999999999993</v>
      </c>
      <c r="I37" s="189" t="s">
        <v>147</v>
      </c>
      <c r="J37" s="166">
        <v>10</v>
      </c>
      <c r="K37" s="165">
        <v>1.9</v>
      </c>
      <c r="L37" s="164">
        <f t="shared" ref="L37" si="31">SUM(K37,-J37)</f>
        <v>-8.1</v>
      </c>
      <c r="M37" s="189" t="s">
        <v>147</v>
      </c>
      <c r="N37" s="166">
        <v>10</v>
      </c>
      <c r="O37" s="165">
        <v>1.9</v>
      </c>
      <c r="P37" s="164">
        <f t="shared" ref="P37" si="32">SUM(O37,-N37)</f>
        <v>-8.1</v>
      </c>
      <c r="Q37" s="189" t="s">
        <v>147</v>
      </c>
      <c r="R37" s="166">
        <v>10</v>
      </c>
      <c r="S37" s="165">
        <v>1.7</v>
      </c>
      <c r="T37" s="164">
        <f t="shared" ref="T37" si="33">SUM(S37,-R37)</f>
        <v>-8.3000000000000007</v>
      </c>
      <c r="U37" s="189" t="s">
        <v>170</v>
      </c>
      <c r="V37" s="166">
        <v>10</v>
      </c>
      <c r="W37" s="165">
        <v>1.7</v>
      </c>
      <c r="X37" s="164">
        <f t="shared" ref="X37" si="34">SUM(W37,-V37)</f>
        <v>-8.3000000000000007</v>
      </c>
      <c r="Y37" s="267" t="s">
        <v>170</v>
      </c>
      <c r="Z37" s="261"/>
    </row>
    <row r="38" spans="3:26" ht="16.5" thickBot="1">
      <c r="C38" s="452"/>
      <c r="D38" s="427" t="s">
        <v>101</v>
      </c>
      <c r="E38" s="428"/>
      <c r="F38" s="188">
        <f t="shared" ref="F38" si="35">SUM(F29,F31,F33,F37)</f>
        <v>86</v>
      </c>
      <c r="G38" s="187">
        <f t="shared" ref="G38" si="36">SUM(G29:G33,G37)</f>
        <v>95.999999999999986</v>
      </c>
      <c r="H38" s="187">
        <f t="shared" ref="H38" si="37">SUM(H29:H34,H37)</f>
        <v>9.9999999999999964</v>
      </c>
      <c r="I38" s="186"/>
      <c r="J38" s="188">
        <f t="shared" ref="J38" si="38">SUM(J29,J31,J33,J37)</f>
        <v>86</v>
      </c>
      <c r="K38" s="187">
        <f t="shared" ref="K38" si="39">SUM(K29:K33,K37)</f>
        <v>157.20000000000002</v>
      </c>
      <c r="L38" s="187">
        <f t="shared" ref="L38" si="40">SUM(L29:L34,L37)</f>
        <v>71.200000000000017</v>
      </c>
      <c r="M38" s="186"/>
      <c r="N38" s="188">
        <f>SUM(N29,N31,N33,N37)</f>
        <v>86</v>
      </c>
      <c r="O38" s="187">
        <f>SUM(O29:O33,O37)</f>
        <v>171.20000000000002</v>
      </c>
      <c r="P38" s="187">
        <f>SUM(P29:P34,P37)</f>
        <v>85.200000000000017</v>
      </c>
      <c r="Q38" s="186"/>
      <c r="R38" s="188">
        <f>SUM(R29,R31,R33,R37)</f>
        <v>58.8</v>
      </c>
      <c r="S38" s="187">
        <f>SUM(S29:S33,S37)</f>
        <v>49.5</v>
      </c>
      <c r="T38" s="187">
        <f>SUM(T29:T34,T37)</f>
        <v>-9.3000000000000007</v>
      </c>
      <c r="U38" s="186"/>
      <c r="V38" s="188">
        <f>SUM(V29,V31,V33,V37)</f>
        <v>58.8</v>
      </c>
      <c r="W38" s="187">
        <f>SUM(W29:W33,W37)</f>
        <v>41</v>
      </c>
      <c r="X38" s="187">
        <f>SUM(X29:X34,X37)</f>
        <v>-17.8</v>
      </c>
      <c r="Y38" s="268"/>
      <c r="Z38" s="261"/>
    </row>
    <row r="39" spans="3:26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  <c r="Z39" s="261"/>
    </row>
    <row r="40" spans="3:26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  <c r="Z40" s="261"/>
    </row>
    <row r="41" spans="3:26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  <c r="Z41" s="261"/>
    </row>
    <row r="42" spans="3:26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41">SUM(G42,-F42)</f>
        <v>0</v>
      </c>
      <c r="I42" s="459"/>
      <c r="J42" s="178">
        <v>0</v>
      </c>
      <c r="K42" s="478">
        <v>0</v>
      </c>
      <c r="L42" s="457">
        <f t="shared" ref="L42" si="42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29.1</v>
      </c>
      <c r="S42" s="478">
        <v>29.1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  <c r="Z42" s="261"/>
    </row>
    <row r="43" spans="3:26" ht="16.5" thickBot="1">
      <c r="C43" s="474"/>
      <c r="D43" s="475"/>
      <c r="E43" s="477"/>
      <c r="F43" s="183">
        <v>220.6</v>
      </c>
      <c r="G43" s="479"/>
      <c r="H43" s="480"/>
      <c r="I43" s="481"/>
      <c r="J43" s="183">
        <v>226</v>
      </c>
      <c r="K43" s="479"/>
      <c r="L43" s="480"/>
      <c r="M43" s="481"/>
      <c r="N43" s="183">
        <v>226</v>
      </c>
      <c r="O43" s="479"/>
      <c r="P43" s="480"/>
      <c r="Q43" s="481"/>
      <c r="R43" s="183">
        <v>153.30000000000001</v>
      </c>
      <c r="S43" s="479"/>
      <c r="T43" s="480"/>
      <c r="U43" s="481"/>
      <c r="V43" s="183">
        <v>153</v>
      </c>
      <c r="W43" s="479"/>
      <c r="X43" s="480"/>
      <c r="Y43" s="482"/>
      <c r="Z43" s="261"/>
    </row>
    <row r="44" spans="3:26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  <c r="Z44" s="261"/>
    </row>
    <row r="45" spans="3:26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  <c r="Z45" s="261"/>
    </row>
    <row r="46" spans="3:26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  <c r="Z46" s="261"/>
    </row>
    <row r="47" spans="3:26" ht="16.149999999999999" customHeight="1">
      <c r="C47" s="444"/>
      <c r="D47" s="483"/>
      <c r="E47" s="488" t="s">
        <v>91</v>
      </c>
      <c r="F47" s="178">
        <v>39.243000000000002</v>
      </c>
      <c r="G47" s="478">
        <v>36.6</v>
      </c>
      <c r="H47" s="457">
        <f t="shared" ref="H47" si="43">SUM(G47,-F47)</f>
        <v>-2.6430000000000007</v>
      </c>
      <c r="I47" s="459" t="s">
        <v>146</v>
      </c>
      <c r="J47" s="178">
        <v>39.243000000000002</v>
      </c>
      <c r="K47" s="478">
        <v>37.700000000000003</v>
      </c>
      <c r="L47" s="457">
        <f t="shared" ref="L47" si="44">SUM(K47,-J47)</f>
        <v>-1.5429999999999993</v>
      </c>
      <c r="M47" s="459" t="s">
        <v>146</v>
      </c>
      <c r="N47" s="178">
        <v>39.243000000000002</v>
      </c>
      <c r="O47" s="478">
        <v>40.4</v>
      </c>
      <c r="P47" s="457">
        <f>SUM(O47,-N47)</f>
        <v>1.1569999999999965</v>
      </c>
      <c r="Q47" s="459" t="s">
        <v>181</v>
      </c>
      <c r="R47" s="178">
        <v>39.243000000000002</v>
      </c>
      <c r="S47" s="478">
        <v>40.4</v>
      </c>
      <c r="T47" s="457">
        <f>SUM(S47,-R47)</f>
        <v>1.1569999999999965</v>
      </c>
      <c r="U47" s="459" t="s">
        <v>181</v>
      </c>
      <c r="V47" s="178">
        <v>39.243000000000002</v>
      </c>
      <c r="W47" s="478">
        <v>41.6</v>
      </c>
      <c r="X47" s="457">
        <f>SUM(W47,-V47)</f>
        <v>2.3569999999999993</v>
      </c>
      <c r="Y47" s="461" t="s">
        <v>149</v>
      </c>
      <c r="Z47" s="261"/>
    </row>
    <row r="48" spans="3:26" ht="16.5" thickBot="1">
      <c r="C48" s="486"/>
      <c r="D48" s="487"/>
      <c r="E48" s="489"/>
      <c r="F48" s="177">
        <v>0.56542035876377783</v>
      </c>
      <c r="G48" s="479"/>
      <c r="H48" s="480"/>
      <c r="I48" s="481"/>
      <c r="J48" s="177">
        <v>0.56542035876377783</v>
      </c>
      <c r="K48" s="479"/>
      <c r="L48" s="480"/>
      <c r="M48" s="481"/>
      <c r="N48" s="177">
        <v>0.56542035876377783</v>
      </c>
      <c r="O48" s="479"/>
      <c r="P48" s="480"/>
      <c r="Q48" s="481"/>
      <c r="R48" s="177">
        <v>0.56542035876377783</v>
      </c>
      <c r="S48" s="479"/>
      <c r="T48" s="480"/>
      <c r="U48" s="481"/>
      <c r="V48" s="177">
        <v>0.56542035876377783</v>
      </c>
      <c r="W48" s="479"/>
      <c r="X48" s="480"/>
      <c r="Y48" s="482"/>
      <c r="Z48" s="261"/>
    </row>
    <row r="49" spans="1:26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  <c r="Z49" s="261"/>
    </row>
    <row r="50" spans="1:26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  <c r="Z50" s="261"/>
    </row>
    <row r="51" spans="1:26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  <c r="Z51" s="261"/>
    </row>
    <row r="52" spans="1:26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5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6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  <c r="Z52" s="261"/>
    </row>
    <row r="53" spans="1:26" ht="16.5" thickBot="1">
      <c r="C53" s="484"/>
      <c r="D53" s="485"/>
      <c r="E53" s="226" t="s">
        <v>82</v>
      </c>
      <c r="F53" s="225">
        <v>0</v>
      </c>
      <c r="G53" s="229">
        <v>29.1</v>
      </c>
      <c r="H53" s="223" t="s">
        <v>159</v>
      </c>
      <c r="I53" s="222" t="s">
        <v>213</v>
      </c>
      <c r="J53" s="225">
        <v>0</v>
      </c>
      <c r="K53" s="229">
        <v>29.2</v>
      </c>
      <c r="L53" s="223" t="s">
        <v>159</v>
      </c>
      <c r="M53" s="222" t="s">
        <v>213</v>
      </c>
      <c r="N53" s="225">
        <v>0</v>
      </c>
      <c r="O53" s="229">
        <v>28.9</v>
      </c>
      <c r="P53" s="223" t="s">
        <v>159</v>
      </c>
      <c r="Q53" s="222" t="s">
        <v>213</v>
      </c>
      <c r="R53" s="225">
        <v>0</v>
      </c>
      <c r="S53" s="229">
        <v>30</v>
      </c>
      <c r="T53" s="223" t="s">
        <v>159</v>
      </c>
      <c r="U53" s="222" t="s">
        <v>213</v>
      </c>
      <c r="V53" s="225">
        <v>0</v>
      </c>
      <c r="W53" s="229">
        <v>29.1</v>
      </c>
      <c r="X53" s="223" t="s">
        <v>159</v>
      </c>
      <c r="Y53" s="274" t="s">
        <v>213</v>
      </c>
      <c r="Z53" s="261"/>
    </row>
    <row r="54" spans="1:26" ht="15.5" thickTop="1">
      <c r="C54" s="1" t="s">
        <v>79</v>
      </c>
    </row>
    <row r="56" spans="1:26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6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3" fitToHeight="0" orientation="landscape" r:id="rId1"/>
  <headerFooter>
    <oddHeader>&amp;L&amp;"メイリオ,レギュラー"
　&amp;"メイリオ,ボールド"&amp;22日別の優先給電ルールに基づく抑制、調整状況（2025年4月）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D3FE-B67B-435B-A5CE-BC089C4B4FEC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550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45420</v>
      </c>
      <c r="G3" s="26" t="s">
        <v>48</v>
      </c>
      <c r="H3" s="25">
        <v>45421</v>
      </c>
      <c r="I3" s="26" t="s">
        <v>48</v>
      </c>
      <c r="J3" s="25">
        <v>45422</v>
      </c>
      <c r="K3" s="26" t="s">
        <v>48</v>
      </c>
      <c r="L3" s="25">
        <v>45423</v>
      </c>
      <c r="M3" s="26" t="s">
        <v>48</v>
      </c>
      <c r="N3" s="25">
        <v>45425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111.3</v>
      </c>
      <c r="G5" s="384" t="s">
        <v>45</v>
      </c>
      <c r="H5" s="9">
        <v>75.599999999999994</v>
      </c>
      <c r="I5" s="384" t="s">
        <v>45</v>
      </c>
      <c r="J5" s="9">
        <v>75.2</v>
      </c>
      <c r="K5" s="384" t="s">
        <v>45</v>
      </c>
      <c r="L5" s="9">
        <v>65.5</v>
      </c>
      <c r="M5" s="384" t="s">
        <v>45</v>
      </c>
      <c r="N5" s="9">
        <v>87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75.400000000000006</v>
      </c>
      <c r="G6" s="385"/>
      <c r="H6" s="10">
        <v>71.7</v>
      </c>
      <c r="I6" s="385"/>
      <c r="J6" s="10">
        <v>72.599999999999994</v>
      </c>
      <c r="K6" s="385"/>
      <c r="L6" s="10">
        <v>56.7</v>
      </c>
      <c r="M6" s="385"/>
      <c r="N6" s="10">
        <v>65.7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299</v>
      </c>
      <c r="G7" s="385"/>
      <c r="H7" s="28">
        <v>298.8</v>
      </c>
      <c r="I7" s="385"/>
      <c r="J7" s="28">
        <v>298.89999999999998</v>
      </c>
      <c r="K7" s="385"/>
      <c r="L7" s="28">
        <v>299.2</v>
      </c>
      <c r="M7" s="385"/>
      <c r="N7" s="28">
        <v>299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50.899999999999807</v>
      </c>
      <c r="G8" s="385"/>
      <c r="H8" s="29">
        <v>43.09999999999998</v>
      </c>
      <c r="I8" s="385"/>
      <c r="J8" s="29">
        <v>42.69999999999991</v>
      </c>
      <c r="K8" s="385"/>
      <c r="L8" s="29">
        <v>40.59999999999998</v>
      </c>
      <c r="M8" s="385"/>
      <c r="N8" s="29">
        <v>45.5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16.2</v>
      </c>
      <c r="G9" s="385"/>
      <c r="H9" s="30">
        <v>15.4</v>
      </c>
      <c r="I9" s="385"/>
      <c r="J9" s="30">
        <v>15.1</v>
      </c>
      <c r="K9" s="385"/>
      <c r="L9" s="30">
        <v>15.2</v>
      </c>
      <c r="M9" s="385"/>
      <c r="N9" s="30">
        <v>15.3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29.4</v>
      </c>
      <c r="G10" s="385"/>
      <c r="H10" s="11">
        <v>31.4</v>
      </c>
      <c r="I10" s="385"/>
      <c r="J10" s="11">
        <v>35.5</v>
      </c>
      <c r="K10" s="385"/>
      <c r="L10" s="11">
        <v>34.200000000000003</v>
      </c>
      <c r="M10" s="385"/>
      <c r="N10" s="11">
        <v>29.8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24.6</v>
      </c>
      <c r="G11" s="385"/>
      <c r="H11" s="12">
        <v>24.2</v>
      </c>
      <c r="I11" s="385"/>
      <c r="J11" s="12">
        <v>23.6</v>
      </c>
      <c r="K11" s="385"/>
      <c r="L11" s="12">
        <v>24</v>
      </c>
      <c r="M11" s="385"/>
      <c r="N11" s="12">
        <v>24.2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517.9</v>
      </c>
      <c r="G12" s="385"/>
      <c r="H12" s="13">
        <v>902.1</v>
      </c>
      <c r="I12" s="385"/>
      <c r="J12" s="13">
        <v>904.3</v>
      </c>
      <c r="K12" s="385"/>
      <c r="L12" s="13">
        <v>794.9</v>
      </c>
      <c r="M12" s="385"/>
      <c r="N12" s="13">
        <v>746.5</v>
      </c>
      <c r="O12" s="385"/>
    </row>
    <row r="13" spans="2:15" ht="16">
      <c r="B13" s="376"/>
      <c r="C13" s="379"/>
      <c r="D13" s="388"/>
      <c r="E13" s="45" t="s">
        <v>27</v>
      </c>
      <c r="F13" s="13">
        <v>17.3</v>
      </c>
      <c r="G13" s="385"/>
      <c r="H13" s="13">
        <v>6.5</v>
      </c>
      <c r="I13" s="385"/>
      <c r="J13" s="13">
        <v>5.3</v>
      </c>
      <c r="K13" s="385"/>
      <c r="L13" s="13">
        <v>15.3</v>
      </c>
      <c r="M13" s="385"/>
      <c r="N13" s="13">
        <v>10.9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295</v>
      </c>
      <c r="G14" s="385"/>
      <c r="H14" s="14">
        <v>83.8</v>
      </c>
      <c r="I14" s="385"/>
      <c r="J14" s="14">
        <v>81.599999999999994</v>
      </c>
      <c r="K14" s="385"/>
      <c r="L14" s="14">
        <v>219</v>
      </c>
      <c r="M14" s="385"/>
      <c r="N14" s="14">
        <v>263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1436.9999999999998</v>
      </c>
      <c r="G15" s="385"/>
      <c r="H15" s="15">
        <v>1552.6000000000001</v>
      </c>
      <c r="I15" s="385"/>
      <c r="J15" s="15">
        <v>1554.8</v>
      </c>
      <c r="K15" s="385"/>
      <c r="L15" s="15">
        <v>1564.5999999999997</v>
      </c>
      <c r="M15" s="385"/>
      <c r="N15" s="15">
        <v>1586.9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885</v>
      </c>
      <c r="G16" s="385"/>
      <c r="H16" s="8">
        <v>865</v>
      </c>
      <c r="I16" s="385"/>
      <c r="J16" s="8">
        <v>847.3</v>
      </c>
      <c r="K16" s="385"/>
      <c r="L16" s="8">
        <v>795</v>
      </c>
      <c r="M16" s="385"/>
      <c r="N16" s="8">
        <v>855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-117.2</v>
      </c>
      <c r="G17" s="385"/>
      <c r="H17" s="16">
        <v>-185.2</v>
      </c>
      <c r="I17" s="385"/>
      <c r="J17" s="16">
        <v>-185.2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-186.6</v>
      </c>
      <c r="G19" s="385"/>
      <c r="H19" s="18">
        <v>-146</v>
      </c>
      <c r="I19" s="385"/>
      <c r="J19" s="18">
        <v>-146</v>
      </c>
      <c r="K19" s="385"/>
      <c r="L19" s="18">
        <v>-123</v>
      </c>
      <c r="M19" s="385"/>
      <c r="N19" s="18">
        <v>-146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-22.3</v>
      </c>
      <c r="K20" s="385"/>
      <c r="L20" s="19">
        <v>0</v>
      </c>
      <c r="M20" s="385"/>
      <c r="N20" s="19">
        <v>-9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1193.8</v>
      </c>
      <c r="G21" s="386"/>
      <c r="H21" s="27">
        <v>1201.2</v>
      </c>
      <c r="I21" s="386"/>
      <c r="J21" s="27">
        <v>1205.8</v>
      </c>
      <c r="K21" s="386"/>
      <c r="L21" s="27">
        <v>1108.2</v>
      </c>
      <c r="M21" s="386"/>
      <c r="N21" s="27">
        <v>1200.2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1436.9999999999998</v>
      </c>
      <c r="G23" s="400"/>
      <c r="H23" s="20">
        <v>1552.6000000000001</v>
      </c>
      <c r="I23" s="400"/>
      <c r="J23" s="20">
        <v>1554.8</v>
      </c>
      <c r="K23" s="400"/>
      <c r="L23" s="20">
        <v>1564.5999999999997</v>
      </c>
      <c r="M23" s="400"/>
      <c r="N23" s="20">
        <v>1586.9</v>
      </c>
      <c r="O23" s="400"/>
    </row>
    <row r="24" spans="2:15" ht="16">
      <c r="B24" s="409"/>
      <c r="C24" s="403" t="s">
        <v>37</v>
      </c>
      <c r="D24" s="404"/>
      <c r="E24" s="405"/>
      <c r="F24" s="21">
        <v>1193.8</v>
      </c>
      <c r="G24" s="401"/>
      <c r="H24" s="21">
        <v>1201.2</v>
      </c>
      <c r="I24" s="401"/>
      <c r="J24" s="21">
        <v>1205.8</v>
      </c>
      <c r="K24" s="401"/>
      <c r="L24" s="21">
        <v>1108.2</v>
      </c>
      <c r="M24" s="401"/>
      <c r="N24" s="21">
        <v>1200.2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243.19999999999982</v>
      </c>
      <c r="G25" s="402"/>
      <c r="H25" s="67">
        <v>351.40000000000009</v>
      </c>
      <c r="I25" s="402"/>
      <c r="J25" s="67">
        <v>349</v>
      </c>
      <c r="K25" s="402"/>
      <c r="L25" s="67">
        <v>456.39999999999964</v>
      </c>
      <c r="M25" s="402"/>
      <c r="N25" s="67">
        <v>386.70000000000005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6585-7AD2-43C7-8763-4D457698145B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45426</v>
      </c>
      <c r="G3" s="26" t="s">
        <v>48</v>
      </c>
      <c r="H3" s="25">
        <v>45427</v>
      </c>
      <c r="I3" s="26" t="s">
        <v>48</v>
      </c>
      <c r="J3" s="25">
        <v>45428</v>
      </c>
      <c r="K3" s="26" t="s">
        <v>48</v>
      </c>
      <c r="L3" s="25">
        <v>45429</v>
      </c>
      <c r="M3" s="26" t="s">
        <v>48</v>
      </c>
      <c r="N3" s="25">
        <v>45430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87.8</v>
      </c>
      <c r="G5" s="384" t="s">
        <v>45</v>
      </c>
      <c r="H5" s="9">
        <v>97.4</v>
      </c>
      <c r="I5" s="384" t="s">
        <v>45</v>
      </c>
      <c r="J5" s="9">
        <v>96.4</v>
      </c>
      <c r="K5" s="384" t="s">
        <v>45</v>
      </c>
      <c r="L5" s="9">
        <v>88</v>
      </c>
      <c r="M5" s="384" t="s">
        <v>45</v>
      </c>
      <c r="N5" s="9">
        <v>86.7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70.7</v>
      </c>
      <c r="G6" s="385"/>
      <c r="H6" s="10">
        <v>59.9</v>
      </c>
      <c r="I6" s="385"/>
      <c r="J6" s="10">
        <v>52.8</v>
      </c>
      <c r="K6" s="385"/>
      <c r="L6" s="10">
        <v>66.099999999999994</v>
      </c>
      <c r="M6" s="385"/>
      <c r="N6" s="10">
        <v>49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295.2</v>
      </c>
      <c r="G7" s="385"/>
      <c r="H7" s="28">
        <v>299</v>
      </c>
      <c r="I7" s="385"/>
      <c r="J7" s="28">
        <v>298.3</v>
      </c>
      <c r="K7" s="385"/>
      <c r="L7" s="28">
        <v>299.2</v>
      </c>
      <c r="M7" s="385"/>
      <c r="N7" s="28">
        <v>299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45.800000000000196</v>
      </c>
      <c r="G8" s="385"/>
      <c r="H8" s="29">
        <v>35.200000000000088</v>
      </c>
      <c r="I8" s="385"/>
      <c r="J8" s="29">
        <v>40.700000000000003</v>
      </c>
      <c r="K8" s="385"/>
      <c r="L8" s="29">
        <v>44</v>
      </c>
      <c r="M8" s="385"/>
      <c r="N8" s="29">
        <v>42.2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15.3</v>
      </c>
      <c r="G9" s="385"/>
      <c r="H9" s="30">
        <v>15</v>
      </c>
      <c r="I9" s="385"/>
      <c r="J9" s="30">
        <v>15.2</v>
      </c>
      <c r="K9" s="385"/>
      <c r="L9" s="30">
        <v>15.2</v>
      </c>
      <c r="M9" s="385"/>
      <c r="N9" s="30">
        <v>13.2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31.6</v>
      </c>
      <c r="G10" s="385"/>
      <c r="H10" s="11">
        <v>27.2</v>
      </c>
      <c r="I10" s="385"/>
      <c r="J10" s="11">
        <v>33.4</v>
      </c>
      <c r="K10" s="385"/>
      <c r="L10" s="11">
        <v>36.299999999999997</v>
      </c>
      <c r="M10" s="385"/>
      <c r="N10" s="11">
        <v>33.4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23.6</v>
      </c>
      <c r="G11" s="385"/>
      <c r="H11" s="12">
        <v>23</v>
      </c>
      <c r="I11" s="385"/>
      <c r="J11" s="12">
        <v>22.9</v>
      </c>
      <c r="K11" s="385"/>
      <c r="L11" s="12">
        <v>23</v>
      </c>
      <c r="M11" s="385"/>
      <c r="N11" s="12">
        <v>23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906.1</v>
      </c>
      <c r="G12" s="385"/>
      <c r="H12" s="13">
        <v>845.1</v>
      </c>
      <c r="I12" s="385"/>
      <c r="J12" s="13">
        <v>908.5</v>
      </c>
      <c r="K12" s="385"/>
      <c r="L12" s="13">
        <v>907.7</v>
      </c>
      <c r="M12" s="385"/>
      <c r="N12" s="13">
        <v>900</v>
      </c>
      <c r="O12" s="385"/>
    </row>
    <row r="13" spans="2:15" ht="16">
      <c r="B13" s="376"/>
      <c r="C13" s="379"/>
      <c r="D13" s="388"/>
      <c r="E13" s="45" t="s">
        <v>27</v>
      </c>
      <c r="F13" s="13">
        <v>3.6</v>
      </c>
      <c r="G13" s="385"/>
      <c r="H13" s="13">
        <v>3.1</v>
      </c>
      <c r="I13" s="385"/>
      <c r="J13" s="13">
        <v>32</v>
      </c>
      <c r="K13" s="385"/>
      <c r="L13" s="13">
        <v>3</v>
      </c>
      <c r="M13" s="385"/>
      <c r="N13" s="13">
        <v>7.5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79.8</v>
      </c>
      <c r="G14" s="385"/>
      <c r="H14" s="14">
        <v>168.8</v>
      </c>
      <c r="I14" s="385"/>
      <c r="J14" s="14">
        <v>77.400000000000006</v>
      </c>
      <c r="K14" s="385"/>
      <c r="L14" s="14">
        <v>78.2</v>
      </c>
      <c r="M14" s="385"/>
      <c r="N14" s="14">
        <v>90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1559.5000000000002</v>
      </c>
      <c r="G15" s="385"/>
      <c r="H15" s="15">
        <v>1573.7</v>
      </c>
      <c r="I15" s="385"/>
      <c r="J15" s="15">
        <v>1577.6</v>
      </c>
      <c r="K15" s="385"/>
      <c r="L15" s="15">
        <v>1560.7</v>
      </c>
      <c r="M15" s="385"/>
      <c r="N15" s="15">
        <v>1544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875</v>
      </c>
      <c r="G16" s="385"/>
      <c r="H16" s="8">
        <v>905</v>
      </c>
      <c r="I16" s="385"/>
      <c r="J16" s="8">
        <v>855</v>
      </c>
      <c r="K16" s="385"/>
      <c r="L16" s="8">
        <v>905</v>
      </c>
      <c r="M16" s="385"/>
      <c r="N16" s="8">
        <v>841.6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-185.2</v>
      </c>
      <c r="K17" s="385"/>
      <c r="L17" s="16">
        <v>-185.2</v>
      </c>
      <c r="M17" s="385"/>
      <c r="N17" s="16">
        <v>-185.2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-146</v>
      </c>
      <c r="G19" s="385"/>
      <c r="H19" s="18">
        <v>-146</v>
      </c>
      <c r="I19" s="385"/>
      <c r="J19" s="18">
        <v>-146</v>
      </c>
      <c r="K19" s="385"/>
      <c r="L19" s="18">
        <v>-146</v>
      </c>
      <c r="M19" s="385"/>
      <c r="N19" s="18">
        <v>-122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-9</v>
      </c>
      <c r="I20" s="385"/>
      <c r="J20" s="19">
        <v>-1</v>
      </c>
      <c r="K20" s="385"/>
      <c r="L20" s="19">
        <v>-33.6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1211.2</v>
      </c>
      <c r="G21" s="386"/>
      <c r="H21" s="27">
        <v>1250.2</v>
      </c>
      <c r="I21" s="386"/>
      <c r="J21" s="27">
        <v>1192.2</v>
      </c>
      <c r="K21" s="386"/>
      <c r="L21" s="27">
        <v>1274.8</v>
      </c>
      <c r="M21" s="386"/>
      <c r="N21" s="27">
        <v>1153.8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1559.5000000000002</v>
      </c>
      <c r="G23" s="400"/>
      <c r="H23" s="20">
        <v>1573.7</v>
      </c>
      <c r="I23" s="400"/>
      <c r="J23" s="20">
        <v>1577.6</v>
      </c>
      <c r="K23" s="400"/>
      <c r="L23" s="20">
        <v>1560.7</v>
      </c>
      <c r="M23" s="400"/>
      <c r="N23" s="20">
        <v>1544</v>
      </c>
      <c r="O23" s="400"/>
    </row>
    <row r="24" spans="2:15" ht="16">
      <c r="B24" s="409"/>
      <c r="C24" s="403" t="s">
        <v>37</v>
      </c>
      <c r="D24" s="404"/>
      <c r="E24" s="405"/>
      <c r="F24" s="21">
        <v>1211.2</v>
      </c>
      <c r="G24" s="401"/>
      <c r="H24" s="21">
        <v>1250.2</v>
      </c>
      <c r="I24" s="401"/>
      <c r="J24" s="21">
        <v>1192.2</v>
      </c>
      <c r="K24" s="401"/>
      <c r="L24" s="21">
        <v>1274.8</v>
      </c>
      <c r="M24" s="401"/>
      <c r="N24" s="21">
        <v>1153.8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348.30000000000018</v>
      </c>
      <c r="G25" s="402"/>
      <c r="H25" s="67">
        <v>323.5</v>
      </c>
      <c r="I25" s="402"/>
      <c r="J25" s="67">
        <v>385.39999999999986</v>
      </c>
      <c r="K25" s="402"/>
      <c r="L25" s="67">
        <v>285.90000000000009</v>
      </c>
      <c r="M25" s="402"/>
      <c r="N25" s="67">
        <v>390.20000000000005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EB59-FBDB-47B5-845F-99DBCAE76416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45431</v>
      </c>
      <c r="G3" s="26" t="s">
        <v>50</v>
      </c>
      <c r="H3" s="25">
        <v>45432</v>
      </c>
      <c r="I3" s="26" t="s">
        <v>48</v>
      </c>
      <c r="J3" s="25">
        <v>45433</v>
      </c>
      <c r="K3" s="26" t="s">
        <v>49</v>
      </c>
      <c r="L3" s="25">
        <v>45437</v>
      </c>
      <c r="M3" s="26" t="s">
        <v>48</v>
      </c>
      <c r="N3" s="25">
        <v>45438</v>
      </c>
      <c r="O3" s="26" t="s">
        <v>56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85.6</v>
      </c>
      <c r="G5" s="384" t="s">
        <v>45</v>
      </c>
      <c r="H5" s="9">
        <v>88.2</v>
      </c>
      <c r="I5" s="384" t="s">
        <v>45</v>
      </c>
      <c r="J5" s="9">
        <v>88.6</v>
      </c>
      <c r="K5" s="384" t="s">
        <v>45</v>
      </c>
      <c r="L5" s="9">
        <v>75.900000000000006</v>
      </c>
      <c r="M5" s="384" t="s">
        <v>45</v>
      </c>
      <c r="N5" s="9">
        <v>74.599999999999994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47.7</v>
      </c>
      <c r="G6" s="385"/>
      <c r="H6" s="10">
        <v>53.8</v>
      </c>
      <c r="I6" s="385"/>
      <c r="J6" s="10">
        <v>65.5</v>
      </c>
      <c r="K6" s="385"/>
      <c r="L6" s="10">
        <v>49</v>
      </c>
      <c r="M6" s="385"/>
      <c r="N6" s="10">
        <v>51.5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299.10000000000002</v>
      </c>
      <c r="G7" s="385"/>
      <c r="H7" s="28">
        <v>296.2</v>
      </c>
      <c r="I7" s="385"/>
      <c r="J7" s="28">
        <v>299.10000000000002</v>
      </c>
      <c r="K7" s="385"/>
      <c r="L7" s="28">
        <v>298.60000000000002</v>
      </c>
      <c r="M7" s="385"/>
      <c r="N7" s="28">
        <v>298.60000000000002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35.400000000000247</v>
      </c>
      <c r="G8" s="385"/>
      <c r="H8" s="29">
        <v>36</v>
      </c>
      <c r="I8" s="385"/>
      <c r="J8" s="29">
        <v>38.799999999999855</v>
      </c>
      <c r="K8" s="385"/>
      <c r="L8" s="29">
        <v>26.899999999999807</v>
      </c>
      <c r="M8" s="385"/>
      <c r="N8" s="29">
        <v>29.099999999999909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13.1</v>
      </c>
      <c r="G9" s="385"/>
      <c r="H9" s="30">
        <v>13.1</v>
      </c>
      <c r="I9" s="385"/>
      <c r="J9" s="30">
        <v>13.1</v>
      </c>
      <c r="K9" s="385"/>
      <c r="L9" s="30">
        <v>13.1</v>
      </c>
      <c r="M9" s="385"/>
      <c r="N9" s="30">
        <v>13.1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26.7</v>
      </c>
      <c r="G10" s="385"/>
      <c r="H10" s="11">
        <v>30.4</v>
      </c>
      <c r="I10" s="385"/>
      <c r="J10" s="11">
        <v>31.6</v>
      </c>
      <c r="K10" s="385"/>
      <c r="L10" s="11">
        <v>23.1</v>
      </c>
      <c r="M10" s="385"/>
      <c r="N10" s="11">
        <v>22.7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23.6</v>
      </c>
      <c r="G11" s="385"/>
      <c r="H11" s="12">
        <v>22.6</v>
      </c>
      <c r="I11" s="385"/>
      <c r="J11" s="12">
        <v>22.9</v>
      </c>
      <c r="K11" s="385"/>
      <c r="L11" s="12">
        <v>23.9</v>
      </c>
      <c r="M11" s="385"/>
      <c r="N11" s="12">
        <v>25.8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659.5</v>
      </c>
      <c r="G12" s="385"/>
      <c r="H12" s="13">
        <v>856.1</v>
      </c>
      <c r="I12" s="385"/>
      <c r="J12" s="13">
        <v>872.5</v>
      </c>
      <c r="K12" s="385"/>
      <c r="L12" s="13">
        <v>909.2</v>
      </c>
      <c r="M12" s="385"/>
      <c r="N12" s="13">
        <v>688.2</v>
      </c>
      <c r="O12" s="385"/>
    </row>
    <row r="13" spans="2:15" ht="16">
      <c r="B13" s="376"/>
      <c r="C13" s="379"/>
      <c r="D13" s="388"/>
      <c r="E13" s="45" t="s">
        <v>27</v>
      </c>
      <c r="F13" s="13">
        <v>14.6</v>
      </c>
      <c r="G13" s="385"/>
      <c r="H13" s="13">
        <v>1.4</v>
      </c>
      <c r="I13" s="385"/>
      <c r="J13" s="13">
        <v>8.9</v>
      </c>
      <c r="K13" s="385"/>
      <c r="L13" s="13">
        <v>10.6</v>
      </c>
      <c r="M13" s="385"/>
      <c r="N13" s="13">
        <v>14.4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263</v>
      </c>
      <c r="G14" s="385"/>
      <c r="H14" s="14">
        <v>90</v>
      </c>
      <c r="I14" s="385"/>
      <c r="J14" s="14">
        <v>90</v>
      </c>
      <c r="K14" s="385"/>
      <c r="L14" s="14">
        <v>76.7</v>
      </c>
      <c r="M14" s="385"/>
      <c r="N14" s="14">
        <v>248.9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1468.3000000000002</v>
      </c>
      <c r="G15" s="385"/>
      <c r="H15" s="15">
        <v>1487.8000000000002</v>
      </c>
      <c r="I15" s="385"/>
      <c r="J15" s="15">
        <v>1531</v>
      </c>
      <c r="K15" s="385"/>
      <c r="L15" s="15">
        <v>1506.9999999999998</v>
      </c>
      <c r="M15" s="385"/>
      <c r="N15" s="15">
        <v>1466.9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785</v>
      </c>
      <c r="G16" s="385"/>
      <c r="H16" s="8">
        <v>915.2</v>
      </c>
      <c r="I16" s="385"/>
      <c r="J16" s="8">
        <v>934.5</v>
      </c>
      <c r="K16" s="385"/>
      <c r="L16" s="8">
        <v>879.1</v>
      </c>
      <c r="M16" s="385"/>
      <c r="N16" s="8">
        <v>816.2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-185.2</v>
      </c>
      <c r="G17" s="385"/>
      <c r="H17" s="16">
        <v>-185.2</v>
      </c>
      <c r="I17" s="385"/>
      <c r="J17" s="16">
        <v>-185.2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-122</v>
      </c>
      <c r="G19" s="385"/>
      <c r="H19" s="18">
        <v>-146</v>
      </c>
      <c r="I19" s="385"/>
      <c r="J19" s="18">
        <v>-146</v>
      </c>
      <c r="K19" s="385"/>
      <c r="L19" s="18">
        <v>-173</v>
      </c>
      <c r="M19" s="385"/>
      <c r="N19" s="18">
        <v>-148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-30.6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1097.2</v>
      </c>
      <c r="G21" s="386"/>
      <c r="H21" s="27">
        <v>1251.4000000000001</v>
      </c>
      <c r="I21" s="386"/>
      <c r="J21" s="27">
        <v>1301.3</v>
      </c>
      <c r="K21" s="386"/>
      <c r="L21" s="27">
        <v>1276.3</v>
      </c>
      <c r="M21" s="386"/>
      <c r="N21" s="27">
        <v>1188.4000000000001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1468.3000000000002</v>
      </c>
      <c r="G23" s="400"/>
      <c r="H23" s="20">
        <v>1487.8000000000002</v>
      </c>
      <c r="I23" s="400"/>
      <c r="J23" s="20">
        <v>1531</v>
      </c>
      <c r="K23" s="400"/>
      <c r="L23" s="20">
        <v>1506.9999999999998</v>
      </c>
      <c r="M23" s="400"/>
      <c r="N23" s="20">
        <v>1466.9</v>
      </c>
      <c r="O23" s="400"/>
    </row>
    <row r="24" spans="2:15" ht="16">
      <c r="B24" s="409"/>
      <c r="C24" s="403" t="s">
        <v>37</v>
      </c>
      <c r="D24" s="404"/>
      <c r="E24" s="405"/>
      <c r="F24" s="21">
        <v>1097.2</v>
      </c>
      <c r="G24" s="401"/>
      <c r="H24" s="21">
        <v>1251.4000000000001</v>
      </c>
      <c r="I24" s="401"/>
      <c r="J24" s="21">
        <v>1301.3</v>
      </c>
      <c r="K24" s="401"/>
      <c r="L24" s="21">
        <v>1276.3</v>
      </c>
      <c r="M24" s="401"/>
      <c r="N24" s="21">
        <v>1188.4000000000001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371.10000000000014</v>
      </c>
      <c r="G25" s="402"/>
      <c r="H25" s="67">
        <v>236.40000000000009</v>
      </c>
      <c r="I25" s="402"/>
      <c r="J25" s="67">
        <v>229.70000000000005</v>
      </c>
      <c r="K25" s="402"/>
      <c r="L25" s="67">
        <v>230.69999999999982</v>
      </c>
      <c r="M25" s="402"/>
      <c r="N25" s="67">
        <v>278.5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8699-F0BD-4ED4-B560-AF295389DDAA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G1" s="32" t="s">
        <v>57</v>
      </c>
      <c r="I1" s="32"/>
      <c r="O1" s="32"/>
    </row>
    <row r="2" spans="2:15" ht="16">
      <c r="B2" s="2"/>
      <c r="C2" s="367" t="s">
        <v>0</v>
      </c>
      <c r="D2" s="368"/>
      <c r="E2" s="369"/>
      <c r="F2" s="365" t="s">
        <v>42</v>
      </c>
      <c r="G2" s="366"/>
    </row>
    <row r="3" spans="2:15" ht="16.5" thickBot="1">
      <c r="B3" s="3"/>
      <c r="C3" s="372" t="s">
        <v>3</v>
      </c>
      <c r="D3" s="373"/>
      <c r="E3" s="374"/>
      <c r="F3" s="25">
        <v>45441</v>
      </c>
      <c r="G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97.1</v>
      </c>
      <c r="G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71</v>
      </c>
      <c r="G6" s="385"/>
    </row>
    <row r="7" spans="2:15" ht="16">
      <c r="B7" s="376"/>
      <c r="C7" s="379"/>
      <c r="D7" s="35" t="s">
        <v>13</v>
      </c>
      <c r="E7" s="36" t="s">
        <v>5</v>
      </c>
      <c r="F7" s="28">
        <v>297.60000000000002</v>
      </c>
      <c r="G7" s="385"/>
    </row>
    <row r="8" spans="2:15" ht="16">
      <c r="B8" s="376"/>
      <c r="C8" s="379"/>
      <c r="D8" s="37" t="s">
        <v>14</v>
      </c>
      <c r="E8" s="38" t="s">
        <v>6</v>
      </c>
      <c r="F8" s="29">
        <v>49.9</v>
      </c>
      <c r="G8" s="385"/>
    </row>
    <row r="9" spans="2:15" ht="16">
      <c r="B9" s="376"/>
      <c r="C9" s="379"/>
      <c r="D9" s="39" t="s">
        <v>15</v>
      </c>
      <c r="E9" s="40" t="s">
        <v>7</v>
      </c>
      <c r="F9" s="30">
        <v>13</v>
      </c>
      <c r="G9" s="385"/>
    </row>
    <row r="10" spans="2:15" ht="16">
      <c r="B10" s="376"/>
      <c r="C10" s="379"/>
      <c r="D10" s="41" t="s">
        <v>17</v>
      </c>
      <c r="E10" s="42" t="s">
        <v>1</v>
      </c>
      <c r="F10" s="11">
        <v>21.4</v>
      </c>
      <c r="G10" s="385"/>
    </row>
    <row r="11" spans="2:15" ht="16">
      <c r="B11" s="376"/>
      <c r="C11" s="379"/>
      <c r="D11" s="43" t="s">
        <v>16</v>
      </c>
      <c r="E11" s="44" t="s">
        <v>2</v>
      </c>
      <c r="F11" s="12">
        <v>25.4</v>
      </c>
      <c r="G11" s="385"/>
    </row>
    <row r="12" spans="2:15" ht="16">
      <c r="B12" s="376"/>
      <c r="C12" s="379"/>
      <c r="D12" s="387" t="s">
        <v>18</v>
      </c>
      <c r="E12" s="45" t="s">
        <v>26</v>
      </c>
      <c r="F12" s="13">
        <v>901.4</v>
      </c>
      <c r="G12" s="385"/>
    </row>
    <row r="13" spans="2:15" ht="16">
      <c r="B13" s="376"/>
      <c r="C13" s="379"/>
      <c r="D13" s="388"/>
      <c r="E13" s="45" t="s">
        <v>27</v>
      </c>
      <c r="F13" s="13">
        <v>10.1</v>
      </c>
      <c r="G13" s="385"/>
    </row>
    <row r="14" spans="2:15" ht="16">
      <c r="B14" s="376"/>
      <c r="C14" s="379"/>
      <c r="D14" s="46" t="s">
        <v>19</v>
      </c>
      <c r="E14" s="47" t="s">
        <v>4</v>
      </c>
      <c r="F14" s="14">
        <v>84.5</v>
      </c>
      <c r="G14" s="385"/>
    </row>
    <row r="15" spans="2:15" ht="16.5" thickBot="1">
      <c r="B15" s="376"/>
      <c r="C15" s="380"/>
      <c r="D15" s="389" t="s">
        <v>28</v>
      </c>
      <c r="E15" s="390"/>
      <c r="F15" s="15">
        <v>1571.3999999999999</v>
      </c>
      <c r="G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925</v>
      </c>
      <c r="G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-207.6</v>
      </c>
      <c r="G19" s="385"/>
    </row>
    <row r="20" spans="2:15" ht="16.5" thickBot="1">
      <c r="B20" s="376"/>
      <c r="C20" s="392"/>
      <c r="D20" s="397"/>
      <c r="E20" s="53" t="s">
        <v>33</v>
      </c>
      <c r="F20" s="19">
        <v>-2.4</v>
      </c>
      <c r="G20" s="385"/>
    </row>
    <row r="21" spans="2:15" ht="16.5" thickBot="1">
      <c r="B21" s="377"/>
      <c r="C21" s="393"/>
      <c r="D21" s="398" t="s">
        <v>34</v>
      </c>
      <c r="E21" s="399"/>
      <c r="F21" s="27">
        <v>1359.2</v>
      </c>
      <c r="G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1571.3999999999999</v>
      </c>
      <c r="G23" s="400"/>
    </row>
    <row r="24" spans="2:15" ht="16">
      <c r="B24" s="409"/>
      <c r="C24" s="403" t="s">
        <v>37</v>
      </c>
      <c r="D24" s="404"/>
      <c r="E24" s="405"/>
      <c r="F24" s="21">
        <v>1359.2</v>
      </c>
      <c r="G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212.19999999999982</v>
      </c>
      <c r="G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17">
    <mergeCell ref="C2:E2"/>
    <mergeCell ref="F2:G2"/>
    <mergeCell ref="C3:E3"/>
    <mergeCell ref="B5:B21"/>
    <mergeCell ref="C5:C15"/>
    <mergeCell ref="G5:G21"/>
    <mergeCell ref="D12:D13"/>
    <mergeCell ref="D15:E15"/>
    <mergeCell ref="C16:C21"/>
    <mergeCell ref="D17:D18"/>
    <mergeCell ref="D19:D20"/>
    <mergeCell ref="D21:E21"/>
    <mergeCell ref="B23:B25"/>
    <mergeCell ref="C23:E23"/>
    <mergeCell ref="G23:G25"/>
    <mergeCell ref="C24:E24"/>
    <mergeCell ref="D25:E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日別の需給状況・再エネ出力抑制の必要性（2024年5月）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D225-6D92-42F8-8FDA-3BC00693818E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45414</v>
      </c>
      <c r="G3" s="516"/>
      <c r="H3" s="516"/>
      <c r="I3" s="517"/>
      <c r="J3" s="515">
        <v>45415</v>
      </c>
      <c r="K3" s="516"/>
      <c r="L3" s="516"/>
      <c r="M3" s="517"/>
      <c r="N3" s="515">
        <v>45416</v>
      </c>
      <c r="O3" s="516"/>
      <c r="P3" s="516"/>
      <c r="Q3" s="517"/>
      <c r="R3" s="515">
        <v>45417</v>
      </c>
      <c r="S3" s="516"/>
      <c r="T3" s="516"/>
      <c r="U3" s="517"/>
      <c r="V3" s="515">
        <v>45419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20.3</v>
      </c>
      <c r="G5" s="165">
        <v>20.3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52.900000000000006</v>
      </c>
      <c r="G8" s="216">
        <v>52.900000000000006</v>
      </c>
      <c r="H8" s="215">
        <v>0</v>
      </c>
      <c r="I8" s="214"/>
      <c r="J8" s="217">
        <v>51.900000000000006</v>
      </c>
      <c r="K8" s="216">
        <v>51.900000000000006</v>
      </c>
      <c r="L8" s="215">
        <v>0</v>
      </c>
      <c r="M8" s="214"/>
      <c r="N8" s="217">
        <v>51.5</v>
      </c>
      <c r="O8" s="216">
        <v>51.5</v>
      </c>
      <c r="P8" s="215">
        <v>0</v>
      </c>
      <c r="Q8" s="214"/>
      <c r="R8" s="217">
        <v>51.7</v>
      </c>
      <c r="S8" s="216">
        <v>51.7</v>
      </c>
      <c r="T8" s="215">
        <v>0</v>
      </c>
      <c r="U8" s="214"/>
      <c r="V8" s="217">
        <v>54.400000000000006</v>
      </c>
      <c r="W8" s="216">
        <v>54.400000000000006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81.900000000000006</v>
      </c>
      <c r="G9" s="187">
        <v>81.900000000000006</v>
      </c>
      <c r="H9" s="187">
        <v>0</v>
      </c>
      <c r="I9" s="213" t="s">
        <v>81</v>
      </c>
      <c r="J9" s="188">
        <v>73</v>
      </c>
      <c r="K9" s="187">
        <v>73</v>
      </c>
      <c r="L9" s="187">
        <v>0</v>
      </c>
      <c r="M9" s="213" t="s">
        <v>81</v>
      </c>
      <c r="N9" s="188">
        <v>72.599999999999994</v>
      </c>
      <c r="O9" s="187">
        <v>72.599999999999994</v>
      </c>
      <c r="P9" s="187">
        <v>0</v>
      </c>
      <c r="Q9" s="213" t="s">
        <v>81</v>
      </c>
      <c r="R9" s="188">
        <v>72.800000000000011</v>
      </c>
      <c r="S9" s="187">
        <v>72.800000000000011</v>
      </c>
      <c r="T9" s="187">
        <v>0</v>
      </c>
      <c r="U9" s="213" t="s">
        <v>81</v>
      </c>
      <c r="V9" s="188">
        <v>75.5</v>
      </c>
      <c r="W9" s="187">
        <v>75.5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45414</v>
      </c>
      <c r="G11" s="433"/>
      <c r="H11" s="433"/>
      <c r="I11" s="434"/>
      <c r="J11" s="432">
        <v>45415</v>
      </c>
      <c r="K11" s="433"/>
      <c r="L11" s="433"/>
      <c r="M11" s="434"/>
      <c r="N11" s="432">
        <v>45416</v>
      </c>
      <c r="O11" s="433"/>
      <c r="P11" s="433"/>
      <c r="Q11" s="434"/>
      <c r="R11" s="432">
        <v>45417</v>
      </c>
      <c r="S11" s="433"/>
      <c r="T11" s="433"/>
      <c r="U11" s="434"/>
      <c r="V11" s="432">
        <v>45419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145</v>
      </c>
    </row>
    <row r="19" spans="3:25" ht="16">
      <c r="C19" s="523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0</v>
      </c>
      <c r="L19" s="164">
        <v>34</v>
      </c>
      <c r="M19" s="189" t="s">
        <v>149</v>
      </c>
      <c r="N19" s="166">
        <v>-34</v>
      </c>
      <c r="O19" s="165">
        <v>0</v>
      </c>
      <c r="P19" s="164">
        <v>34</v>
      </c>
      <c r="Q19" s="189" t="s">
        <v>149</v>
      </c>
      <c r="R19" s="166">
        <v>-34</v>
      </c>
      <c r="S19" s="165">
        <v>0</v>
      </c>
      <c r="T19" s="164">
        <v>34</v>
      </c>
      <c r="U19" s="189" t="s">
        <v>149</v>
      </c>
      <c r="V19" s="166">
        <v>-34</v>
      </c>
      <c r="W19" s="165">
        <v>0</v>
      </c>
      <c r="X19" s="164">
        <v>34</v>
      </c>
      <c r="Y19" s="189" t="s">
        <v>145</v>
      </c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45414</v>
      </c>
      <c r="G23" s="433"/>
      <c r="H23" s="433"/>
      <c r="I23" s="434"/>
      <c r="J23" s="432">
        <v>45415</v>
      </c>
      <c r="K23" s="433"/>
      <c r="L23" s="433"/>
      <c r="M23" s="434"/>
      <c r="N23" s="432">
        <v>45416</v>
      </c>
      <c r="O23" s="433"/>
      <c r="P23" s="433"/>
      <c r="Q23" s="434"/>
      <c r="R23" s="432">
        <v>45417</v>
      </c>
      <c r="S23" s="433"/>
      <c r="T23" s="433"/>
      <c r="U23" s="434"/>
      <c r="V23" s="432">
        <v>45419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45414</v>
      </c>
      <c r="G27" s="433"/>
      <c r="H27" s="433"/>
      <c r="I27" s="434"/>
      <c r="J27" s="432">
        <v>45415</v>
      </c>
      <c r="K27" s="433"/>
      <c r="L27" s="433"/>
      <c r="M27" s="434"/>
      <c r="N27" s="432">
        <v>45416</v>
      </c>
      <c r="O27" s="433"/>
      <c r="P27" s="433"/>
      <c r="Q27" s="434"/>
      <c r="R27" s="432">
        <v>45417</v>
      </c>
      <c r="S27" s="433"/>
      <c r="T27" s="433"/>
      <c r="U27" s="434"/>
      <c r="V27" s="432">
        <v>45419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0</v>
      </c>
      <c r="G31" s="455">
        <v>0</v>
      </c>
      <c r="H31" s="457">
        <v>0</v>
      </c>
      <c r="I31" s="459"/>
      <c r="J31" s="200">
        <v>0</v>
      </c>
      <c r="K31" s="455">
        <v>0</v>
      </c>
      <c r="L31" s="457">
        <v>0</v>
      </c>
      <c r="M31" s="459"/>
      <c r="N31" s="200">
        <v>0</v>
      </c>
      <c r="O31" s="455">
        <v>0</v>
      </c>
      <c r="P31" s="457">
        <v>0</v>
      </c>
      <c r="Q31" s="459"/>
      <c r="R31" s="200">
        <v>27.2</v>
      </c>
      <c r="S31" s="455">
        <v>2.9</v>
      </c>
      <c r="T31" s="457">
        <v>-24.3</v>
      </c>
      <c r="U31" s="459" t="s">
        <v>146</v>
      </c>
      <c r="V31" s="200">
        <v>27.2</v>
      </c>
      <c r="W31" s="455">
        <v>36.9</v>
      </c>
      <c r="X31" s="457">
        <v>9.6999999999999993</v>
      </c>
      <c r="Y31" s="459"/>
    </row>
    <row r="32" spans="3:25" ht="16">
      <c r="C32" s="528"/>
      <c r="D32" s="442"/>
      <c r="E32" s="454"/>
      <c r="F32" s="202">
        <v>0</v>
      </c>
      <c r="G32" s="456">
        <v>0</v>
      </c>
      <c r="H32" s="458"/>
      <c r="I32" s="460"/>
      <c r="J32" s="202">
        <v>0</v>
      </c>
      <c r="K32" s="456">
        <v>0</v>
      </c>
      <c r="L32" s="458"/>
      <c r="M32" s="460"/>
      <c r="N32" s="202">
        <v>0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19.899999999999999</v>
      </c>
      <c r="G33" s="199">
        <v>24.3</v>
      </c>
      <c r="H33" s="457">
        <v>4.4000000000000021</v>
      </c>
      <c r="I33" s="459" t="s">
        <v>148</v>
      </c>
      <c r="J33" s="200">
        <v>19.899999999999999</v>
      </c>
      <c r="K33" s="199">
        <v>24.1</v>
      </c>
      <c r="L33" s="457">
        <v>4.2000000000000028</v>
      </c>
      <c r="M33" s="459" t="s">
        <v>148</v>
      </c>
      <c r="N33" s="200">
        <v>19.899999999999999</v>
      </c>
      <c r="O33" s="199">
        <v>24.1</v>
      </c>
      <c r="P33" s="457">
        <v>4.2000000000000028</v>
      </c>
      <c r="Q33" s="459" t="s">
        <v>148</v>
      </c>
      <c r="R33" s="200">
        <v>19.899999999999999</v>
      </c>
      <c r="S33" s="199">
        <v>21.1</v>
      </c>
      <c r="T33" s="457">
        <v>1.2000000000000028</v>
      </c>
      <c r="U33" s="459" t="s">
        <v>148</v>
      </c>
      <c r="V33" s="200">
        <v>19.899999999999999</v>
      </c>
      <c r="W33" s="199">
        <v>24.2</v>
      </c>
      <c r="X33" s="457">
        <v>4.3000000000000007</v>
      </c>
      <c r="Y33" s="459"/>
    </row>
    <row r="34" spans="3:25" ht="16">
      <c r="C34" s="528"/>
      <c r="D34" s="467"/>
      <c r="E34" s="463" t="s">
        <v>104</v>
      </c>
      <c r="F34" s="198">
        <v>0.16</v>
      </c>
      <c r="G34" s="197">
        <v>0.2</v>
      </c>
      <c r="H34" s="458"/>
      <c r="I34" s="460"/>
      <c r="J34" s="198">
        <v>0.16</v>
      </c>
      <c r="K34" s="197">
        <v>0.2</v>
      </c>
      <c r="L34" s="458"/>
      <c r="M34" s="460"/>
      <c r="N34" s="198">
        <v>0.16</v>
      </c>
      <c r="O34" s="197">
        <v>0.2</v>
      </c>
      <c r="P34" s="458"/>
      <c r="Q34" s="460"/>
      <c r="R34" s="198">
        <v>0.16</v>
      </c>
      <c r="S34" s="197">
        <v>0.17</v>
      </c>
      <c r="T34" s="458"/>
      <c r="U34" s="460"/>
      <c r="V34" s="198">
        <v>0.16</v>
      </c>
      <c r="W34" s="197">
        <v>0.2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0.19999999999999857</v>
      </c>
      <c r="H37" s="164">
        <v>-9.8000000000000007</v>
      </c>
      <c r="I37" s="189" t="s">
        <v>147</v>
      </c>
      <c r="J37" s="166">
        <v>10</v>
      </c>
      <c r="K37" s="165">
        <v>0.3</v>
      </c>
      <c r="L37" s="164">
        <v>-9.6999999999999993</v>
      </c>
      <c r="M37" s="189" t="s">
        <v>147</v>
      </c>
      <c r="N37" s="166">
        <v>10</v>
      </c>
      <c r="O37" s="165">
        <v>0.5</v>
      </c>
      <c r="P37" s="164">
        <v>-9.5</v>
      </c>
      <c r="Q37" s="189" t="s">
        <v>147</v>
      </c>
      <c r="R37" s="166">
        <v>10</v>
      </c>
      <c r="S37" s="165">
        <v>0.4</v>
      </c>
      <c r="T37" s="164">
        <v>-9.6</v>
      </c>
      <c r="U37" s="189" t="s">
        <v>147</v>
      </c>
      <c r="V37" s="166">
        <v>10</v>
      </c>
      <c r="W37" s="165">
        <v>0.5</v>
      </c>
      <c r="X37" s="164">
        <v>-9.5</v>
      </c>
      <c r="Y37" s="189"/>
    </row>
    <row r="38" spans="3:25" ht="16.5" thickBot="1">
      <c r="C38" s="529"/>
      <c r="D38" s="427" t="s">
        <v>101</v>
      </c>
      <c r="E38" s="428"/>
      <c r="F38" s="188">
        <v>29.9</v>
      </c>
      <c r="G38" s="187">
        <v>24.5</v>
      </c>
      <c r="H38" s="187">
        <v>-5.3999999999999986</v>
      </c>
      <c r="I38" s="186"/>
      <c r="J38" s="188">
        <v>29.9</v>
      </c>
      <c r="K38" s="187">
        <v>24.400000000000002</v>
      </c>
      <c r="L38" s="187">
        <v>-5.4999999999999964</v>
      </c>
      <c r="M38" s="186"/>
      <c r="N38" s="188">
        <v>29.9</v>
      </c>
      <c r="O38" s="187">
        <v>24.6</v>
      </c>
      <c r="P38" s="187">
        <v>-5.2999999999999972</v>
      </c>
      <c r="Q38" s="186"/>
      <c r="R38" s="188">
        <v>57.099999999999994</v>
      </c>
      <c r="S38" s="187">
        <v>24.4</v>
      </c>
      <c r="T38" s="187">
        <v>-32.699999999999996</v>
      </c>
      <c r="U38" s="186"/>
      <c r="V38" s="188">
        <v>57.099999999999994</v>
      </c>
      <c r="W38" s="187">
        <v>61.599999999999994</v>
      </c>
      <c r="X38" s="187">
        <v>4.5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45414</v>
      </c>
      <c r="G40" s="470"/>
      <c r="H40" s="470"/>
      <c r="I40" s="471"/>
      <c r="J40" s="469">
        <v>45415</v>
      </c>
      <c r="K40" s="470"/>
      <c r="L40" s="470"/>
      <c r="M40" s="471"/>
      <c r="N40" s="469">
        <v>45416</v>
      </c>
      <c r="O40" s="470"/>
      <c r="P40" s="470"/>
      <c r="Q40" s="471"/>
      <c r="R40" s="469">
        <v>45417</v>
      </c>
      <c r="S40" s="470"/>
      <c r="T40" s="470"/>
      <c r="U40" s="471"/>
      <c r="V40" s="469">
        <v>45419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47.3</v>
      </c>
      <c r="G42" s="478">
        <v>0</v>
      </c>
      <c r="H42" s="457">
        <v>-47.3</v>
      </c>
      <c r="I42" s="459" t="s">
        <v>146</v>
      </c>
      <c r="J42" s="178">
        <v>58.8</v>
      </c>
      <c r="K42" s="478">
        <v>0</v>
      </c>
      <c r="L42" s="457">
        <v>-58.8</v>
      </c>
      <c r="M42" s="459" t="s">
        <v>146</v>
      </c>
      <c r="N42" s="178">
        <v>63.4</v>
      </c>
      <c r="O42" s="478">
        <v>0</v>
      </c>
      <c r="P42" s="457">
        <v>-63.4</v>
      </c>
      <c r="Q42" s="459" t="s">
        <v>146</v>
      </c>
      <c r="R42" s="178">
        <v>102.9</v>
      </c>
      <c r="S42" s="478">
        <v>0</v>
      </c>
      <c r="T42" s="457">
        <v>-102.9</v>
      </c>
      <c r="U42" s="459" t="s">
        <v>146</v>
      </c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153.6</v>
      </c>
      <c r="G43" s="479"/>
      <c r="H43" s="480"/>
      <c r="I43" s="481"/>
      <c r="J43" s="183">
        <v>150.69999999999999</v>
      </c>
      <c r="K43" s="479"/>
      <c r="L43" s="480"/>
      <c r="M43" s="481"/>
      <c r="N43" s="183">
        <v>150.69999999999999</v>
      </c>
      <c r="O43" s="479"/>
      <c r="P43" s="480"/>
      <c r="Q43" s="481"/>
      <c r="R43" s="183">
        <v>148.6</v>
      </c>
      <c r="S43" s="479"/>
      <c r="T43" s="480"/>
      <c r="U43" s="481"/>
      <c r="V43" s="183">
        <v>187.6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45414</v>
      </c>
      <c r="G45" s="470"/>
      <c r="H45" s="470"/>
      <c r="I45" s="471"/>
      <c r="J45" s="469">
        <v>45415</v>
      </c>
      <c r="K45" s="470"/>
      <c r="L45" s="470"/>
      <c r="M45" s="471"/>
      <c r="N45" s="469">
        <v>45416</v>
      </c>
      <c r="O45" s="470"/>
      <c r="P45" s="470"/>
      <c r="Q45" s="471"/>
      <c r="R45" s="469">
        <v>45417</v>
      </c>
      <c r="S45" s="470"/>
      <c r="T45" s="470"/>
      <c r="U45" s="471"/>
      <c r="V45" s="469">
        <v>45419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27.4</v>
      </c>
      <c r="G47" s="478">
        <v>27.4</v>
      </c>
      <c r="H47" s="457">
        <v>0</v>
      </c>
      <c r="I47" s="459"/>
      <c r="J47" s="178">
        <v>27.4</v>
      </c>
      <c r="K47" s="478">
        <v>27.4</v>
      </c>
      <c r="L47" s="457">
        <v>0</v>
      </c>
      <c r="M47" s="459"/>
      <c r="N47" s="178">
        <v>27.4</v>
      </c>
      <c r="O47" s="478">
        <v>27.4</v>
      </c>
      <c r="P47" s="457">
        <v>0</v>
      </c>
      <c r="Q47" s="459"/>
      <c r="R47" s="178">
        <v>27.4</v>
      </c>
      <c r="S47" s="478">
        <v>25.6</v>
      </c>
      <c r="T47" s="457">
        <v>-1.7999999999999972</v>
      </c>
      <c r="U47" s="459" t="s">
        <v>146</v>
      </c>
      <c r="V47" s="178">
        <v>29</v>
      </c>
      <c r="W47" s="478">
        <v>26.9</v>
      </c>
      <c r="X47" s="457">
        <v>-2.1000000000000014</v>
      </c>
      <c r="Y47" s="459" t="s">
        <v>145</v>
      </c>
    </row>
    <row r="48" spans="3:25" ht="16.5" thickBot="1">
      <c r="C48" s="533"/>
      <c r="D48" s="487"/>
      <c r="E48" s="489"/>
      <c r="F48" s="177">
        <v>0.68</v>
      </c>
      <c r="G48" s="479"/>
      <c r="H48" s="480"/>
      <c r="I48" s="481"/>
      <c r="J48" s="177">
        <v>0.68</v>
      </c>
      <c r="K48" s="479"/>
      <c r="L48" s="480"/>
      <c r="M48" s="481"/>
      <c r="N48" s="177">
        <v>0.68</v>
      </c>
      <c r="O48" s="479"/>
      <c r="P48" s="480"/>
      <c r="Q48" s="481"/>
      <c r="R48" s="177">
        <v>0.68</v>
      </c>
      <c r="S48" s="479"/>
      <c r="T48" s="480"/>
      <c r="U48" s="481"/>
      <c r="V48" s="177">
        <v>0.64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45414</v>
      </c>
      <c r="G50" s="470"/>
      <c r="H50" s="470"/>
      <c r="I50" s="471"/>
      <c r="J50" s="469">
        <v>45415</v>
      </c>
      <c r="K50" s="470"/>
      <c r="L50" s="470"/>
      <c r="M50" s="471"/>
      <c r="N50" s="469">
        <v>45416</v>
      </c>
      <c r="O50" s="470"/>
      <c r="P50" s="470"/>
      <c r="Q50" s="471"/>
      <c r="R50" s="469">
        <v>45417</v>
      </c>
      <c r="S50" s="470"/>
      <c r="T50" s="470"/>
      <c r="U50" s="471"/>
      <c r="V50" s="469">
        <v>45419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25.5</v>
      </c>
      <c r="H53" s="159" t="s">
        <v>81</v>
      </c>
      <c r="I53" s="158" t="s">
        <v>144</v>
      </c>
      <c r="J53" s="161">
        <v>0</v>
      </c>
      <c r="K53" s="160">
        <v>25.4</v>
      </c>
      <c r="L53" s="159" t="s">
        <v>81</v>
      </c>
      <c r="M53" s="158" t="s">
        <v>144</v>
      </c>
      <c r="N53" s="161">
        <v>0</v>
      </c>
      <c r="O53" s="160">
        <v>25.2</v>
      </c>
      <c r="P53" s="159" t="s">
        <v>81</v>
      </c>
      <c r="Q53" s="158" t="s">
        <v>144</v>
      </c>
      <c r="R53" s="161">
        <v>0</v>
      </c>
      <c r="S53" s="160">
        <v>25.6</v>
      </c>
      <c r="T53" s="159" t="s">
        <v>81</v>
      </c>
      <c r="U53" s="158" t="s">
        <v>144</v>
      </c>
      <c r="V53" s="161">
        <v>0</v>
      </c>
      <c r="W53" s="160">
        <v>25.2</v>
      </c>
      <c r="X53" s="159" t="s">
        <v>81</v>
      </c>
      <c r="Y53" s="158" t="s">
        <v>144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6B95-C034-483F-9E42-BEFC41A28934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45420</v>
      </c>
      <c r="G3" s="516"/>
      <c r="H3" s="516"/>
      <c r="I3" s="517"/>
      <c r="J3" s="515">
        <v>45421</v>
      </c>
      <c r="K3" s="516"/>
      <c r="L3" s="516"/>
      <c r="M3" s="517"/>
      <c r="N3" s="515">
        <v>45422</v>
      </c>
      <c r="O3" s="516"/>
      <c r="P3" s="516"/>
      <c r="Q3" s="517"/>
      <c r="R3" s="515">
        <v>45423</v>
      </c>
      <c r="S3" s="516"/>
      <c r="T3" s="516"/>
      <c r="U3" s="517"/>
      <c r="V3" s="515">
        <v>45425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12.4</v>
      </c>
      <c r="O5" s="165">
        <v>12.4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0</v>
      </c>
      <c r="S6" s="165">
        <v>0</v>
      </c>
      <c r="T6" s="164">
        <v>0</v>
      </c>
      <c r="U6" s="219"/>
      <c r="V6" s="166">
        <v>0</v>
      </c>
      <c r="W6" s="165">
        <v>0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54.900000000000006</v>
      </c>
      <c r="G8" s="216">
        <v>90.2</v>
      </c>
      <c r="H8" s="215">
        <v>35.299999999999997</v>
      </c>
      <c r="I8" s="214" t="s">
        <v>146</v>
      </c>
      <c r="J8" s="217">
        <v>54.5</v>
      </c>
      <c r="K8" s="216">
        <v>54.5</v>
      </c>
      <c r="L8" s="215">
        <v>0</v>
      </c>
      <c r="M8" s="214"/>
      <c r="N8" s="217">
        <v>54.1</v>
      </c>
      <c r="O8" s="216">
        <v>54.1</v>
      </c>
      <c r="P8" s="215">
        <v>0</v>
      </c>
      <c r="Q8" s="214"/>
      <c r="R8" s="217">
        <v>53.1</v>
      </c>
      <c r="S8" s="216">
        <v>53.1</v>
      </c>
      <c r="T8" s="215">
        <v>0</v>
      </c>
      <c r="U8" s="214"/>
      <c r="V8" s="217">
        <v>54.300000000000004</v>
      </c>
      <c r="W8" s="216">
        <v>54.300000000000004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76</v>
      </c>
      <c r="G9" s="187">
        <v>111.30000000000001</v>
      </c>
      <c r="H9" s="187">
        <v>35.299999999999997</v>
      </c>
      <c r="I9" s="213" t="s">
        <v>81</v>
      </c>
      <c r="J9" s="188">
        <v>75.599999999999994</v>
      </c>
      <c r="K9" s="187">
        <v>75.599999999999994</v>
      </c>
      <c r="L9" s="187">
        <v>0</v>
      </c>
      <c r="M9" s="213" t="s">
        <v>81</v>
      </c>
      <c r="N9" s="188">
        <v>75.2</v>
      </c>
      <c r="O9" s="187">
        <v>75.2</v>
      </c>
      <c r="P9" s="187">
        <v>0</v>
      </c>
      <c r="Q9" s="213" t="s">
        <v>81</v>
      </c>
      <c r="R9" s="188">
        <v>65.5</v>
      </c>
      <c r="S9" s="187">
        <v>65.5</v>
      </c>
      <c r="T9" s="187">
        <v>0</v>
      </c>
      <c r="U9" s="213" t="s">
        <v>81</v>
      </c>
      <c r="V9" s="188">
        <v>87</v>
      </c>
      <c r="W9" s="187">
        <v>87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45420</v>
      </c>
      <c r="G11" s="433"/>
      <c r="H11" s="433"/>
      <c r="I11" s="434"/>
      <c r="J11" s="432">
        <v>45421</v>
      </c>
      <c r="K11" s="433"/>
      <c r="L11" s="433"/>
      <c r="M11" s="434"/>
      <c r="N11" s="432">
        <v>45422</v>
      </c>
      <c r="O11" s="433"/>
      <c r="P11" s="433"/>
      <c r="Q11" s="434"/>
      <c r="R11" s="432">
        <v>45423</v>
      </c>
      <c r="S11" s="433"/>
      <c r="T11" s="433"/>
      <c r="U11" s="434"/>
      <c r="V11" s="432">
        <v>45425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0</v>
      </c>
      <c r="H17" s="164">
        <v>34</v>
      </c>
      <c r="I17" s="189" t="s">
        <v>149</v>
      </c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149</v>
      </c>
    </row>
    <row r="19" spans="3:25" ht="16">
      <c r="C19" s="523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0</v>
      </c>
      <c r="L19" s="164">
        <v>34</v>
      </c>
      <c r="M19" s="189" t="s">
        <v>149</v>
      </c>
      <c r="N19" s="166">
        <v>-34</v>
      </c>
      <c r="O19" s="165">
        <v>0</v>
      </c>
      <c r="P19" s="164">
        <v>34</v>
      </c>
      <c r="Q19" s="189" t="s">
        <v>149</v>
      </c>
      <c r="R19" s="166">
        <v>-34</v>
      </c>
      <c r="S19" s="165">
        <v>0</v>
      </c>
      <c r="T19" s="164">
        <v>34</v>
      </c>
      <c r="U19" s="189" t="s">
        <v>149</v>
      </c>
      <c r="V19" s="166">
        <v>-34</v>
      </c>
      <c r="W19" s="165">
        <v>0</v>
      </c>
      <c r="X19" s="164">
        <v>34</v>
      </c>
      <c r="Y19" s="189" t="s">
        <v>149</v>
      </c>
    </row>
    <row r="20" spans="3:25" ht="16">
      <c r="C20" s="523"/>
      <c r="D20" s="442"/>
      <c r="E20" s="211" t="s">
        <v>121</v>
      </c>
      <c r="F20" s="166">
        <v>-34</v>
      </c>
      <c r="G20" s="165">
        <v>0</v>
      </c>
      <c r="H20" s="164">
        <v>34</v>
      </c>
      <c r="I20" s="189" t="s">
        <v>149</v>
      </c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-117.2</v>
      </c>
      <c r="H21" s="187">
        <v>136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45420</v>
      </c>
      <c r="G23" s="433"/>
      <c r="H23" s="433"/>
      <c r="I23" s="434"/>
      <c r="J23" s="432">
        <v>45421</v>
      </c>
      <c r="K23" s="433"/>
      <c r="L23" s="433"/>
      <c r="M23" s="434"/>
      <c r="N23" s="432">
        <v>45422</v>
      </c>
      <c r="O23" s="433"/>
      <c r="P23" s="433"/>
      <c r="Q23" s="434"/>
      <c r="R23" s="432">
        <v>45423</v>
      </c>
      <c r="S23" s="433"/>
      <c r="T23" s="433"/>
      <c r="U23" s="434"/>
      <c r="V23" s="432">
        <v>45425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45420</v>
      </c>
      <c r="G27" s="433"/>
      <c r="H27" s="433"/>
      <c r="I27" s="434"/>
      <c r="J27" s="432">
        <v>45421</v>
      </c>
      <c r="K27" s="433"/>
      <c r="L27" s="433"/>
      <c r="M27" s="434"/>
      <c r="N27" s="432">
        <v>45422</v>
      </c>
      <c r="O27" s="433"/>
      <c r="P27" s="433"/>
      <c r="Q27" s="434"/>
      <c r="R27" s="432">
        <v>45423</v>
      </c>
      <c r="S27" s="433"/>
      <c r="T27" s="433"/>
      <c r="U27" s="434"/>
      <c r="V27" s="432">
        <v>45425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36.9</v>
      </c>
      <c r="H31" s="457">
        <f>G31-F31</f>
        <v>9.6999999999999993</v>
      </c>
      <c r="I31" s="459" t="s">
        <v>151</v>
      </c>
      <c r="J31" s="200">
        <v>27.2</v>
      </c>
      <c r="K31" s="455">
        <v>36.9</v>
      </c>
      <c r="L31" s="457">
        <v>9.6999999999999993</v>
      </c>
      <c r="M31" s="459" t="s">
        <v>149</v>
      </c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27.2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19.899999999999999</v>
      </c>
      <c r="G33" s="199">
        <v>38.1</v>
      </c>
      <c r="H33" s="457">
        <v>18.200000000000003</v>
      </c>
      <c r="I33" s="459" t="s">
        <v>148</v>
      </c>
      <c r="J33" s="200">
        <v>19.899999999999999</v>
      </c>
      <c r="K33" s="199">
        <v>34.4</v>
      </c>
      <c r="L33" s="457">
        <v>14.5</v>
      </c>
      <c r="M33" s="459" t="s">
        <v>148</v>
      </c>
      <c r="N33" s="200">
        <v>19.899999999999999</v>
      </c>
      <c r="O33" s="199">
        <v>35.4</v>
      </c>
      <c r="P33" s="457">
        <v>15.5</v>
      </c>
      <c r="Q33" s="459" t="s">
        <v>148</v>
      </c>
      <c r="R33" s="200">
        <v>19.899999999999999</v>
      </c>
      <c r="S33" s="199">
        <v>28.9</v>
      </c>
      <c r="T33" s="457">
        <v>9</v>
      </c>
      <c r="U33" s="459" t="s">
        <v>148</v>
      </c>
      <c r="V33" s="200">
        <v>19.899999999999999</v>
      </c>
      <c r="W33" s="199">
        <v>38</v>
      </c>
      <c r="X33" s="457">
        <v>18.100000000000001</v>
      </c>
      <c r="Y33" s="459" t="s">
        <v>148</v>
      </c>
    </row>
    <row r="34" spans="3:25" ht="16">
      <c r="C34" s="528"/>
      <c r="D34" s="467"/>
      <c r="E34" s="463" t="s">
        <v>104</v>
      </c>
      <c r="F34" s="198">
        <v>0.16</v>
      </c>
      <c r="G34" s="197">
        <v>0.32</v>
      </c>
      <c r="H34" s="458"/>
      <c r="I34" s="460"/>
      <c r="J34" s="198">
        <v>0.16</v>
      </c>
      <c r="K34" s="197">
        <v>0.28000000000000003</v>
      </c>
      <c r="L34" s="458"/>
      <c r="M34" s="460"/>
      <c r="N34" s="198">
        <v>0.16</v>
      </c>
      <c r="O34" s="197">
        <v>0.28999999999999998</v>
      </c>
      <c r="P34" s="458"/>
      <c r="Q34" s="460"/>
      <c r="R34" s="198">
        <v>0.16</v>
      </c>
      <c r="S34" s="197">
        <v>0.24</v>
      </c>
      <c r="T34" s="458"/>
      <c r="U34" s="460"/>
      <c r="V34" s="198">
        <v>0.16</v>
      </c>
      <c r="W34" s="197">
        <v>0.31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0.4</v>
      </c>
      <c r="H37" s="164">
        <v>-9.6</v>
      </c>
      <c r="I37" s="189" t="s">
        <v>147</v>
      </c>
      <c r="J37" s="166">
        <v>10</v>
      </c>
      <c r="K37" s="165">
        <v>0.4</v>
      </c>
      <c r="L37" s="164">
        <v>-9.6</v>
      </c>
      <c r="M37" s="189" t="s">
        <v>147</v>
      </c>
      <c r="N37" s="166">
        <v>10</v>
      </c>
      <c r="O37" s="165">
        <v>0.30000000000000571</v>
      </c>
      <c r="P37" s="164">
        <v>-9.699999999999994</v>
      </c>
      <c r="Q37" s="189" t="s">
        <v>147</v>
      </c>
      <c r="R37" s="166">
        <v>10</v>
      </c>
      <c r="S37" s="165">
        <v>0.6</v>
      </c>
      <c r="T37" s="164">
        <v>-9.4</v>
      </c>
      <c r="U37" s="189" t="s">
        <v>147</v>
      </c>
      <c r="V37" s="166">
        <v>10</v>
      </c>
      <c r="W37" s="165">
        <v>0.5</v>
      </c>
      <c r="X37" s="164">
        <v>-9.5</v>
      </c>
      <c r="Y37" s="189" t="s">
        <v>147</v>
      </c>
    </row>
    <row r="38" spans="3:25" ht="16.5" thickBot="1">
      <c r="C38" s="529"/>
      <c r="D38" s="427" t="s">
        <v>101</v>
      </c>
      <c r="E38" s="428"/>
      <c r="F38" s="188">
        <v>57.099999999999994</v>
      </c>
      <c r="G38" s="187">
        <v>75.400000000000006</v>
      </c>
      <c r="H38" s="187">
        <v>18.300000000000004</v>
      </c>
      <c r="I38" s="186"/>
      <c r="J38" s="188">
        <v>57.099999999999994</v>
      </c>
      <c r="K38" s="187">
        <v>71.7</v>
      </c>
      <c r="L38" s="187">
        <v>14.6</v>
      </c>
      <c r="M38" s="186"/>
      <c r="N38" s="188">
        <v>57.099999999999994</v>
      </c>
      <c r="O38" s="187">
        <v>72.600000000000009</v>
      </c>
      <c r="P38" s="187">
        <v>15.500000000000005</v>
      </c>
      <c r="Q38" s="186"/>
      <c r="R38" s="188">
        <v>57.099999999999994</v>
      </c>
      <c r="S38" s="187">
        <v>56.7</v>
      </c>
      <c r="T38" s="187">
        <v>-0.5</v>
      </c>
      <c r="U38" s="186"/>
      <c r="V38" s="188">
        <v>57.099999999999994</v>
      </c>
      <c r="W38" s="187">
        <v>65.7</v>
      </c>
      <c r="X38" s="187">
        <v>8.6000000000000014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45420</v>
      </c>
      <c r="G40" s="470"/>
      <c r="H40" s="470"/>
      <c r="I40" s="471"/>
      <c r="J40" s="469">
        <v>45421</v>
      </c>
      <c r="K40" s="470"/>
      <c r="L40" s="470"/>
      <c r="M40" s="471"/>
      <c r="N40" s="469">
        <v>45422</v>
      </c>
      <c r="O40" s="470"/>
      <c r="P40" s="470"/>
      <c r="Q40" s="471"/>
      <c r="R40" s="469">
        <v>45423</v>
      </c>
      <c r="S40" s="470"/>
      <c r="T40" s="470"/>
      <c r="U40" s="471"/>
      <c r="V40" s="469">
        <v>45425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22.3</v>
      </c>
      <c r="O42" s="478">
        <v>22.3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9</v>
      </c>
      <c r="W42" s="478">
        <v>9</v>
      </c>
      <c r="X42" s="457">
        <v>0</v>
      </c>
      <c r="Y42" s="459"/>
    </row>
    <row r="43" spans="3:25" ht="16.5" thickBot="1">
      <c r="C43" s="531"/>
      <c r="D43" s="475"/>
      <c r="E43" s="477"/>
      <c r="F43" s="183">
        <v>186.6</v>
      </c>
      <c r="G43" s="479"/>
      <c r="H43" s="480"/>
      <c r="I43" s="481"/>
      <c r="J43" s="183">
        <v>146</v>
      </c>
      <c r="K43" s="479"/>
      <c r="L43" s="480"/>
      <c r="M43" s="481"/>
      <c r="N43" s="183">
        <v>168.3</v>
      </c>
      <c r="O43" s="479"/>
      <c r="P43" s="480"/>
      <c r="Q43" s="481"/>
      <c r="R43" s="183">
        <v>123</v>
      </c>
      <c r="S43" s="479"/>
      <c r="T43" s="480"/>
      <c r="U43" s="481"/>
      <c r="V43" s="183">
        <v>155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45420</v>
      </c>
      <c r="G45" s="470"/>
      <c r="H45" s="470"/>
      <c r="I45" s="471"/>
      <c r="J45" s="469">
        <v>45421</v>
      </c>
      <c r="K45" s="470"/>
      <c r="L45" s="470"/>
      <c r="M45" s="471"/>
      <c r="N45" s="469">
        <v>45422</v>
      </c>
      <c r="O45" s="470"/>
      <c r="P45" s="470"/>
      <c r="Q45" s="471"/>
      <c r="R45" s="469">
        <v>45423</v>
      </c>
      <c r="S45" s="470"/>
      <c r="T45" s="470"/>
      <c r="U45" s="471"/>
      <c r="V45" s="469">
        <v>45425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32.5</v>
      </c>
      <c r="G47" s="478">
        <v>29.4</v>
      </c>
      <c r="H47" s="457">
        <v>-3.1000000000000014</v>
      </c>
      <c r="I47" s="459"/>
      <c r="J47" s="178">
        <v>32.5</v>
      </c>
      <c r="K47" s="478">
        <v>31.4</v>
      </c>
      <c r="L47" s="457">
        <v>-1.1000000000000014</v>
      </c>
      <c r="M47" s="459" t="s">
        <v>145</v>
      </c>
      <c r="N47" s="178">
        <v>32.5</v>
      </c>
      <c r="O47" s="478">
        <v>35.5</v>
      </c>
      <c r="P47" s="457">
        <v>3</v>
      </c>
      <c r="Q47" s="459" t="s">
        <v>150</v>
      </c>
      <c r="R47" s="178">
        <v>32.5</v>
      </c>
      <c r="S47" s="478">
        <v>34.200000000000003</v>
      </c>
      <c r="T47" s="457">
        <v>1.7000000000000028</v>
      </c>
      <c r="U47" s="459" t="s">
        <v>148</v>
      </c>
      <c r="V47" s="178">
        <v>30.1</v>
      </c>
      <c r="W47" s="478">
        <v>29.8</v>
      </c>
      <c r="X47" s="457">
        <v>-0.30000000000000071</v>
      </c>
      <c r="Y47" s="459" t="s">
        <v>145</v>
      </c>
    </row>
    <row r="48" spans="3:25" ht="16.5" thickBot="1">
      <c r="C48" s="533"/>
      <c r="D48" s="487"/>
      <c r="E48" s="489"/>
      <c r="F48" s="177">
        <v>0.61</v>
      </c>
      <c r="G48" s="479"/>
      <c r="H48" s="480"/>
      <c r="I48" s="481"/>
      <c r="J48" s="177">
        <v>0.61</v>
      </c>
      <c r="K48" s="479"/>
      <c r="L48" s="480"/>
      <c r="M48" s="481"/>
      <c r="N48" s="177">
        <v>0.61</v>
      </c>
      <c r="O48" s="479"/>
      <c r="P48" s="480"/>
      <c r="Q48" s="481"/>
      <c r="R48" s="177">
        <v>0.61</v>
      </c>
      <c r="S48" s="479"/>
      <c r="T48" s="480"/>
      <c r="U48" s="460"/>
      <c r="V48" s="177">
        <v>0.63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45420</v>
      </c>
      <c r="G50" s="470"/>
      <c r="H50" s="470"/>
      <c r="I50" s="471"/>
      <c r="J50" s="469">
        <v>45421</v>
      </c>
      <c r="K50" s="470"/>
      <c r="L50" s="470"/>
      <c r="M50" s="471"/>
      <c r="N50" s="469">
        <v>45422</v>
      </c>
      <c r="O50" s="470"/>
      <c r="P50" s="470"/>
      <c r="Q50" s="471"/>
      <c r="R50" s="469">
        <v>45423</v>
      </c>
      <c r="S50" s="470"/>
      <c r="T50" s="470"/>
      <c r="U50" s="471"/>
      <c r="V50" s="469">
        <v>45425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24.6</v>
      </c>
      <c r="H53" s="159" t="s">
        <v>81</v>
      </c>
      <c r="I53" s="158" t="s">
        <v>144</v>
      </c>
      <c r="J53" s="161">
        <v>0</v>
      </c>
      <c r="K53" s="160">
        <v>24.2</v>
      </c>
      <c r="L53" s="159" t="s">
        <v>81</v>
      </c>
      <c r="M53" s="158" t="s">
        <v>144</v>
      </c>
      <c r="N53" s="161">
        <v>0</v>
      </c>
      <c r="O53" s="160">
        <v>23.6</v>
      </c>
      <c r="P53" s="159" t="s">
        <v>81</v>
      </c>
      <c r="Q53" s="158" t="s">
        <v>144</v>
      </c>
      <c r="R53" s="161">
        <v>0</v>
      </c>
      <c r="S53" s="160">
        <v>24</v>
      </c>
      <c r="T53" s="159" t="s">
        <v>81</v>
      </c>
      <c r="U53" s="158" t="s">
        <v>144</v>
      </c>
      <c r="V53" s="161">
        <v>0</v>
      </c>
      <c r="W53" s="160">
        <v>24.2</v>
      </c>
      <c r="X53" s="159" t="s">
        <v>81</v>
      </c>
      <c r="Y53" s="158" t="s">
        <v>144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C51:D53"/>
    <mergeCell ref="X47:X48"/>
    <mergeCell ref="Y47:Y48"/>
    <mergeCell ref="C50:E50"/>
    <mergeCell ref="F50:I50"/>
    <mergeCell ref="J50:M50"/>
    <mergeCell ref="N50:Q50"/>
    <mergeCell ref="R50:U50"/>
    <mergeCell ref="V50:Y50"/>
    <mergeCell ref="L47:L48"/>
    <mergeCell ref="M47:M48"/>
    <mergeCell ref="O47:O48"/>
    <mergeCell ref="C46:D48"/>
    <mergeCell ref="E47:E48"/>
    <mergeCell ref="G47:G48"/>
    <mergeCell ref="H47:H48"/>
    <mergeCell ref="I47:I48"/>
    <mergeCell ref="P42:P43"/>
    <mergeCell ref="Q42:Q43"/>
    <mergeCell ref="S42:S43"/>
    <mergeCell ref="T42:T43"/>
    <mergeCell ref="U42:U43"/>
    <mergeCell ref="W42:W43"/>
    <mergeCell ref="X42:X43"/>
    <mergeCell ref="Y42:Y43"/>
    <mergeCell ref="K47:K48"/>
    <mergeCell ref="P47:P48"/>
    <mergeCell ref="Q47:Q48"/>
    <mergeCell ref="S47:S48"/>
    <mergeCell ref="T47:T48"/>
    <mergeCell ref="U47:U48"/>
    <mergeCell ref="W47:W48"/>
    <mergeCell ref="V45:Y45"/>
    <mergeCell ref="C45:E45"/>
    <mergeCell ref="F45:I45"/>
    <mergeCell ref="J45:M45"/>
    <mergeCell ref="N45:Q45"/>
    <mergeCell ref="R45:U45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Y31:Y32"/>
    <mergeCell ref="T33:T34"/>
    <mergeCell ref="U33:U34"/>
    <mergeCell ref="X33:X34"/>
    <mergeCell ref="Y33:Y34"/>
    <mergeCell ref="E34:E36"/>
    <mergeCell ref="D38:E38"/>
    <mergeCell ref="C40:E40"/>
    <mergeCell ref="F40:I40"/>
    <mergeCell ref="J40:M40"/>
    <mergeCell ref="N40:Q40"/>
    <mergeCell ref="R40:U40"/>
    <mergeCell ref="V40:Y40"/>
    <mergeCell ref="D33:D37"/>
    <mergeCell ref="H33:H34"/>
    <mergeCell ref="I33:I34"/>
    <mergeCell ref="L33:L34"/>
    <mergeCell ref="M33:M34"/>
    <mergeCell ref="P33:P34"/>
    <mergeCell ref="Q33:Q34"/>
    <mergeCell ref="C28:C38"/>
    <mergeCell ref="D29:D32"/>
    <mergeCell ref="X29:X30"/>
    <mergeCell ref="O31:O32"/>
    <mergeCell ref="P31:P32"/>
    <mergeCell ref="Q31:Q32"/>
    <mergeCell ref="S31:S32"/>
    <mergeCell ref="T31:T32"/>
    <mergeCell ref="U31:U32"/>
    <mergeCell ref="W31:W32"/>
    <mergeCell ref="X31:X32"/>
    <mergeCell ref="H31:H32"/>
    <mergeCell ref="M29:M30"/>
    <mergeCell ref="O29:O30"/>
    <mergeCell ref="P29:P30"/>
    <mergeCell ref="Q29:Q30"/>
    <mergeCell ref="S29:S30"/>
    <mergeCell ref="T29:T30"/>
    <mergeCell ref="U29:U30"/>
    <mergeCell ref="W29:W30"/>
    <mergeCell ref="D15:D16"/>
    <mergeCell ref="D17:D20"/>
    <mergeCell ref="D21:E21"/>
    <mergeCell ref="C24:D25"/>
    <mergeCell ref="E24:E25"/>
    <mergeCell ref="Y29:Y30"/>
    <mergeCell ref="E31:E32"/>
    <mergeCell ref="G31:G32"/>
    <mergeCell ref="I31:I32"/>
    <mergeCell ref="K31:K32"/>
    <mergeCell ref="L31:L32"/>
    <mergeCell ref="M31:M32"/>
    <mergeCell ref="R27:U27"/>
    <mergeCell ref="V27:Y27"/>
    <mergeCell ref="E29:E30"/>
    <mergeCell ref="G29:G30"/>
    <mergeCell ref="H29:H30"/>
    <mergeCell ref="I29:I30"/>
    <mergeCell ref="K29:K30"/>
    <mergeCell ref="L29:L30"/>
    <mergeCell ref="C27:E27"/>
    <mergeCell ref="F27:I27"/>
    <mergeCell ref="J27:M27"/>
    <mergeCell ref="N27:Q27"/>
    <mergeCell ref="C3:E3"/>
    <mergeCell ref="F3:I3"/>
    <mergeCell ref="J3:M3"/>
    <mergeCell ref="R23:U23"/>
    <mergeCell ref="V23:Y23"/>
    <mergeCell ref="J11:M11"/>
    <mergeCell ref="N11:Q11"/>
    <mergeCell ref="R11:U11"/>
    <mergeCell ref="V11:Y11"/>
    <mergeCell ref="C12:C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23:E23"/>
    <mergeCell ref="F23:I23"/>
    <mergeCell ref="J23:M23"/>
    <mergeCell ref="N23:Q23"/>
    <mergeCell ref="D13:D14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&amp;"メイリオ,ボールド"&amp;22日別の優先給電ルールに基づく抑制、調整状況（2024年5月）</oddHeader>
    <oddFooter>&amp;R&amp;"メイリオ,レギュラー"&amp;14九州電力送配電株式会社</oddFooter>
  </headerFooter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FE3F-B94B-4BE1-B13C-D2A3289290D0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45426</v>
      </c>
      <c r="G3" s="516"/>
      <c r="H3" s="516"/>
      <c r="I3" s="517"/>
      <c r="J3" s="515">
        <v>45427</v>
      </c>
      <c r="K3" s="516"/>
      <c r="L3" s="516"/>
      <c r="M3" s="517"/>
      <c r="N3" s="515">
        <v>45428</v>
      </c>
      <c r="O3" s="516"/>
      <c r="P3" s="516"/>
      <c r="Q3" s="517"/>
      <c r="R3" s="515">
        <v>45429</v>
      </c>
      <c r="S3" s="516"/>
      <c r="T3" s="516"/>
      <c r="U3" s="517"/>
      <c r="V3" s="515">
        <v>45430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0</v>
      </c>
      <c r="G6" s="165">
        <v>0</v>
      </c>
      <c r="H6" s="164">
        <v>0</v>
      </c>
      <c r="I6" s="219"/>
      <c r="J6" s="166">
        <v>0</v>
      </c>
      <c r="K6" s="165">
        <v>0</v>
      </c>
      <c r="L6" s="164">
        <v>0</v>
      </c>
      <c r="M6" s="219"/>
      <c r="N6" s="166">
        <v>0</v>
      </c>
      <c r="O6" s="165">
        <v>0</v>
      </c>
      <c r="P6" s="164">
        <v>0</v>
      </c>
      <c r="Q6" s="219"/>
      <c r="R6" s="166">
        <v>0</v>
      </c>
      <c r="S6" s="165">
        <v>0</v>
      </c>
      <c r="T6" s="164">
        <v>0</v>
      </c>
      <c r="U6" s="219"/>
      <c r="V6" s="166">
        <v>0</v>
      </c>
      <c r="W6" s="165">
        <v>0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8.4</v>
      </c>
      <c r="K7" s="165">
        <v>9.4</v>
      </c>
      <c r="L7" s="164">
        <v>1</v>
      </c>
      <c r="M7" s="219" t="s">
        <v>148</v>
      </c>
      <c r="N7" s="166">
        <v>8.4</v>
      </c>
      <c r="O7" s="165">
        <v>9.4</v>
      </c>
      <c r="P7" s="164">
        <v>1</v>
      </c>
      <c r="Q7" s="219" t="s">
        <v>148</v>
      </c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54.7</v>
      </c>
      <c r="G8" s="216">
        <v>55.1</v>
      </c>
      <c r="H8" s="215">
        <v>0.39999999999999858</v>
      </c>
      <c r="I8" s="214" t="s">
        <v>145</v>
      </c>
      <c r="J8" s="217">
        <v>55.300000000000004</v>
      </c>
      <c r="K8" s="216">
        <v>55.300000000000004</v>
      </c>
      <c r="L8" s="215">
        <v>0</v>
      </c>
      <c r="M8" s="214"/>
      <c r="N8" s="217">
        <v>54.300000000000004</v>
      </c>
      <c r="O8" s="216">
        <v>54.300000000000004</v>
      </c>
      <c r="P8" s="215">
        <v>0</v>
      </c>
      <c r="Q8" s="214"/>
      <c r="R8" s="217">
        <v>55.300000000000004</v>
      </c>
      <c r="S8" s="216">
        <v>55.300000000000004</v>
      </c>
      <c r="T8" s="215">
        <v>0</v>
      </c>
      <c r="U8" s="214"/>
      <c r="V8" s="217">
        <v>54</v>
      </c>
      <c r="W8" s="216">
        <v>54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87.4</v>
      </c>
      <c r="G9" s="187">
        <v>87.800000000000011</v>
      </c>
      <c r="H9" s="187">
        <v>0.39999999999999858</v>
      </c>
      <c r="I9" s="213" t="s">
        <v>81</v>
      </c>
      <c r="J9" s="188">
        <v>96.4</v>
      </c>
      <c r="K9" s="187">
        <v>97.4</v>
      </c>
      <c r="L9" s="187">
        <v>1</v>
      </c>
      <c r="M9" s="213" t="s">
        <v>81</v>
      </c>
      <c r="N9" s="188">
        <v>95.4</v>
      </c>
      <c r="O9" s="187">
        <v>96.4</v>
      </c>
      <c r="P9" s="187">
        <v>1</v>
      </c>
      <c r="Q9" s="213" t="s">
        <v>81</v>
      </c>
      <c r="R9" s="188">
        <v>88</v>
      </c>
      <c r="S9" s="187">
        <v>88</v>
      </c>
      <c r="T9" s="187">
        <v>0</v>
      </c>
      <c r="U9" s="213" t="s">
        <v>81</v>
      </c>
      <c r="V9" s="188">
        <v>86.7</v>
      </c>
      <c r="W9" s="187">
        <v>86.7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45426</v>
      </c>
      <c r="G11" s="433"/>
      <c r="H11" s="433"/>
      <c r="I11" s="434"/>
      <c r="J11" s="432">
        <v>45427</v>
      </c>
      <c r="K11" s="433"/>
      <c r="L11" s="433"/>
      <c r="M11" s="434"/>
      <c r="N11" s="432">
        <v>45428</v>
      </c>
      <c r="O11" s="433"/>
      <c r="P11" s="433"/>
      <c r="Q11" s="434"/>
      <c r="R11" s="432">
        <v>45429</v>
      </c>
      <c r="S11" s="433"/>
      <c r="T11" s="433"/>
      <c r="U11" s="434"/>
      <c r="V11" s="432">
        <v>45430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149</v>
      </c>
    </row>
    <row r="19" spans="3:25" ht="16">
      <c r="C19" s="523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0</v>
      </c>
      <c r="L19" s="164">
        <v>34</v>
      </c>
      <c r="M19" s="189" t="s">
        <v>149</v>
      </c>
      <c r="N19" s="166">
        <v>-34</v>
      </c>
      <c r="O19" s="165">
        <v>0</v>
      </c>
      <c r="P19" s="164">
        <v>34</v>
      </c>
      <c r="Q19" s="189" t="s">
        <v>149</v>
      </c>
      <c r="R19" s="166">
        <v>-34</v>
      </c>
      <c r="S19" s="165">
        <v>0</v>
      </c>
      <c r="T19" s="164">
        <v>34</v>
      </c>
      <c r="U19" s="189" t="s">
        <v>149</v>
      </c>
      <c r="V19" s="166">
        <v>-34</v>
      </c>
      <c r="W19" s="165">
        <v>0</v>
      </c>
      <c r="X19" s="164">
        <v>34</v>
      </c>
      <c r="Y19" s="189" t="s">
        <v>149</v>
      </c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-185.2</v>
      </c>
      <c r="T21" s="187">
        <v>68</v>
      </c>
      <c r="U21" s="186" t="s">
        <v>81</v>
      </c>
      <c r="V21" s="188">
        <v>-253.2</v>
      </c>
      <c r="W21" s="187">
        <v>-185.2</v>
      </c>
      <c r="X21" s="187">
        <v>68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45426</v>
      </c>
      <c r="G23" s="433"/>
      <c r="H23" s="433"/>
      <c r="I23" s="434"/>
      <c r="J23" s="432">
        <v>45427</v>
      </c>
      <c r="K23" s="433"/>
      <c r="L23" s="433"/>
      <c r="M23" s="434"/>
      <c r="N23" s="432">
        <v>45428</v>
      </c>
      <c r="O23" s="433"/>
      <c r="P23" s="433"/>
      <c r="Q23" s="434"/>
      <c r="R23" s="432">
        <v>45429</v>
      </c>
      <c r="S23" s="433"/>
      <c r="T23" s="433"/>
      <c r="U23" s="434"/>
      <c r="V23" s="432">
        <v>45430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45426</v>
      </c>
      <c r="G27" s="433"/>
      <c r="H27" s="433"/>
      <c r="I27" s="434"/>
      <c r="J27" s="432">
        <v>45427</v>
      </c>
      <c r="K27" s="433"/>
      <c r="L27" s="433"/>
      <c r="M27" s="434"/>
      <c r="N27" s="432">
        <v>45428</v>
      </c>
      <c r="O27" s="433"/>
      <c r="P27" s="433"/>
      <c r="Q27" s="434"/>
      <c r="R27" s="432">
        <v>45429</v>
      </c>
      <c r="S27" s="433"/>
      <c r="T27" s="433"/>
      <c r="U27" s="434"/>
      <c r="V27" s="432">
        <v>45430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27.2</v>
      </c>
      <c r="P31" s="457">
        <v>0</v>
      </c>
      <c r="Q31" s="459"/>
      <c r="R31" s="200">
        <v>27.2</v>
      </c>
      <c r="S31" s="455">
        <v>36.9</v>
      </c>
      <c r="T31" s="457">
        <v>9.6999999999999993</v>
      </c>
      <c r="U31" s="459" t="s">
        <v>151</v>
      </c>
      <c r="V31" s="200">
        <v>27.2</v>
      </c>
      <c r="W31" s="455">
        <v>27.2</v>
      </c>
      <c r="X31" s="457">
        <v>0</v>
      </c>
      <c r="Y31" s="459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19.899999999999999</v>
      </c>
      <c r="G33" s="199">
        <v>43</v>
      </c>
      <c r="H33" s="457">
        <v>23.1</v>
      </c>
      <c r="I33" s="459" t="s">
        <v>148</v>
      </c>
      <c r="J33" s="200">
        <v>19.899999999999999</v>
      </c>
      <c r="K33" s="199">
        <v>32.4</v>
      </c>
      <c r="L33" s="457">
        <v>12.5</v>
      </c>
      <c r="M33" s="459" t="s">
        <v>148</v>
      </c>
      <c r="N33" s="200">
        <v>19.899999999999999</v>
      </c>
      <c r="O33" s="199">
        <v>25.4</v>
      </c>
      <c r="P33" s="457">
        <v>5.5</v>
      </c>
      <c r="Q33" s="459" t="s">
        <v>148</v>
      </c>
      <c r="R33" s="200">
        <v>19.899999999999999</v>
      </c>
      <c r="S33" s="199">
        <v>29</v>
      </c>
      <c r="T33" s="457">
        <v>9.1000000000000014</v>
      </c>
      <c r="U33" s="459" t="s">
        <v>148</v>
      </c>
      <c r="V33" s="200">
        <v>19.899999999999999</v>
      </c>
      <c r="W33" s="199">
        <v>21.5</v>
      </c>
      <c r="X33" s="457">
        <v>1.6000000000000014</v>
      </c>
      <c r="Y33" s="459" t="s">
        <v>148</v>
      </c>
    </row>
    <row r="34" spans="3:25" ht="16">
      <c r="C34" s="528"/>
      <c r="D34" s="467"/>
      <c r="E34" s="463" t="s">
        <v>104</v>
      </c>
      <c r="F34" s="198">
        <v>0.16</v>
      </c>
      <c r="G34" s="197">
        <v>0.36</v>
      </c>
      <c r="H34" s="458"/>
      <c r="I34" s="460"/>
      <c r="J34" s="198">
        <v>0.16</v>
      </c>
      <c r="K34" s="197">
        <v>0.27</v>
      </c>
      <c r="L34" s="458"/>
      <c r="M34" s="460"/>
      <c r="N34" s="198">
        <v>0.16</v>
      </c>
      <c r="O34" s="197">
        <v>0.21</v>
      </c>
      <c r="P34" s="458"/>
      <c r="Q34" s="460"/>
      <c r="R34" s="198">
        <v>0.16</v>
      </c>
      <c r="S34" s="197">
        <v>0.24</v>
      </c>
      <c r="T34" s="458"/>
      <c r="U34" s="460"/>
      <c r="V34" s="198">
        <v>0.16</v>
      </c>
      <c r="W34" s="197">
        <v>0.18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0.5</v>
      </c>
      <c r="H37" s="164">
        <v>-9.5</v>
      </c>
      <c r="I37" s="189" t="s">
        <v>147</v>
      </c>
      <c r="J37" s="166">
        <v>10</v>
      </c>
      <c r="K37" s="165">
        <v>0.3</v>
      </c>
      <c r="L37" s="164">
        <v>-9.6999999999999993</v>
      </c>
      <c r="M37" s="189" t="s">
        <v>147</v>
      </c>
      <c r="N37" s="166">
        <v>10</v>
      </c>
      <c r="O37" s="165">
        <v>0.2</v>
      </c>
      <c r="P37" s="164">
        <v>-9.8000000000000007</v>
      </c>
      <c r="Q37" s="189" t="s">
        <v>147</v>
      </c>
      <c r="R37" s="166">
        <v>10</v>
      </c>
      <c r="S37" s="165">
        <v>0.2</v>
      </c>
      <c r="T37" s="164">
        <v>-9.8000000000000007</v>
      </c>
      <c r="U37" s="189" t="s">
        <v>147</v>
      </c>
      <c r="V37" s="166">
        <v>10</v>
      </c>
      <c r="W37" s="165">
        <v>0.30000000000000215</v>
      </c>
      <c r="X37" s="164">
        <v>-9.6999999999999975</v>
      </c>
      <c r="Y37" s="189" t="s">
        <v>147</v>
      </c>
    </row>
    <row r="38" spans="3:25" ht="16.5" thickBot="1">
      <c r="C38" s="529"/>
      <c r="D38" s="427" t="s">
        <v>101</v>
      </c>
      <c r="E38" s="428"/>
      <c r="F38" s="188">
        <v>57.099999999999994</v>
      </c>
      <c r="G38" s="187">
        <v>70.7</v>
      </c>
      <c r="H38" s="187">
        <v>13.600000000000001</v>
      </c>
      <c r="I38" s="186"/>
      <c r="J38" s="188">
        <v>57.099999999999994</v>
      </c>
      <c r="K38" s="187">
        <v>59.899999999999991</v>
      </c>
      <c r="L38" s="187">
        <v>2.8000000000000007</v>
      </c>
      <c r="M38" s="186"/>
      <c r="N38" s="188">
        <v>57.099999999999994</v>
      </c>
      <c r="O38" s="187">
        <v>52.8</v>
      </c>
      <c r="P38" s="187">
        <v>-4.3000000000000007</v>
      </c>
      <c r="Q38" s="186"/>
      <c r="R38" s="188">
        <v>57.099999999999994</v>
      </c>
      <c r="S38" s="187">
        <v>66.100000000000009</v>
      </c>
      <c r="T38" s="187">
        <v>9</v>
      </c>
      <c r="U38" s="186"/>
      <c r="V38" s="188">
        <v>57.099999999999994</v>
      </c>
      <c r="W38" s="187">
        <v>49.000000000000007</v>
      </c>
      <c r="X38" s="187">
        <v>-8.0999999999999961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45426</v>
      </c>
      <c r="G40" s="470"/>
      <c r="H40" s="470"/>
      <c r="I40" s="471"/>
      <c r="J40" s="469">
        <v>45427</v>
      </c>
      <c r="K40" s="470"/>
      <c r="L40" s="470"/>
      <c r="M40" s="471"/>
      <c r="N40" s="469">
        <v>45428</v>
      </c>
      <c r="O40" s="470"/>
      <c r="P40" s="470"/>
      <c r="Q40" s="471"/>
      <c r="R40" s="469">
        <v>45429</v>
      </c>
      <c r="S40" s="470"/>
      <c r="T40" s="470"/>
      <c r="U40" s="471"/>
      <c r="V40" s="469">
        <v>45430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9</v>
      </c>
      <c r="K42" s="478">
        <v>9</v>
      </c>
      <c r="L42" s="457">
        <v>0</v>
      </c>
      <c r="M42" s="459"/>
      <c r="N42" s="178">
        <v>1</v>
      </c>
      <c r="O42" s="478">
        <v>1</v>
      </c>
      <c r="P42" s="457">
        <v>0</v>
      </c>
      <c r="Q42" s="459"/>
      <c r="R42" s="178">
        <v>33.6</v>
      </c>
      <c r="S42" s="478">
        <v>33.6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531"/>
      <c r="D43" s="475"/>
      <c r="E43" s="477"/>
      <c r="F43" s="183">
        <v>146</v>
      </c>
      <c r="G43" s="479"/>
      <c r="H43" s="480"/>
      <c r="I43" s="481"/>
      <c r="J43" s="183">
        <v>155</v>
      </c>
      <c r="K43" s="479"/>
      <c r="L43" s="480"/>
      <c r="M43" s="481"/>
      <c r="N43" s="183">
        <v>147</v>
      </c>
      <c r="O43" s="479"/>
      <c r="P43" s="480"/>
      <c r="Q43" s="481"/>
      <c r="R43" s="183">
        <v>179.6</v>
      </c>
      <c r="S43" s="479"/>
      <c r="T43" s="480"/>
      <c r="U43" s="481"/>
      <c r="V43" s="183">
        <v>122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45426</v>
      </c>
      <c r="G45" s="470"/>
      <c r="H45" s="470"/>
      <c r="I45" s="471"/>
      <c r="J45" s="469">
        <v>45427</v>
      </c>
      <c r="K45" s="470"/>
      <c r="L45" s="470"/>
      <c r="M45" s="471"/>
      <c r="N45" s="469">
        <v>45428</v>
      </c>
      <c r="O45" s="470"/>
      <c r="P45" s="470"/>
      <c r="Q45" s="471"/>
      <c r="R45" s="469">
        <v>45429</v>
      </c>
      <c r="S45" s="470"/>
      <c r="T45" s="470"/>
      <c r="U45" s="471"/>
      <c r="V45" s="469">
        <v>45430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30.1</v>
      </c>
      <c r="G47" s="478">
        <v>31.6</v>
      </c>
      <c r="H47" s="457">
        <v>1.5</v>
      </c>
      <c r="I47" s="459" t="s">
        <v>145</v>
      </c>
      <c r="J47" s="178">
        <v>30.1</v>
      </c>
      <c r="K47" s="478">
        <v>27.2</v>
      </c>
      <c r="L47" s="457">
        <v>-2.9000000000000021</v>
      </c>
      <c r="M47" s="459" t="s">
        <v>145</v>
      </c>
      <c r="N47" s="178">
        <v>30.1</v>
      </c>
      <c r="O47" s="478">
        <v>33.4</v>
      </c>
      <c r="P47" s="457">
        <v>3.2999999999999972</v>
      </c>
      <c r="Q47" s="459" t="s">
        <v>145</v>
      </c>
      <c r="R47" s="178">
        <v>30.1</v>
      </c>
      <c r="S47" s="478">
        <v>36.299999999999997</v>
      </c>
      <c r="T47" s="457">
        <v>6.1999999999999957</v>
      </c>
      <c r="U47" s="459" t="s">
        <v>145</v>
      </c>
      <c r="V47" s="178">
        <v>30.1</v>
      </c>
      <c r="W47" s="478">
        <v>33.4</v>
      </c>
      <c r="X47" s="457">
        <v>3.2999999999999972</v>
      </c>
      <c r="Y47" s="459" t="s">
        <v>145</v>
      </c>
    </row>
    <row r="48" spans="3:25" ht="16.5" thickBot="1">
      <c r="C48" s="533"/>
      <c r="D48" s="487"/>
      <c r="E48" s="489"/>
      <c r="F48" s="177">
        <v>0.63</v>
      </c>
      <c r="G48" s="479"/>
      <c r="H48" s="480"/>
      <c r="I48" s="481"/>
      <c r="J48" s="177">
        <v>0.63</v>
      </c>
      <c r="K48" s="479"/>
      <c r="L48" s="480"/>
      <c r="M48" s="481"/>
      <c r="N48" s="177">
        <v>0.63</v>
      </c>
      <c r="O48" s="479"/>
      <c r="P48" s="480"/>
      <c r="Q48" s="481"/>
      <c r="R48" s="177">
        <v>0.63</v>
      </c>
      <c r="S48" s="479"/>
      <c r="T48" s="480"/>
      <c r="U48" s="481"/>
      <c r="V48" s="177">
        <v>0.63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45426</v>
      </c>
      <c r="G50" s="470"/>
      <c r="H50" s="470"/>
      <c r="I50" s="471"/>
      <c r="J50" s="469">
        <v>45427</v>
      </c>
      <c r="K50" s="470"/>
      <c r="L50" s="470"/>
      <c r="M50" s="471"/>
      <c r="N50" s="469">
        <v>45428</v>
      </c>
      <c r="O50" s="470"/>
      <c r="P50" s="470"/>
      <c r="Q50" s="471"/>
      <c r="R50" s="469">
        <v>45429</v>
      </c>
      <c r="S50" s="470"/>
      <c r="T50" s="470"/>
      <c r="U50" s="471"/>
      <c r="V50" s="469">
        <v>45430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23.6</v>
      </c>
      <c r="H53" s="159" t="s">
        <v>81</v>
      </c>
      <c r="I53" s="158" t="s">
        <v>144</v>
      </c>
      <c r="J53" s="161">
        <v>0</v>
      </c>
      <c r="K53" s="160">
        <v>23</v>
      </c>
      <c r="L53" s="159" t="s">
        <v>81</v>
      </c>
      <c r="M53" s="158" t="s">
        <v>144</v>
      </c>
      <c r="N53" s="161">
        <v>0</v>
      </c>
      <c r="O53" s="160">
        <v>22.9</v>
      </c>
      <c r="P53" s="159" t="s">
        <v>81</v>
      </c>
      <c r="Q53" s="158" t="s">
        <v>144</v>
      </c>
      <c r="R53" s="161">
        <v>0</v>
      </c>
      <c r="S53" s="160">
        <v>23</v>
      </c>
      <c r="T53" s="159" t="s">
        <v>81</v>
      </c>
      <c r="U53" s="158" t="s">
        <v>144</v>
      </c>
      <c r="V53" s="161">
        <v>0</v>
      </c>
      <c r="W53" s="160">
        <v>23</v>
      </c>
      <c r="X53" s="159" t="s">
        <v>81</v>
      </c>
      <c r="Y53" s="158" t="s">
        <v>144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&amp;"メイリオ,ボールド"&amp;22日別の優先給電ルールに基づく抑制、調整状況（2024年5月）</oddHeader>
    <oddFooter>&amp;R&amp;"メイリオ,レギュラー"&amp;14九州電力送配電株式会社</oddFooter>
  </headerFooter>
  <colBreaks count="1" manualBreakCount="1">
    <brk id="25" max="1048575" man="1"/>
  </colBreaks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7539-45AD-434A-8530-9A5C4968111C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6.5" thickBot="1">
      <c r="C3" s="514" t="s">
        <v>142</v>
      </c>
      <c r="D3" s="430"/>
      <c r="E3" s="431"/>
      <c r="F3" s="515">
        <v>45431</v>
      </c>
      <c r="G3" s="516"/>
      <c r="H3" s="516"/>
      <c r="I3" s="517"/>
      <c r="J3" s="515">
        <v>45432</v>
      </c>
      <c r="K3" s="516"/>
      <c r="L3" s="516"/>
      <c r="M3" s="517"/>
      <c r="N3" s="515">
        <v>45433</v>
      </c>
      <c r="O3" s="516"/>
      <c r="P3" s="516"/>
      <c r="Q3" s="517"/>
      <c r="R3" s="515">
        <v>45437</v>
      </c>
      <c r="S3" s="516"/>
      <c r="T3" s="516"/>
      <c r="U3" s="517"/>
      <c r="V3" s="515">
        <v>45438</v>
      </c>
      <c r="W3" s="516"/>
      <c r="X3" s="516"/>
      <c r="Y3" s="517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32.700000000000003</v>
      </c>
      <c r="K5" s="165">
        <v>32.700000000000003</v>
      </c>
      <c r="L5" s="164">
        <v>0</v>
      </c>
      <c r="M5" s="219"/>
      <c r="N5" s="166">
        <v>32.700000000000003</v>
      </c>
      <c r="O5" s="165">
        <v>32.700000000000003</v>
      </c>
      <c r="P5" s="164">
        <v>0</v>
      </c>
      <c r="Q5" s="219"/>
      <c r="R5" s="166">
        <v>12.4</v>
      </c>
      <c r="S5" s="165">
        <v>12.4</v>
      </c>
      <c r="T5" s="164">
        <v>0</v>
      </c>
      <c r="U5" s="219"/>
      <c r="V5" s="166">
        <v>12.4</v>
      </c>
      <c r="W5" s="165">
        <v>12.4</v>
      </c>
      <c r="X5" s="164">
        <v>0</v>
      </c>
      <c r="Y5" s="219"/>
    </row>
    <row r="6" spans="3:25" ht="16">
      <c r="C6" s="519"/>
      <c r="D6" s="426"/>
      <c r="E6" s="211" t="s">
        <v>136</v>
      </c>
      <c r="F6" s="166">
        <v>0</v>
      </c>
      <c r="G6" s="165">
        <v>0</v>
      </c>
      <c r="H6" s="164">
        <v>0</v>
      </c>
      <c r="I6" s="219"/>
      <c r="J6" s="166">
        <v>0</v>
      </c>
      <c r="K6" s="165">
        <v>0</v>
      </c>
      <c r="L6" s="164">
        <v>0</v>
      </c>
      <c r="M6" s="219"/>
      <c r="N6" s="166">
        <v>0</v>
      </c>
      <c r="O6" s="165">
        <v>0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520"/>
      <c r="D8" s="426"/>
      <c r="E8" s="218" t="s">
        <v>133</v>
      </c>
      <c r="F8" s="217">
        <v>52.900000000000006</v>
      </c>
      <c r="G8" s="216">
        <v>52.900000000000006</v>
      </c>
      <c r="H8" s="215">
        <v>0</v>
      </c>
      <c r="I8" s="214"/>
      <c r="J8" s="217">
        <v>55.5</v>
      </c>
      <c r="K8" s="216">
        <v>55.5</v>
      </c>
      <c r="L8" s="215">
        <v>0</v>
      </c>
      <c r="M8" s="214"/>
      <c r="N8" s="217">
        <v>55.900000000000006</v>
      </c>
      <c r="O8" s="216">
        <v>55.900000000000006</v>
      </c>
      <c r="P8" s="215">
        <v>0</v>
      </c>
      <c r="Q8" s="214"/>
      <c r="R8" s="217">
        <v>54.800000000000004</v>
      </c>
      <c r="S8" s="216">
        <v>54.800000000000004</v>
      </c>
      <c r="T8" s="215">
        <v>0</v>
      </c>
      <c r="U8" s="214"/>
      <c r="V8" s="217">
        <v>53.5</v>
      </c>
      <c r="W8" s="216">
        <v>53.5</v>
      </c>
      <c r="X8" s="215">
        <v>0</v>
      </c>
      <c r="Y8" s="214"/>
    </row>
    <row r="9" spans="3:25" ht="16.5" thickBot="1">
      <c r="C9" s="521"/>
      <c r="D9" s="427" t="s">
        <v>101</v>
      </c>
      <c r="E9" s="428"/>
      <c r="F9" s="188">
        <v>85.600000000000009</v>
      </c>
      <c r="G9" s="187">
        <v>85.600000000000009</v>
      </c>
      <c r="H9" s="187">
        <v>0</v>
      </c>
      <c r="I9" s="213" t="s">
        <v>81</v>
      </c>
      <c r="J9" s="188">
        <v>88.2</v>
      </c>
      <c r="K9" s="187">
        <v>88.2</v>
      </c>
      <c r="L9" s="187">
        <v>0</v>
      </c>
      <c r="M9" s="213" t="s">
        <v>81</v>
      </c>
      <c r="N9" s="188">
        <v>88.600000000000009</v>
      </c>
      <c r="O9" s="187">
        <v>88.600000000000009</v>
      </c>
      <c r="P9" s="187">
        <v>0</v>
      </c>
      <c r="Q9" s="213" t="s">
        <v>81</v>
      </c>
      <c r="R9" s="188">
        <v>75.900000000000006</v>
      </c>
      <c r="S9" s="187">
        <v>75.900000000000006</v>
      </c>
      <c r="T9" s="187">
        <v>0</v>
      </c>
      <c r="U9" s="213" t="s">
        <v>81</v>
      </c>
      <c r="V9" s="188">
        <v>74.599999999999994</v>
      </c>
      <c r="W9" s="187">
        <v>74.599999999999994</v>
      </c>
      <c r="X9" s="187">
        <v>0</v>
      </c>
      <c r="Y9" s="213" t="s">
        <v>81</v>
      </c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3"/>
    </row>
    <row r="11" spans="3:25" ht="16.5" thickBot="1">
      <c r="C11" s="514" t="s">
        <v>132</v>
      </c>
      <c r="D11" s="430"/>
      <c r="E11" s="431"/>
      <c r="F11" s="432">
        <v>45431</v>
      </c>
      <c r="G11" s="433"/>
      <c r="H11" s="433"/>
      <c r="I11" s="434"/>
      <c r="J11" s="432">
        <v>45432</v>
      </c>
      <c r="K11" s="433"/>
      <c r="L11" s="433"/>
      <c r="M11" s="434"/>
      <c r="N11" s="432">
        <v>45433</v>
      </c>
      <c r="O11" s="433"/>
      <c r="P11" s="433"/>
      <c r="Q11" s="434"/>
      <c r="R11" s="432">
        <v>45437</v>
      </c>
      <c r="S11" s="433"/>
      <c r="T11" s="433"/>
      <c r="U11" s="434"/>
      <c r="V11" s="432">
        <v>45438</v>
      </c>
      <c r="W11" s="433"/>
      <c r="X11" s="433"/>
      <c r="Y11" s="434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149</v>
      </c>
    </row>
    <row r="19" spans="3:25" ht="16">
      <c r="C19" s="523"/>
      <c r="D19" s="443"/>
      <c r="E19" s="211" t="s">
        <v>122</v>
      </c>
      <c r="F19" s="166">
        <v>-34</v>
      </c>
      <c r="G19" s="165">
        <v>0</v>
      </c>
      <c r="H19" s="164">
        <v>34</v>
      </c>
      <c r="I19" s="189" t="s">
        <v>149</v>
      </c>
      <c r="J19" s="166">
        <v>-34</v>
      </c>
      <c r="K19" s="165">
        <v>0</v>
      </c>
      <c r="L19" s="164">
        <v>34</v>
      </c>
      <c r="M19" s="189" t="s">
        <v>149</v>
      </c>
      <c r="N19" s="166">
        <v>-34</v>
      </c>
      <c r="O19" s="165">
        <v>0</v>
      </c>
      <c r="P19" s="164">
        <v>34</v>
      </c>
      <c r="Q19" s="189" t="s">
        <v>149</v>
      </c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-185.2</v>
      </c>
      <c r="H21" s="187">
        <v>68</v>
      </c>
      <c r="I21" s="186" t="s">
        <v>81</v>
      </c>
      <c r="J21" s="188">
        <v>-253.2</v>
      </c>
      <c r="K21" s="187">
        <v>-185.2</v>
      </c>
      <c r="L21" s="187">
        <v>68</v>
      </c>
      <c r="M21" s="186" t="s">
        <v>81</v>
      </c>
      <c r="N21" s="188">
        <v>-253.2</v>
      </c>
      <c r="O21" s="187">
        <v>-185.2</v>
      </c>
      <c r="P21" s="187">
        <v>68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3"/>
    </row>
    <row r="23" spans="3:25" ht="16.5" thickBot="1">
      <c r="C23" s="514" t="s">
        <v>120</v>
      </c>
      <c r="D23" s="430"/>
      <c r="E23" s="431"/>
      <c r="F23" s="432">
        <v>45431</v>
      </c>
      <c r="G23" s="433"/>
      <c r="H23" s="433"/>
      <c r="I23" s="434"/>
      <c r="J23" s="432">
        <v>45432</v>
      </c>
      <c r="K23" s="433"/>
      <c r="L23" s="433"/>
      <c r="M23" s="434"/>
      <c r="N23" s="432">
        <v>45433</v>
      </c>
      <c r="O23" s="433"/>
      <c r="P23" s="433"/>
      <c r="Q23" s="434"/>
      <c r="R23" s="432">
        <v>45437</v>
      </c>
      <c r="S23" s="433"/>
      <c r="T23" s="433"/>
      <c r="U23" s="434"/>
      <c r="V23" s="432">
        <v>45438</v>
      </c>
      <c r="W23" s="433"/>
      <c r="X23" s="433"/>
      <c r="Y23" s="434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3"/>
    </row>
    <row r="27" spans="3:25" ht="16.5" thickBot="1">
      <c r="C27" s="514" t="s">
        <v>116</v>
      </c>
      <c r="D27" s="430"/>
      <c r="E27" s="431"/>
      <c r="F27" s="432">
        <v>45431</v>
      </c>
      <c r="G27" s="433"/>
      <c r="H27" s="433"/>
      <c r="I27" s="434"/>
      <c r="J27" s="432">
        <v>45432</v>
      </c>
      <c r="K27" s="433"/>
      <c r="L27" s="433"/>
      <c r="M27" s="434"/>
      <c r="N27" s="432">
        <v>45433</v>
      </c>
      <c r="O27" s="433"/>
      <c r="P27" s="433"/>
      <c r="Q27" s="434"/>
      <c r="R27" s="432">
        <v>45437</v>
      </c>
      <c r="S27" s="433"/>
      <c r="T27" s="433"/>
      <c r="U27" s="434"/>
      <c r="V27" s="432">
        <v>45438</v>
      </c>
      <c r="W27" s="433"/>
      <c r="X27" s="433"/>
      <c r="Y27" s="434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528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27.7</v>
      </c>
      <c r="X31" s="457">
        <v>0.5</v>
      </c>
      <c r="Y31" s="459" t="s">
        <v>151</v>
      </c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528"/>
      <c r="D33" s="466" t="s">
        <v>107</v>
      </c>
      <c r="E33" s="201" t="s">
        <v>106</v>
      </c>
      <c r="F33" s="200">
        <v>19.899999999999999</v>
      </c>
      <c r="G33" s="199">
        <v>20.2</v>
      </c>
      <c r="H33" s="457">
        <v>0.30000000000000071</v>
      </c>
      <c r="I33" s="459" t="s">
        <v>148</v>
      </c>
      <c r="J33" s="200">
        <v>19.899999999999999</v>
      </c>
      <c r="K33" s="199">
        <v>26.3</v>
      </c>
      <c r="L33" s="457">
        <v>6.4000000000000021</v>
      </c>
      <c r="M33" s="459" t="s">
        <v>148</v>
      </c>
      <c r="N33" s="200">
        <v>19.899999999999999</v>
      </c>
      <c r="O33" s="199">
        <v>28.4</v>
      </c>
      <c r="P33" s="457">
        <v>8.5</v>
      </c>
      <c r="Q33" s="459" t="s">
        <v>148</v>
      </c>
      <c r="R33" s="200">
        <v>27.8</v>
      </c>
      <c r="S33" s="199">
        <v>21.6</v>
      </c>
      <c r="T33" s="457">
        <v>-6.1999999999999993</v>
      </c>
      <c r="U33" s="459" t="s">
        <v>146</v>
      </c>
      <c r="V33" s="200">
        <v>27.8</v>
      </c>
      <c r="W33" s="199">
        <v>23.8</v>
      </c>
      <c r="X33" s="457">
        <v>-4</v>
      </c>
      <c r="Y33" s="459" t="s">
        <v>146</v>
      </c>
    </row>
    <row r="34" spans="3:25" ht="16">
      <c r="C34" s="528"/>
      <c r="D34" s="467"/>
      <c r="E34" s="463" t="s">
        <v>104</v>
      </c>
      <c r="F34" s="198">
        <v>0.16</v>
      </c>
      <c r="G34" s="197">
        <v>0.17</v>
      </c>
      <c r="H34" s="458"/>
      <c r="I34" s="460"/>
      <c r="J34" s="198">
        <v>0.16</v>
      </c>
      <c r="K34" s="197">
        <v>0.22</v>
      </c>
      <c r="L34" s="458"/>
      <c r="M34" s="460"/>
      <c r="N34" s="198">
        <v>0.16</v>
      </c>
      <c r="O34" s="197">
        <v>0.24</v>
      </c>
      <c r="P34" s="458"/>
      <c r="Q34" s="460"/>
      <c r="R34" s="198">
        <v>0.2</v>
      </c>
      <c r="S34" s="197">
        <v>0.16</v>
      </c>
      <c r="T34" s="458"/>
      <c r="U34" s="460"/>
      <c r="V34" s="198">
        <v>0.2</v>
      </c>
      <c r="W34" s="197">
        <v>0.17</v>
      </c>
      <c r="X34" s="458"/>
      <c r="Y34" s="460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528"/>
      <c r="D37" s="467"/>
      <c r="E37" s="190" t="s">
        <v>103</v>
      </c>
      <c r="F37" s="166">
        <v>10</v>
      </c>
      <c r="G37" s="165">
        <v>0.30000000000000215</v>
      </c>
      <c r="H37" s="164">
        <v>-9.6999999999999975</v>
      </c>
      <c r="I37" s="189" t="s">
        <v>147</v>
      </c>
      <c r="J37" s="166">
        <v>10</v>
      </c>
      <c r="K37" s="165">
        <v>0.3</v>
      </c>
      <c r="L37" s="164">
        <v>-9.6999999999999993</v>
      </c>
      <c r="M37" s="189" t="s">
        <v>147</v>
      </c>
      <c r="N37" s="166">
        <v>10</v>
      </c>
      <c r="O37" s="165">
        <v>0.2</v>
      </c>
      <c r="P37" s="164">
        <v>-9.8000000000000007</v>
      </c>
      <c r="Q37" s="189" t="s">
        <v>147</v>
      </c>
      <c r="R37" s="166">
        <v>10</v>
      </c>
      <c r="S37" s="165">
        <v>0.2</v>
      </c>
      <c r="T37" s="164">
        <v>-9.8000000000000007</v>
      </c>
      <c r="U37" s="189" t="s">
        <v>147</v>
      </c>
      <c r="V37" s="166">
        <v>10</v>
      </c>
      <c r="W37" s="165">
        <v>-1.4155343563970746E-15</v>
      </c>
      <c r="X37" s="164">
        <v>-10.000000000000002</v>
      </c>
      <c r="Y37" s="189" t="s">
        <v>147</v>
      </c>
    </row>
    <row r="38" spans="3:25" ht="16.5" thickBot="1">
      <c r="C38" s="529"/>
      <c r="D38" s="427" t="s">
        <v>101</v>
      </c>
      <c r="E38" s="428"/>
      <c r="F38" s="188">
        <v>57.099999999999994</v>
      </c>
      <c r="G38" s="187">
        <v>47.7</v>
      </c>
      <c r="H38" s="187">
        <v>-9.3999999999999968</v>
      </c>
      <c r="I38" s="186"/>
      <c r="J38" s="188">
        <v>57.099999999999994</v>
      </c>
      <c r="K38" s="187">
        <v>53.8</v>
      </c>
      <c r="L38" s="187">
        <v>-3.2999999999999972</v>
      </c>
      <c r="M38" s="186"/>
      <c r="N38" s="188">
        <v>57.099999999999994</v>
      </c>
      <c r="O38" s="187">
        <v>65.5</v>
      </c>
      <c r="P38" s="187">
        <v>8.3999999999999986</v>
      </c>
      <c r="Q38" s="186"/>
      <c r="R38" s="188">
        <v>65</v>
      </c>
      <c r="S38" s="187">
        <v>49</v>
      </c>
      <c r="T38" s="187">
        <v>-16</v>
      </c>
      <c r="U38" s="186"/>
      <c r="V38" s="188">
        <v>65</v>
      </c>
      <c r="W38" s="187">
        <v>51.5</v>
      </c>
      <c r="X38" s="187">
        <v>-13.500000000000002</v>
      </c>
      <c r="Y38" s="186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3"/>
    </row>
    <row r="40" spans="3:25" ht="16.5" thickBot="1">
      <c r="C40" s="514" t="s">
        <v>100</v>
      </c>
      <c r="D40" s="430"/>
      <c r="E40" s="431"/>
      <c r="F40" s="469">
        <v>45431</v>
      </c>
      <c r="G40" s="470"/>
      <c r="H40" s="470"/>
      <c r="I40" s="471"/>
      <c r="J40" s="469">
        <v>45432</v>
      </c>
      <c r="K40" s="470"/>
      <c r="L40" s="470"/>
      <c r="M40" s="471"/>
      <c r="N40" s="469">
        <v>45433</v>
      </c>
      <c r="O40" s="470"/>
      <c r="P40" s="470"/>
      <c r="Q40" s="471"/>
      <c r="R40" s="469">
        <v>45437</v>
      </c>
      <c r="S40" s="470"/>
      <c r="T40" s="470"/>
      <c r="U40" s="471"/>
      <c r="V40" s="469">
        <v>45438</v>
      </c>
      <c r="W40" s="470"/>
      <c r="X40" s="470"/>
      <c r="Y40" s="47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30.6</v>
      </c>
      <c r="O42" s="478">
        <v>30.6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24.1</v>
      </c>
      <c r="W42" s="478">
        <v>0</v>
      </c>
      <c r="X42" s="457">
        <v>-24.1</v>
      </c>
      <c r="Y42" s="459" t="s">
        <v>146</v>
      </c>
    </row>
    <row r="43" spans="3:25" ht="16.5" thickBot="1">
      <c r="C43" s="531"/>
      <c r="D43" s="475"/>
      <c r="E43" s="477"/>
      <c r="F43" s="183">
        <v>122</v>
      </c>
      <c r="G43" s="479"/>
      <c r="H43" s="480"/>
      <c r="I43" s="481"/>
      <c r="J43" s="183">
        <v>146</v>
      </c>
      <c r="K43" s="479"/>
      <c r="L43" s="480"/>
      <c r="M43" s="481"/>
      <c r="N43" s="183">
        <v>176.6</v>
      </c>
      <c r="O43" s="479"/>
      <c r="P43" s="480"/>
      <c r="Q43" s="481"/>
      <c r="R43" s="183">
        <v>173</v>
      </c>
      <c r="S43" s="479"/>
      <c r="T43" s="480"/>
      <c r="U43" s="481"/>
      <c r="V43" s="183">
        <v>172</v>
      </c>
      <c r="W43" s="479"/>
      <c r="X43" s="480"/>
      <c r="Y43" s="48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3"/>
    </row>
    <row r="45" spans="3:25" ht="16.5" thickBot="1">
      <c r="C45" s="514" t="s">
        <v>94</v>
      </c>
      <c r="D45" s="430"/>
      <c r="E45" s="431"/>
      <c r="F45" s="469">
        <v>45431</v>
      </c>
      <c r="G45" s="470"/>
      <c r="H45" s="470"/>
      <c r="I45" s="471"/>
      <c r="J45" s="469">
        <v>45432</v>
      </c>
      <c r="K45" s="470"/>
      <c r="L45" s="470"/>
      <c r="M45" s="471"/>
      <c r="N45" s="469">
        <v>45433</v>
      </c>
      <c r="O45" s="470"/>
      <c r="P45" s="470"/>
      <c r="Q45" s="471"/>
      <c r="R45" s="469">
        <v>45437</v>
      </c>
      <c r="S45" s="470"/>
      <c r="T45" s="470"/>
      <c r="U45" s="471"/>
      <c r="V45" s="469">
        <v>45438</v>
      </c>
      <c r="W45" s="470"/>
      <c r="X45" s="470"/>
      <c r="Y45" s="47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525"/>
      <c r="D47" s="483"/>
      <c r="E47" s="488" t="s">
        <v>91</v>
      </c>
      <c r="F47" s="178">
        <v>30.1</v>
      </c>
      <c r="G47" s="478">
        <v>26.7</v>
      </c>
      <c r="H47" s="457">
        <v>-3.4000000000000021</v>
      </c>
      <c r="I47" s="459" t="s">
        <v>145</v>
      </c>
      <c r="J47" s="178">
        <v>30.1</v>
      </c>
      <c r="K47" s="478">
        <v>30.4</v>
      </c>
      <c r="L47" s="457">
        <v>0.29999999999999716</v>
      </c>
      <c r="M47" s="459" t="s">
        <v>145</v>
      </c>
      <c r="N47" s="178">
        <v>30.1</v>
      </c>
      <c r="O47" s="478">
        <v>31.6</v>
      </c>
      <c r="P47" s="457">
        <v>1.5</v>
      </c>
      <c r="Q47" s="459" t="s">
        <v>145</v>
      </c>
      <c r="R47" s="178">
        <v>26.5</v>
      </c>
      <c r="S47" s="478">
        <v>23.1</v>
      </c>
      <c r="T47" s="457">
        <v>-3.3999999999999986</v>
      </c>
      <c r="U47" s="459" t="s">
        <v>145</v>
      </c>
      <c r="V47" s="178">
        <v>26.5</v>
      </c>
      <c r="W47" s="478">
        <v>22.7</v>
      </c>
      <c r="X47" s="457">
        <v>-3.8000000000000007</v>
      </c>
      <c r="Y47" s="459" t="s">
        <v>149</v>
      </c>
    </row>
    <row r="48" spans="3:25" ht="16.5" thickBot="1">
      <c r="C48" s="533"/>
      <c r="D48" s="487"/>
      <c r="E48" s="489"/>
      <c r="F48" s="177">
        <v>0.63</v>
      </c>
      <c r="G48" s="479"/>
      <c r="H48" s="480"/>
      <c r="I48" s="481"/>
      <c r="J48" s="177">
        <v>0.63</v>
      </c>
      <c r="K48" s="479"/>
      <c r="L48" s="480"/>
      <c r="M48" s="481"/>
      <c r="N48" s="177">
        <v>0.63</v>
      </c>
      <c r="O48" s="479"/>
      <c r="P48" s="480"/>
      <c r="Q48" s="481"/>
      <c r="R48" s="177">
        <v>0.57999999999999996</v>
      </c>
      <c r="S48" s="479"/>
      <c r="T48" s="480"/>
      <c r="U48" s="481"/>
      <c r="V48" s="177">
        <v>0.57999999999999996</v>
      </c>
      <c r="W48" s="479"/>
      <c r="X48" s="480"/>
      <c r="Y48" s="48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3"/>
    </row>
    <row r="50" spans="1:25" ht="16.5" thickBot="1">
      <c r="C50" s="514" t="s">
        <v>89</v>
      </c>
      <c r="D50" s="430"/>
      <c r="E50" s="431"/>
      <c r="F50" s="469">
        <v>45431</v>
      </c>
      <c r="G50" s="470"/>
      <c r="H50" s="470"/>
      <c r="I50" s="471"/>
      <c r="J50" s="469">
        <v>45432</v>
      </c>
      <c r="K50" s="470"/>
      <c r="L50" s="470"/>
      <c r="M50" s="471"/>
      <c r="N50" s="469">
        <v>45433</v>
      </c>
      <c r="O50" s="470"/>
      <c r="P50" s="470"/>
      <c r="Q50" s="471"/>
      <c r="R50" s="469">
        <v>45437</v>
      </c>
      <c r="S50" s="470"/>
      <c r="T50" s="470"/>
      <c r="U50" s="471"/>
      <c r="V50" s="469">
        <v>45438</v>
      </c>
      <c r="W50" s="470"/>
      <c r="X50" s="470"/>
      <c r="Y50" s="47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533"/>
      <c r="D53" s="487"/>
      <c r="E53" s="162" t="s">
        <v>82</v>
      </c>
      <c r="F53" s="161">
        <v>0</v>
      </c>
      <c r="G53" s="160">
        <v>23.6</v>
      </c>
      <c r="H53" s="159" t="s">
        <v>81</v>
      </c>
      <c r="I53" s="158" t="s">
        <v>144</v>
      </c>
      <c r="J53" s="161">
        <v>0</v>
      </c>
      <c r="K53" s="160">
        <v>22.6</v>
      </c>
      <c r="L53" s="159" t="s">
        <v>81</v>
      </c>
      <c r="M53" s="158" t="s">
        <v>144</v>
      </c>
      <c r="N53" s="161">
        <v>0</v>
      </c>
      <c r="O53" s="160">
        <v>22.9</v>
      </c>
      <c r="P53" s="159" t="s">
        <v>81</v>
      </c>
      <c r="Q53" s="158" t="s">
        <v>144</v>
      </c>
      <c r="R53" s="161">
        <v>0</v>
      </c>
      <c r="S53" s="160">
        <v>23.9</v>
      </c>
      <c r="T53" s="159" t="s">
        <v>81</v>
      </c>
      <c r="U53" s="158" t="s">
        <v>144</v>
      </c>
      <c r="V53" s="161">
        <v>0</v>
      </c>
      <c r="W53" s="160">
        <v>25.8</v>
      </c>
      <c r="X53" s="159" t="s">
        <v>81</v>
      </c>
      <c r="Y53" s="158" t="s">
        <v>144</v>
      </c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DF0C-931F-4EE1-A6A8-ED73E5587117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1" t="s">
        <v>143</v>
      </c>
      <c r="J2" s="23"/>
      <c r="K2" s="23"/>
      <c r="L2" s="23"/>
      <c r="M2" s="220"/>
      <c r="N2" s="23"/>
      <c r="O2" s="23"/>
      <c r="P2" s="23"/>
      <c r="Q2" s="22"/>
      <c r="Y2" s="220"/>
    </row>
    <row r="3" spans="3:25" ht="16.5" thickBot="1">
      <c r="C3" s="514" t="s">
        <v>142</v>
      </c>
      <c r="D3" s="430"/>
      <c r="E3" s="431"/>
      <c r="F3" s="515">
        <v>45441</v>
      </c>
      <c r="G3" s="516"/>
      <c r="H3" s="516"/>
      <c r="I3" s="517"/>
      <c r="M3" s="1"/>
      <c r="Q3" s="1"/>
      <c r="U3" s="1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M4" s="1"/>
      <c r="Q4" s="1"/>
      <c r="U4" s="1"/>
      <c r="Y4" s="1"/>
    </row>
    <row r="5" spans="3:25" ht="16">
      <c r="C5" s="519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M5" s="1"/>
      <c r="Q5" s="1"/>
      <c r="U5" s="1"/>
      <c r="Y5" s="1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M6" s="1"/>
      <c r="Q6" s="1"/>
      <c r="U6" s="1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M7" s="1"/>
      <c r="Q7" s="1"/>
      <c r="U7" s="1"/>
      <c r="Y7" s="1"/>
    </row>
    <row r="8" spans="3:25" ht="16">
      <c r="C8" s="520"/>
      <c r="D8" s="426"/>
      <c r="E8" s="218" t="s">
        <v>133</v>
      </c>
      <c r="F8" s="217">
        <v>55.7</v>
      </c>
      <c r="G8" s="216">
        <v>55.7</v>
      </c>
      <c r="H8" s="215">
        <v>0</v>
      </c>
      <c r="I8" s="214"/>
      <c r="M8" s="1"/>
      <c r="Q8" s="1"/>
      <c r="U8" s="1"/>
      <c r="Y8" s="1"/>
    </row>
    <row r="9" spans="3:25" ht="16.5" thickBot="1">
      <c r="C9" s="521"/>
      <c r="D9" s="427" t="s">
        <v>101</v>
      </c>
      <c r="E9" s="428"/>
      <c r="F9" s="188">
        <v>97.100000000000009</v>
      </c>
      <c r="G9" s="187">
        <v>97.100000000000009</v>
      </c>
      <c r="H9" s="187">
        <v>0</v>
      </c>
      <c r="I9" s="213" t="s">
        <v>81</v>
      </c>
      <c r="M9" s="1"/>
      <c r="Q9" s="1"/>
      <c r="U9" s="1"/>
      <c r="Y9" s="1"/>
    </row>
    <row r="10" spans="3:25" ht="15.5" thickBot="1">
      <c r="C10" s="176"/>
      <c r="D10" s="174"/>
      <c r="E10" s="174"/>
      <c r="F10" s="174"/>
      <c r="G10" s="174"/>
      <c r="H10" s="174"/>
      <c r="I10" s="173"/>
      <c r="M10" s="1"/>
      <c r="Q10" s="1"/>
      <c r="U10" s="1"/>
      <c r="Y10" s="1"/>
    </row>
    <row r="11" spans="3:25" ht="16.5" thickBot="1">
      <c r="C11" s="514" t="s">
        <v>132</v>
      </c>
      <c r="D11" s="430"/>
      <c r="E11" s="431"/>
      <c r="F11" s="432">
        <v>45441</v>
      </c>
      <c r="G11" s="433"/>
      <c r="H11" s="433"/>
      <c r="I11" s="434"/>
      <c r="M11" s="1"/>
      <c r="Q11" s="1"/>
      <c r="U11" s="1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M12" s="1"/>
      <c r="Q12" s="1"/>
      <c r="U12" s="1"/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M13" s="1"/>
      <c r="Q13" s="1"/>
      <c r="U13" s="1"/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M14" s="1"/>
      <c r="Q14" s="1"/>
      <c r="U14" s="1"/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M15" s="1"/>
      <c r="Q15" s="1"/>
      <c r="U15" s="1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M16" s="1"/>
      <c r="Q16" s="1"/>
      <c r="U16" s="1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M17" s="1"/>
      <c r="Q17" s="1"/>
      <c r="U17" s="1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M18" s="1"/>
      <c r="Q18" s="1"/>
      <c r="U18" s="1"/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M19" s="1"/>
      <c r="Q19" s="1"/>
      <c r="U19" s="1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M20" s="1"/>
      <c r="Q20" s="1"/>
      <c r="U20" s="1"/>
      <c r="Y20" s="1"/>
    </row>
    <row r="21" spans="3:25" ht="16.5" thickBot="1">
      <c r="C21" s="524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M21" s="1"/>
      <c r="Q21" s="1"/>
      <c r="U21" s="1"/>
      <c r="Y21" s="1"/>
    </row>
    <row r="22" spans="3:25" ht="15.5" thickBot="1">
      <c r="C22" s="176"/>
      <c r="D22" s="174"/>
      <c r="E22" s="174"/>
      <c r="F22" s="174"/>
      <c r="G22" s="174"/>
      <c r="H22" s="174"/>
      <c r="I22" s="173"/>
      <c r="M22" s="1"/>
      <c r="Q22" s="1"/>
      <c r="U22" s="1"/>
      <c r="Y22" s="1"/>
    </row>
    <row r="23" spans="3:25" ht="16.5" thickBot="1">
      <c r="C23" s="514" t="s">
        <v>120</v>
      </c>
      <c r="D23" s="430"/>
      <c r="E23" s="431"/>
      <c r="F23" s="432">
        <v>45441</v>
      </c>
      <c r="G23" s="433"/>
      <c r="H23" s="433"/>
      <c r="I23" s="434"/>
      <c r="M23" s="1"/>
      <c r="Q23" s="1"/>
      <c r="U23" s="1"/>
      <c r="Y23" s="1"/>
    </row>
    <row r="24" spans="3:25" ht="16">
      <c r="C24" s="530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M24" s="1"/>
      <c r="Q24" s="1"/>
      <c r="U24" s="1"/>
      <c r="Y24" s="1"/>
    </row>
    <row r="25" spans="3:25" ht="16.5" thickBot="1">
      <c r="C25" s="526"/>
      <c r="D25" s="447"/>
      <c r="E25" s="449"/>
      <c r="F25" s="209">
        <v>-5</v>
      </c>
      <c r="G25" s="208">
        <v>-5</v>
      </c>
      <c r="H25" s="207">
        <v>0</v>
      </c>
      <c r="I25" s="206"/>
      <c r="M25" s="1"/>
      <c r="Q25" s="1"/>
      <c r="U25" s="1"/>
      <c r="Y25" s="1"/>
    </row>
    <row r="26" spans="3:25" ht="15.5" thickBot="1">
      <c r="C26" s="176"/>
      <c r="D26" s="174"/>
      <c r="E26" s="174"/>
      <c r="F26" s="174"/>
      <c r="G26" s="174"/>
      <c r="H26" s="174"/>
      <c r="I26" s="173"/>
      <c r="M26" s="1"/>
      <c r="Q26" s="1"/>
      <c r="U26" s="1"/>
      <c r="Y26" s="1"/>
    </row>
    <row r="27" spans="3:25" ht="16.5" thickBot="1">
      <c r="C27" s="514" t="s">
        <v>116</v>
      </c>
      <c r="D27" s="430"/>
      <c r="E27" s="431"/>
      <c r="F27" s="432">
        <v>45441</v>
      </c>
      <c r="G27" s="433"/>
      <c r="H27" s="433"/>
      <c r="I27" s="434"/>
      <c r="M27" s="1"/>
      <c r="Q27" s="1"/>
      <c r="U27" s="1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M28" s="1"/>
      <c r="Q28" s="1"/>
      <c r="U28" s="1"/>
      <c r="Y28" s="1"/>
    </row>
    <row r="29" spans="3:25" ht="16">
      <c r="C29" s="528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M29" s="1"/>
      <c r="Q29" s="1"/>
      <c r="U29" s="1"/>
      <c r="Y29" s="1"/>
    </row>
    <row r="30" spans="3:25" ht="16">
      <c r="C30" s="528"/>
      <c r="D30" s="443"/>
      <c r="E30" s="454"/>
      <c r="F30" s="202">
        <v>0</v>
      </c>
      <c r="G30" s="456">
        <v>0</v>
      </c>
      <c r="H30" s="458"/>
      <c r="I30" s="460"/>
      <c r="M30" s="1"/>
      <c r="Q30" s="1"/>
      <c r="U30" s="1"/>
      <c r="Y30" s="1"/>
    </row>
    <row r="31" spans="3:25" ht="16">
      <c r="C31" s="528"/>
      <c r="D31" s="443"/>
      <c r="E31" s="453" t="s">
        <v>109</v>
      </c>
      <c r="F31" s="200">
        <v>27.2</v>
      </c>
      <c r="G31" s="455">
        <v>33.4</v>
      </c>
      <c r="H31" s="457">
        <v>6.1999999999999993</v>
      </c>
      <c r="I31" s="459" t="s">
        <v>151</v>
      </c>
      <c r="M31" s="1"/>
      <c r="Q31" s="1"/>
      <c r="U31" s="1"/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M32" s="1"/>
      <c r="Q32" s="1"/>
      <c r="U32" s="1"/>
      <c r="Y32" s="1"/>
    </row>
    <row r="33" spans="3:25" ht="16">
      <c r="C33" s="528"/>
      <c r="D33" s="466" t="s">
        <v>107</v>
      </c>
      <c r="E33" s="201" t="s">
        <v>106</v>
      </c>
      <c r="F33" s="200">
        <v>27.8</v>
      </c>
      <c r="G33" s="199">
        <v>37.5</v>
      </c>
      <c r="H33" s="457">
        <v>9.6999999999999993</v>
      </c>
      <c r="I33" s="459" t="s">
        <v>148</v>
      </c>
      <c r="M33" s="1"/>
      <c r="Q33" s="1"/>
      <c r="U33" s="1"/>
      <c r="Y33" s="1"/>
    </row>
    <row r="34" spans="3:25" ht="16">
      <c r="C34" s="528"/>
      <c r="D34" s="467"/>
      <c r="E34" s="463" t="s">
        <v>104</v>
      </c>
      <c r="F34" s="198">
        <v>0.2</v>
      </c>
      <c r="G34" s="197">
        <v>0.27</v>
      </c>
      <c r="H34" s="458"/>
      <c r="I34" s="460"/>
      <c r="M34" s="1"/>
      <c r="Q34" s="1"/>
      <c r="U34" s="1"/>
      <c r="Y34" s="1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M35" s="1"/>
      <c r="Q35" s="1"/>
      <c r="U35" s="1"/>
      <c r="Y35" s="1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M36" s="1"/>
      <c r="Q36" s="1"/>
      <c r="U36" s="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0.1</v>
      </c>
      <c r="H37" s="164">
        <v>-9.9</v>
      </c>
      <c r="I37" s="189" t="s">
        <v>147</v>
      </c>
      <c r="M37" s="1"/>
      <c r="Q37" s="1"/>
      <c r="U37" s="1"/>
      <c r="Y37" s="1"/>
    </row>
    <row r="38" spans="3:25" ht="16.5" thickBot="1">
      <c r="C38" s="529"/>
      <c r="D38" s="427" t="s">
        <v>101</v>
      </c>
      <c r="E38" s="428"/>
      <c r="F38" s="188">
        <v>65</v>
      </c>
      <c r="G38" s="187">
        <v>71</v>
      </c>
      <c r="H38" s="187">
        <v>5.9999999999999982</v>
      </c>
      <c r="I38" s="186"/>
      <c r="M38" s="1"/>
      <c r="Q38" s="1"/>
      <c r="U38" s="1"/>
      <c r="Y38" s="1"/>
    </row>
    <row r="39" spans="3:25" ht="15.5" thickBot="1">
      <c r="C39" s="176"/>
      <c r="D39" s="174"/>
      <c r="E39" s="174"/>
      <c r="F39" s="174"/>
      <c r="G39" s="174"/>
      <c r="H39" s="174"/>
      <c r="I39" s="173"/>
      <c r="M39" s="1"/>
      <c r="Q39" s="1"/>
      <c r="U39" s="1"/>
      <c r="Y39" s="1"/>
    </row>
    <row r="40" spans="3:25" ht="16.5" thickBot="1">
      <c r="C40" s="514" t="s">
        <v>100</v>
      </c>
      <c r="D40" s="430"/>
      <c r="E40" s="431"/>
      <c r="F40" s="469">
        <v>45441</v>
      </c>
      <c r="G40" s="470"/>
      <c r="H40" s="470"/>
      <c r="I40" s="471"/>
      <c r="M40" s="1"/>
      <c r="Q40" s="1"/>
      <c r="U40" s="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M41" s="1"/>
      <c r="Q41" s="1"/>
      <c r="U41" s="1"/>
      <c r="Y41" s="1"/>
    </row>
    <row r="42" spans="3:25" ht="16.5" customHeight="1">
      <c r="C42" s="525"/>
      <c r="D42" s="445"/>
      <c r="E42" s="476" t="s">
        <v>96</v>
      </c>
      <c r="F42" s="178">
        <v>2.4</v>
      </c>
      <c r="G42" s="478">
        <v>2.4</v>
      </c>
      <c r="H42" s="457">
        <v>0</v>
      </c>
      <c r="I42" s="459"/>
      <c r="M42" s="1"/>
      <c r="Q42" s="1"/>
      <c r="U42" s="1"/>
      <c r="Y42" s="1"/>
    </row>
    <row r="43" spans="3:25" ht="16.5" thickBot="1">
      <c r="C43" s="531"/>
      <c r="D43" s="475"/>
      <c r="E43" s="477"/>
      <c r="F43" s="183">
        <v>210</v>
      </c>
      <c r="G43" s="479"/>
      <c r="H43" s="480"/>
      <c r="I43" s="481"/>
      <c r="M43" s="1"/>
      <c r="Q43" s="1"/>
      <c r="U43" s="1"/>
      <c r="Y43" s="1"/>
    </row>
    <row r="44" spans="3:25" ht="15.5" thickBot="1">
      <c r="C44" s="176"/>
      <c r="D44" s="174"/>
      <c r="E44" s="174"/>
      <c r="F44" s="174"/>
      <c r="G44" s="174"/>
      <c r="H44" s="174"/>
      <c r="I44" s="173"/>
      <c r="M44" s="1"/>
      <c r="Q44" s="1"/>
      <c r="U44" s="1"/>
      <c r="Y44" s="1"/>
    </row>
    <row r="45" spans="3:25" ht="16.5" thickBot="1">
      <c r="C45" s="514" t="s">
        <v>94</v>
      </c>
      <c r="D45" s="430"/>
      <c r="E45" s="431"/>
      <c r="F45" s="469">
        <v>45441</v>
      </c>
      <c r="G45" s="470"/>
      <c r="H45" s="470"/>
      <c r="I45" s="471"/>
      <c r="M45" s="1"/>
      <c r="Q45" s="1"/>
      <c r="U45" s="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M46" s="1"/>
      <c r="Q46" s="1"/>
      <c r="U46" s="1"/>
      <c r="Y46" s="1"/>
    </row>
    <row r="47" spans="3:25" ht="16">
      <c r="C47" s="525"/>
      <c r="D47" s="483"/>
      <c r="E47" s="488" t="s">
        <v>91</v>
      </c>
      <c r="F47" s="178">
        <v>28.2</v>
      </c>
      <c r="G47" s="478">
        <v>21.4</v>
      </c>
      <c r="H47" s="457">
        <v>-6.8000000000000007</v>
      </c>
      <c r="I47" s="459" t="s">
        <v>146</v>
      </c>
      <c r="M47" s="1"/>
      <c r="Q47" s="1"/>
      <c r="U47" s="1"/>
      <c r="Y47" s="1"/>
    </row>
    <row r="48" spans="3:25" ht="16.5" thickBot="1">
      <c r="C48" s="533"/>
      <c r="D48" s="487"/>
      <c r="E48" s="489"/>
      <c r="F48" s="177">
        <v>0.6</v>
      </c>
      <c r="G48" s="479"/>
      <c r="H48" s="480"/>
      <c r="I48" s="481"/>
      <c r="M48" s="1"/>
      <c r="Q48" s="1"/>
      <c r="U48" s="1"/>
      <c r="Y48" s="1"/>
    </row>
    <row r="49" spans="1:25" ht="15.5" thickBot="1">
      <c r="C49" s="176"/>
      <c r="D49" s="174"/>
      <c r="E49" s="174"/>
      <c r="F49" s="174"/>
      <c r="G49" s="174"/>
      <c r="H49" s="174"/>
      <c r="I49" s="173"/>
      <c r="M49" s="1"/>
      <c r="Q49" s="1"/>
      <c r="U49" s="1"/>
      <c r="Y49" s="1"/>
    </row>
    <row r="50" spans="1:25" ht="16.5" thickBot="1">
      <c r="C50" s="514" t="s">
        <v>89</v>
      </c>
      <c r="D50" s="430"/>
      <c r="E50" s="431"/>
      <c r="F50" s="469">
        <v>45441</v>
      </c>
      <c r="G50" s="470"/>
      <c r="H50" s="470"/>
      <c r="I50" s="471"/>
      <c r="M50" s="1"/>
      <c r="Q50" s="1"/>
      <c r="U50" s="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M51" s="1"/>
      <c r="Q51" s="1"/>
      <c r="U51" s="1"/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M52" s="1"/>
      <c r="Q52" s="1"/>
      <c r="U52" s="1"/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160">
        <v>25.4</v>
      </c>
      <c r="H53" s="159" t="s">
        <v>81</v>
      </c>
      <c r="I53" s="158" t="s">
        <v>144</v>
      </c>
      <c r="M53" s="1"/>
      <c r="Q53" s="1"/>
      <c r="U53" s="1"/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51">
    <mergeCell ref="H33:H34"/>
    <mergeCell ref="C51:D53"/>
    <mergeCell ref="C46:D48"/>
    <mergeCell ref="E47:E48"/>
    <mergeCell ref="G47:G48"/>
    <mergeCell ref="D33:D37"/>
    <mergeCell ref="D38:E38"/>
    <mergeCell ref="C40:E40"/>
    <mergeCell ref="F40:I40"/>
    <mergeCell ref="C28:C38"/>
    <mergeCell ref="D29:D32"/>
    <mergeCell ref="I33:I34"/>
    <mergeCell ref="E34:E36"/>
    <mergeCell ref="G29:G30"/>
    <mergeCell ref="H29:H30"/>
    <mergeCell ref="I29:I30"/>
    <mergeCell ref="E31:E32"/>
    <mergeCell ref="G31:G32"/>
    <mergeCell ref="H31:H32"/>
    <mergeCell ref="I31:I32"/>
    <mergeCell ref="E29:E30"/>
    <mergeCell ref="I47:I48"/>
    <mergeCell ref="C50:E50"/>
    <mergeCell ref="F50:I50"/>
    <mergeCell ref="C41:D43"/>
    <mergeCell ref="E42:E43"/>
    <mergeCell ref="G42:G43"/>
    <mergeCell ref="H42:H43"/>
    <mergeCell ref="I42:I43"/>
    <mergeCell ref="C45:E45"/>
    <mergeCell ref="F45:I45"/>
    <mergeCell ref="H47:H48"/>
    <mergeCell ref="C23:E23"/>
    <mergeCell ref="F23:I23"/>
    <mergeCell ref="C24:D25"/>
    <mergeCell ref="E24:E25"/>
    <mergeCell ref="C27:E27"/>
    <mergeCell ref="F27:I27"/>
    <mergeCell ref="C11:E11"/>
    <mergeCell ref="F11:I11"/>
    <mergeCell ref="C12:C21"/>
    <mergeCell ref="D13:D14"/>
    <mergeCell ref="D15:D16"/>
    <mergeCell ref="D17:D20"/>
    <mergeCell ref="D21:E21"/>
    <mergeCell ref="C3:E3"/>
    <mergeCell ref="F3:I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&amp;"メイリオ,ボールド"&amp;22日別の優先給電ルールに基づく抑制、調整状況（2024年5月）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DC3A-410B-4387-B43D-F9517AA80C45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45444</v>
      </c>
      <c r="G3" s="96" t="s">
        <v>49</v>
      </c>
      <c r="H3" s="25">
        <v>45445</v>
      </c>
      <c r="I3" s="26" t="s">
        <v>49</v>
      </c>
      <c r="J3" s="25">
        <v>45446</v>
      </c>
      <c r="K3" s="26" t="s">
        <v>48</v>
      </c>
      <c r="L3" s="25">
        <v>45447</v>
      </c>
      <c r="M3" s="26" t="s">
        <v>48</v>
      </c>
      <c r="N3" s="25">
        <v>45448</v>
      </c>
      <c r="O3" s="26" t="s">
        <v>48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86.6</v>
      </c>
      <c r="G5" s="381" t="s">
        <v>45</v>
      </c>
      <c r="H5" s="9">
        <v>80.3</v>
      </c>
      <c r="I5" s="384" t="s">
        <v>45</v>
      </c>
      <c r="J5" s="9">
        <v>83.4</v>
      </c>
      <c r="K5" s="384" t="s">
        <v>45</v>
      </c>
      <c r="L5" s="9">
        <v>108.6</v>
      </c>
      <c r="M5" s="384" t="s">
        <v>45</v>
      </c>
      <c r="N5" s="9">
        <v>77.599999999999994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48.1</v>
      </c>
      <c r="G6" s="382"/>
      <c r="H6" s="10">
        <v>49.5</v>
      </c>
      <c r="I6" s="385"/>
      <c r="J6" s="10">
        <v>63.6</v>
      </c>
      <c r="K6" s="385"/>
      <c r="L6" s="10">
        <v>65.2</v>
      </c>
      <c r="M6" s="385"/>
      <c r="N6" s="10">
        <v>74.8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298</v>
      </c>
      <c r="G7" s="382"/>
      <c r="H7" s="28">
        <v>298</v>
      </c>
      <c r="I7" s="385"/>
      <c r="J7" s="28">
        <v>298</v>
      </c>
      <c r="K7" s="385"/>
      <c r="L7" s="28">
        <v>334.2</v>
      </c>
      <c r="M7" s="385"/>
      <c r="N7" s="28">
        <v>357.3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47.3</v>
      </c>
      <c r="G8" s="382"/>
      <c r="H8" s="29">
        <v>57.299999999999976</v>
      </c>
      <c r="I8" s="385"/>
      <c r="J8" s="29">
        <v>47.700000000000088</v>
      </c>
      <c r="K8" s="385"/>
      <c r="L8" s="29">
        <v>44.700000000000031</v>
      </c>
      <c r="M8" s="385"/>
      <c r="N8" s="29">
        <v>40.299999999999997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13.1</v>
      </c>
      <c r="G9" s="382"/>
      <c r="H9" s="30">
        <v>13.1</v>
      </c>
      <c r="I9" s="385"/>
      <c r="J9" s="30">
        <v>13.1</v>
      </c>
      <c r="K9" s="385"/>
      <c r="L9" s="30">
        <v>13.1</v>
      </c>
      <c r="M9" s="385"/>
      <c r="N9" s="30">
        <v>12.8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28.5</v>
      </c>
      <c r="G10" s="382"/>
      <c r="H10" s="11">
        <v>20.8</v>
      </c>
      <c r="I10" s="385"/>
      <c r="J10" s="11">
        <v>20.8</v>
      </c>
      <c r="K10" s="385"/>
      <c r="L10" s="11">
        <v>21.8</v>
      </c>
      <c r="M10" s="385"/>
      <c r="N10" s="11">
        <v>23.9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26.8</v>
      </c>
      <c r="G11" s="382"/>
      <c r="H11" s="12">
        <v>26.9</v>
      </c>
      <c r="I11" s="385"/>
      <c r="J11" s="12">
        <v>26.5</v>
      </c>
      <c r="K11" s="385"/>
      <c r="L11" s="12">
        <v>26.2</v>
      </c>
      <c r="M11" s="385"/>
      <c r="N11" s="12">
        <v>25.5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860.6</v>
      </c>
      <c r="G12" s="382"/>
      <c r="H12" s="13">
        <v>857.7</v>
      </c>
      <c r="I12" s="385"/>
      <c r="J12" s="13">
        <v>916.7</v>
      </c>
      <c r="K12" s="385"/>
      <c r="L12" s="13">
        <v>878.6</v>
      </c>
      <c r="M12" s="385"/>
      <c r="N12" s="13">
        <v>836.2</v>
      </c>
      <c r="O12" s="385"/>
    </row>
    <row r="13" spans="2:15" ht="16">
      <c r="B13" s="376"/>
      <c r="C13" s="379"/>
      <c r="D13" s="388"/>
      <c r="E13" s="45" t="s">
        <v>27</v>
      </c>
      <c r="F13" s="106">
        <v>7.1</v>
      </c>
      <c r="G13" s="382"/>
      <c r="H13" s="13">
        <v>5.9</v>
      </c>
      <c r="I13" s="385"/>
      <c r="J13" s="13">
        <v>8.3000000000000007</v>
      </c>
      <c r="K13" s="385"/>
      <c r="L13" s="13">
        <v>12.1</v>
      </c>
      <c r="M13" s="385"/>
      <c r="N13" s="13">
        <v>6.3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146.4</v>
      </c>
      <c r="G14" s="382"/>
      <c r="H14" s="14">
        <v>149.30000000000001</v>
      </c>
      <c r="I14" s="385"/>
      <c r="J14" s="14">
        <v>58.6</v>
      </c>
      <c r="K14" s="385"/>
      <c r="L14" s="14">
        <v>96.7</v>
      </c>
      <c r="M14" s="385"/>
      <c r="N14" s="14">
        <v>164.1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1562.5</v>
      </c>
      <c r="G15" s="382"/>
      <c r="H15" s="15">
        <v>1558.8</v>
      </c>
      <c r="I15" s="385"/>
      <c r="J15" s="15">
        <v>1536.7</v>
      </c>
      <c r="K15" s="385"/>
      <c r="L15" s="15">
        <v>1601.2</v>
      </c>
      <c r="M15" s="385"/>
      <c r="N15" s="15">
        <v>1618.8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837.2</v>
      </c>
      <c r="G16" s="382"/>
      <c r="H16" s="8">
        <v>749.2</v>
      </c>
      <c r="I16" s="385"/>
      <c r="J16" s="8">
        <v>905</v>
      </c>
      <c r="K16" s="385"/>
      <c r="L16" s="8">
        <v>916.3</v>
      </c>
      <c r="M16" s="385"/>
      <c r="N16" s="8">
        <v>965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-219.2</v>
      </c>
      <c r="G17" s="382"/>
      <c r="H17" s="16">
        <v>-219.2</v>
      </c>
      <c r="I17" s="385"/>
      <c r="J17" s="16">
        <v>-219.2</v>
      </c>
      <c r="K17" s="385"/>
      <c r="L17" s="16">
        <v>-219.2</v>
      </c>
      <c r="M17" s="385"/>
      <c r="N17" s="16">
        <v>-219.2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382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-179.6</v>
      </c>
      <c r="G19" s="382"/>
      <c r="H19" s="18">
        <v>-195</v>
      </c>
      <c r="I19" s="385"/>
      <c r="J19" s="18">
        <v>-227</v>
      </c>
      <c r="K19" s="385"/>
      <c r="L19" s="18">
        <v>-220</v>
      </c>
      <c r="M19" s="385"/>
      <c r="N19" s="18">
        <v>-202.3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1241</v>
      </c>
      <c r="G21" s="383"/>
      <c r="H21" s="27">
        <v>1168.4000000000001</v>
      </c>
      <c r="I21" s="386"/>
      <c r="J21" s="27">
        <v>1356.2</v>
      </c>
      <c r="K21" s="386"/>
      <c r="L21" s="27">
        <v>1360.5</v>
      </c>
      <c r="M21" s="386"/>
      <c r="N21" s="27">
        <v>1391.5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1562.5</v>
      </c>
      <c r="G23" s="414"/>
      <c r="H23" s="20">
        <v>1558.8</v>
      </c>
      <c r="I23" s="400"/>
      <c r="J23" s="20">
        <v>1536.7</v>
      </c>
      <c r="K23" s="400"/>
      <c r="L23" s="20">
        <v>1601.2</v>
      </c>
      <c r="M23" s="400"/>
      <c r="N23" s="20">
        <v>1618.8</v>
      </c>
      <c r="O23" s="400"/>
    </row>
    <row r="24" spans="2:15" ht="16">
      <c r="B24" s="409"/>
      <c r="C24" s="403" t="s">
        <v>37</v>
      </c>
      <c r="D24" s="404"/>
      <c r="E24" s="405"/>
      <c r="F24" s="21">
        <v>1241</v>
      </c>
      <c r="G24" s="415"/>
      <c r="H24" s="21">
        <v>1168.4000000000001</v>
      </c>
      <c r="I24" s="401"/>
      <c r="J24" s="21">
        <v>1356.2</v>
      </c>
      <c r="K24" s="401"/>
      <c r="L24" s="21">
        <v>1360.5</v>
      </c>
      <c r="M24" s="401"/>
      <c r="N24" s="21">
        <v>1391.5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321.5</v>
      </c>
      <c r="G25" s="416"/>
      <c r="H25" s="67">
        <v>390.39999999999986</v>
      </c>
      <c r="I25" s="402"/>
      <c r="J25" s="67">
        <v>180.5</v>
      </c>
      <c r="K25" s="402"/>
      <c r="L25" s="67">
        <v>240.70000000000005</v>
      </c>
      <c r="M25" s="402"/>
      <c r="N25" s="67">
        <v>227.29999999999995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日別の需給状況・再エネ出力抑制の必要性（2024年6月）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9D78-2AC7-4E69-93F7-FF7554A42971}">
  <sheetPr>
    <pageSetUpPr fitToPage="1"/>
  </sheetPr>
  <dimension ref="A1:Y64"/>
  <sheetViews>
    <sheetView showGridLines="0" topLeftCell="G1" zoomScaleNormal="100" zoomScaleSheetLayoutView="10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45754</v>
      </c>
      <c r="G3" s="418"/>
      <c r="H3" s="418"/>
      <c r="I3" s="419"/>
      <c r="J3" s="417">
        <v>45755</v>
      </c>
      <c r="K3" s="418"/>
      <c r="L3" s="418"/>
      <c r="M3" s="419"/>
      <c r="N3" s="417">
        <v>45756</v>
      </c>
      <c r="O3" s="418"/>
      <c r="P3" s="418"/>
      <c r="Q3" s="419"/>
      <c r="R3" s="417">
        <v>45758</v>
      </c>
      <c r="S3" s="418"/>
      <c r="T3" s="418"/>
      <c r="U3" s="419"/>
      <c r="V3" s="417">
        <v>45760</v>
      </c>
      <c r="W3" s="418"/>
      <c r="X3" s="418"/>
      <c r="Y3" s="420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 t="shared" ref="H5:H8" si="0">SUM(G5,-F5)</f>
        <v>0</v>
      </c>
      <c r="I5" s="219"/>
      <c r="J5" s="166">
        <v>12.4</v>
      </c>
      <c r="K5" s="165">
        <v>12.4</v>
      </c>
      <c r="L5" s="164">
        <f t="shared" ref="L5:L8" si="1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 t="shared" si="0"/>
        <v>0</v>
      </c>
      <c r="I6" s="219"/>
      <c r="J6" s="166">
        <v>8.8000000000000007</v>
      </c>
      <c r="K6" s="165">
        <v>8.8000000000000007</v>
      </c>
      <c r="L6" s="164">
        <f t="shared" si="1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 t="shared" si="0"/>
        <v>0</v>
      </c>
      <c r="I7" s="219"/>
      <c r="J7" s="166">
        <v>0</v>
      </c>
      <c r="K7" s="165">
        <v>0</v>
      </c>
      <c r="L7" s="164">
        <f t="shared" si="1"/>
        <v>0</v>
      </c>
      <c r="M7" s="219"/>
      <c r="N7" s="166">
        <v>0</v>
      </c>
      <c r="O7" s="165">
        <v>0</v>
      </c>
      <c r="P7" s="164">
        <f t="shared" ref="P7" si="2">SUM(O7,-N7)</f>
        <v>0</v>
      </c>
      <c r="Q7" s="219"/>
      <c r="R7" s="166">
        <v>0</v>
      </c>
      <c r="S7" s="165">
        <v>0</v>
      </c>
      <c r="T7" s="164">
        <f t="shared" ref="T7" si="3">SUM(S7,-R7)</f>
        <v>0</v>
      </c>
      <c r="U7" s="219"/>
      <c r="V7" s="166">
        <v>0</v>
      </c>
      <c r="W7" s="165">
        <v>0</v>
      </c>
      <c r="X7" s="164">
        <f t="shared" ref="X7" si="4">SUM(W7,-V7)</f>
        <v>0</v>
      </c>
      <c r="Y7" s="263"/>
    </row>
    <row r="8" spans="3:25" ht="16">
      <c r="C8" s="423"/>
      <c r="D8" s="426"/>
      <c r="E8" s="218" t="s">
        <v>133</v>
      </c>
      <c r="F8" s="217">
        <v>54.300000000000004</v>
      </c>
      <c r="G8" s="216">
        <v>54.300000000000004</v>
      </c>
      <c r="H8" s="215">
        <f t="shared" si="0"/>
        <v>0</v>
      </c>
      <c r="I8" s="214"/>
      <c r="J8" s="217">
        <v>54.7</v>
      </c>
      <c r="K8" s="216">
        <v>54.7</v>
      </c>
      <c r="L8" s="215">
        <f t="shared" si="1"/>
        <v>0</v>
      </c>
      <c r="M8" s="214"/>
      <c r="N8" s="217">
        <v>54.5</v>
      </c>
      <c r="O8" s="216">
        <v>54.5</v>
      </c>
      <c r="P8" s="215">
        <f>SUM(O8,-N8)</f>
        <v>0</v>
      </c>
      <c r="Q8" s="214"/>
      <c r="R8" s="217">
        <v>54.5</v>
      </c>
      <c r="S8" s="216">
        <v>54.5</v>
      </c>
      <c r="T8" s="215">
        <f>SUM(S8,-R8)</f>
        <v>0</v>
      </c>
      <c r="U8" s="214"/>
      <c r="V8" s="217">
        <v>51.7</v>
      </c>
      <c r="W8" s="216">
        <v>51.7</v>
      </c>
      <c r="X8" s="215">
        <f>SUM(W8,-V8)</f>
        <v>0</v>
      </c>
      <c r="Y8" s="264"/>
    </row>
    <row r="9" spans="3:25" ht="16.5" thickBot="1">
      <c r="C9" s="424"/>
      <c r="D9" s="427" t="s">
        <v>101</v>
      </c>
      <c r="E9" s="428"/>
      <c r="F9" s="188">
        <f t="shared" ref="F9:H9" si="5">SUM(F5:F8)</f>
        <v>75.5</v>
      </c>
      <c r="G9" s="187">
        <f t="shared" si="5"/>
        <v>75.5</v>
      </c>
      <c r="H9" s="187">
        <f t="shared" si="5"/>
        <v>0</v>
      </c>
      <c r="I9" s="213" t="s">
        <v>159</v>
      </c>
      <c r="J9" s="188">
        <f>SUM(J5:J8)</f>
        <v>75.900000000000006</v>
      </c>
      <c r="K9" s="187">
        <f>SUM(K5:K8)</f>
        <v>75.900000000000006</v>
      </c>
      <c r="L9" s="187">
        <f t="shared" ref="L9" si="6">SUM(L5:L8)</f>
        <v>0</v>
      </c>
      <c r="M9" s="213" t="s">
        <v>159</v>
      </c>
      <c r="N9" s="188">
        <f>SUM(N5:N8)</f>
        <v>75.7</v>
      </c>
      <c r="O9" s="187">
        <f>SUM(O5:O8)</f>
        <v>75.7</v>
      </c>
      <c r="P9" s="187">
        <f>SUM(P5:P8)</f>
        <v>0</v>
      </c>
      <c r="Q9" s="213" t="s">
        <v>159</v>
      </c>
      <c r="R9" s="188">
        <f>SUM(R5:R8)</f>
        <v>75.7</v>
      </c>
      <c r="S9" s="187">
        <f>SUM(S5:S8)</f>
        <v>75.7</v>
      </c>
      <c r="T9" s="187">
        <f>SUM(T5:T8)</f>
        <v>0</v>
      </c>
      <c r="U9" s="213" t="s">
        <v>159</v>
      </c>
      <c r="V9" s="188">
        <f>SUM(V5:V8)</f>
        <v>72.900000000000006</v>
      </c>
      <c r="W9" s="187">
        <f>SUM(W5:W8)</f>
        <v>72.900000000000006</v>
      </c>
      <c r="X9" s="187">
        <f>SUM(X5:X8)</f>
        <v>0</v>
      </c>
      <c r="Y9" s="265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8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7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8">SUM(K13,-J13)</f>
        <v>26.1</v>
      </c>
      <c r="M13" s="189" t="s">
        <v>145</v>
      </c>
      <c r="N13" s="166">
        <v>-26.1</v>
      </c>
      <c r="O13" s="165">
        <v>0</v>
      </c>
      <c r="P13" s="164">
        <f>SUM(O13,-N13)</f>
        <v>26.1</v>
      </c>
      <c r="Q13" s="189" t="s">
        <v>149</v>
      </c>
      <c r="R13" s="166">
        <v>-26.1</v>
      </c>
      <c r="S13" s="165">
        <v>0</v>
      </c>
      <c r="T13" s="164">
        <f>SUM(S13,-R13)</f>
        <v>26.1</v>
      </c>
      <c r="U13" s="189" t="s">
        <v>145</v>
      </c>
      <c r="V13" s="166">
        <v>-26.1</v>
      </c>
      <c r="W13" s="165">
        <v>0</v>
      </c>
      <c r="X13" s="164">
        <f>SUM(W13,-V13)</f>
        <v>26.1</v>
      </c>
      <c r="Y13" s="267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7"/>
        <v>0</v>
      </c>
      <c r="I14" s="232"/>
      <c r="J14" s="166">
        <v>-26.1</v>
      </c>
      <c r="K14" s="165">
        <v>-26.1</v>
      </c>
      <c r="L14" s="164">
        <f t="shared" si="8"/>
        <v>0</v>
      </c>
      <c r="M14" s="189"/>
      <c r="N14" s="166">
        <v>-26.1</v>
      </c>
      <c r="O14" s="165">
        <v>-26.1</v>
      </c>
      <c r="P14" s="164">
        <f t="shared" ref="P14:P20" si="9">SUM(O14,-N14)</f>
        <v>0</v>
      </c>
      <c r="Q14" s="189"/>
      <c r="R14" s="166">
        <v>-26.1</v>
      </c>
      <c r="S14" s="165">
        <v>-26.1</v>
      </c>
      <c r="T14" s="164">
        <f t="shared" ref="T14:T20" si="10">SUM(S14,-R14)</f>
        <v>0</v>
      </c>
      <c r="U14" s="189"/>
      <c r="V14" s="166">
        <v>-26.1</v>
      </c>
      <c r="W14" s="165">
        <v>-26.1</v>
      </c>
      <c r="X14" s="164">
        <f t="shared" ref="X14:X20" si="11">SUM(W14,-V14)</f>
        <v>0</v>
      </c>
      <c r="Y14" s="267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7"/>
        <v>0</v>
      </c>
      <c r="I15" s="232"/>
      <c r="J15" s="166">
        <v>-32.5</v>
      </c>
      <c r="K15" s="165">
        <v>-32.5</v>
      </c>
      <c r="L15" s="164">
        <f t="shared" si="8"/>
        <v>0</v>
      </c>
      <c r="M15" s="189"/>
      <c r="N15" s="166">
        <v>-32.5</v>
      </c>
      <c r="O15" s="165">
        <v>-32.5</v>
      </c>
      <c r="P15" s="164">
        <f t="shared" si="9"/>
        <v>0</v>
      </c>
      <c r="Q15" s="189"/>
      <c r="R15" s="166">
        <v>-32.5</v>
      </c>
      <c r="S15" s="165">
        <v>-32.5</v>
      </c>
      <c r="T15" s="164">
        <f t="shared" si="10"/>
        <v>0</v>
      </c>
      <c r="U15" s="189"/>
      <c r="V15" s="166">
        <v>-32.5</v>
      </c>
      <c r="W15" s="165">
        <v>-32.5</v>
      </c>
      <c r="X15" s="164">
        <f t="shared" si="11"/>
        <v>0</v>
      </c>
      <c r="Y15" s="267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7"/>
        <v>0</v>
      </c>
      <c r="I16" s="232"/>
      <c r="J16" s="166">
        <v>-32.5</v>
      </c>
      <c r="K16" s="165">
        <v>-32.5</v>
      </c>
      <c r="L16" s="164">
        <f t="shared" si="8"/>
        <v>0</v>
      </c>
      <c r="M16" s="189"/>
      <c r="N16" s="166">
        <v>-32.5</v>
      </c>
      <c r="O16" s="165">
        <v>-32.5</v>
      </c>
      <c r="P16" s="164">
        <f t="shared" si="9"/>
        <v>0</v>
      </c>
      <c r="Q16" s="189"/>
      <c r="R16" s="166">
        <v>-32.5</v>
      </c>
      <c r="S16" s="165">
        <v>-32.5</v>
      </c>
      <c r="T16" s="164">
        <f t="shared" si="10"/>
        <v>0</v>
      </c>
      <c r="U16" s="189"/>
      <c r="V16" s="166">
        <v>-32.5</v>
      </c>
      <c r="W16" s="165">
        <v>-32.5</v>
      </c>
      <c r="X16" s="164">
        <f t="shared" si="11"/>
        <v>0</v>
      </c>
      <c r="Y16" s="267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0</v>
      </c>
      <c r="H17" s="164">
        <f t="shared" si="7"/>
        <v>34</v>
      </c>
      <c r="I17" s="232" t="s">
        <v>149</v>
      </c>
      <c r="J17" s="166">
        <v>-34</v>
      </c>
      <c r="K17" s="165">
        <v>0</v>
      </c>
      <c r="L17" s="164">
        <f t="shared" si="8"/>
        <v>34</v>
      </c>
      <c r="M17" s="189" t="s">
        <v>145</v>
      </c>
      <c r="N17" s="166">
        <v>-34</v>
      </c>
      <c r="O17" s="165">
        <v>0</v>
      </c>
      <c r="P17" s="164">
        <f t="shared" si="9"/>
        <v>34</v>
      </c>
      <c r="Q17" s="189" t="s">
        <v>145</v>
      </c>
      <c r="R17" s="166">
        <v>-34</v>
      </c>
      <c r="S17" s="165">
        <v>-34</v>
      </c>
      <c r="T17" s="164">
        <f t="shared" si="10"/>
        <v>0</v>
      </c>
      <c r="U17" s="189"/>
      <c r="V17" s="166">
        <v>-34</v>
      </c>
      <c r="W17" s="165">
        <v>-34</v>
      </c>
      <c r="X17" s="164">
        <f t="shared" si="11"/>
        <v>0</v>
      </c>
      <c r="Y17" s="267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7"/>
        <v>0</v>
      </c>
      <c r="I18" s="232"/>
      <c r="J18" s="166">
        <v>-34</v>
      </c>
      <c r="K18" s="165">
        <v>-34</v>
      </c>
      <c r="L18" s="164">
        <f t="shared" si="8"/>
        <v>0</v>
      </c>
      <c r="M18" s="189"/>
      <c r="N18" s="166">
        <v>-34</v>
      </c>
      <c r="O18" s="165">
        <v>0</v>
      </c>
      <c r="P18" s="164">
        <f t="shared" si="9"/>
        <v>34</v>
      </c>
      <c r="Q18" s="189" t="s">
        <v>145</v>
      </c>
      <c r="R18" s="166">
        <v>-34</v>
      </c>
      <c r="S18" s="165">
        <v>0</v>
      </c>
      <c r="T18" s="164">
        <f t="shared" si="10"/>
        <v>34</v>
      </c>
      <c r="U18" s="189" t="s">
        <v>145</v>
      </c>
      <c r="V18" s="166">
        <v>-34</v>
      </c>
      <c r="W18" s="165">
        <v>-34</v>
      </c>
      <c r="X18" s="164">
        <f t="shared" si="11"/>
        <v>0</v>
      </c>
      <c r="Y18" s="267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7"/>
        <v>0</v>
      </c>
      <c r="I19" s="231"/>
      <c r="J19" s="166">
        <v>-34</v>
      </c>
      <c r="K19" s="165">
        <v>-34</v>
      </c>
      <c r="L19" s="164">
        <f t="shared" si="8"/>
        <v>0</v>
      </c>
      <c r="M19" s="189"/>
      <c r="N19" s="166">
        <v>-34</v>
      </c>
      <c r="O19" s="165">
        <v>-34</v>
      </c>
      <c r="P19" s="164">
        <f t="shared" si="9"/>
        <v>0</v>
      </c>
      <c r="Q19" s="189"/>
      <c r="R19" s="166">
        <v>-34</v>
      </c>
      <c r="S19" s="165">
        <v>-34</v>
      </c>
      <c r="T19" s="164">
        <f t="shared" si="10"/>
        <v>0</v>
      </c>
      <c r="U19" s="189"/>
      <c r="V19" s="166">
        <v>-34</v>
      </c>
      <c r="W19" s="165">
        <v>-34</v>
      </c>
      <c r="X19" s="164">
        <f t="shared" si="11"/>
        <v>0</v>
      </c>
      <c r="Y19" s="267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7"/>
        <v>0</v>
      </c>
      <c r="I20" s="231"/>
      <c r="J20" s="166">
        <v>-34</v>
      </c>
      <c r="K20" s="165">
        <v>-34</v>
      </c>
      <c r="L20" s="164">
        <f t="shared" si="8"/>
        <v>0</v>
      </c>
      <c r="M20" s="189"/>
      <c r="N20" s="166">
        <v>-34</v>
      </c>
      <c r="O20" s="165">
        <v>-34</v>
      </c>
      <c r="P20" s="164">
        <f t="shared" si="9"/>
        <v>0</v>
      </c>
      <c r="Q20" s="189"/>
      <c r="R20" s="166">
        <v>-34</v>
      </c>
      <c r="S20" s="165">
        <v>-34</v>
      </c>
      <c r="T20" s="164">
        <f t="shared" si="10"/>
        <v>0</v>
      </c>
      <c r="U20" s="189"/>
      <c r="V20" s="166">
        <v>-34</v>
      </c>
      <c r="W20" s="165">
        <v>-34</v>
      </c>
      <c r="X20" s="164">
        <f t="shared" si="11"/>
        <v>0</v>
      </c>
      <c r="Y20" s="267"/>
    </row>
    <row r="21" spans="3:25" ht="16.5" thickBot="1">
      <c r="C21" s="441"/>
      <c r="D21" s="427" t="s">
        <v>101</v>
      </c>
      <c r="E21" s="428"/>
      <c r="F21" s="188">
        <f t="shared" ref="F21:K21" si="12">SUM(F13:F20)</f>
        <v>-253.2</v>
      </c>
      <c r="G21" s="187">
        <f t="shared" si="12"/>
        <v>-193.1</v>
      </c>
      <c r="H21" s="187">
        <f t="shared" si="12"/>
        <v>60.1</v>
      </c>
      <c r="I21" s="186" t="s">
        <v>159</v>
      </c>
      <c r="J21" s="188">
        <f t="shared" si="12"/>
        <v>-253.2</v>
      </c>
      <c r="K21" s="187">
        <f t="shared" si="12"/>
        <v>-193.1</v>
      </c>
      <c r="L21" s="187">
        <f t="shared" ref="L21" si="13">SUM(L13:L20)</f>
        <v>60.1</v>
      </c>
      <c r="M21" s="186" t="s">
        <v>159</v>
      </c>
      <c r="N21" s="188">
        <f>SUM(N13:N20)</f>
        <v>-253.2</v>
      </c>
      <c r="O21" s="187">
        <f>SUM(O13:O20)</f>
        <v>-159.1</v>
      </c>
      <c r="P21" s="187">
        <f>SUM(P13:P20)</f>
        <v>94.1</v>
      </c>
      <c r="Q21" s="186" t="s">
        <v>159</v>
      </c>
      <c r="R21" s="188">
        <f>SUM(R13:R20)</f>
        <v>-253.2</v>
      </c>
      <c r="S21" s="187">
        <f>SUM(S13:S20)</f>
        <v>-193.1</v>
      </c>
      <c r="T21" s="187">
        <f>SUM(T13:T20)</f>
        <v>60.1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268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8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3:25" ht="16.5" thickBot="1">
      <c r="C25" s="446"/>
      <c r="D25" s="447"/>
      <c r="E25" s="449"/>
      <c r="F25" s="209">
        <v>-5</v>
      </c>
      <c r="G25" s="208">
        <v>-4.5</v>
      </c>
      <c r="H25" s="207">
        <f>SUM(G25,-F25)</f>
        <v>0.5</v>
      </c>
      <c r="I25" s="275" t="s">
        <v>150</v>
      </c>
      <c r="J25" s="209">
        <v>-5</v>
      </c>
      <c r="K25" s="208">
        <v>-4.5</v>
      </c>
      <c r="L25" s="207">
        <f t="shared" ref="L25" si="14">SUM(K25,-J25)</f>
        <v>0.5</v>
      </c>
      <c r="M25" s="275" t="s">
        <v>150</v>
      </c>
      <c r="N25" s="209">
        <v>-5</v>
      </c>
      <c r="O25" s="208">
        <v>-4.5</v>
      </c>
      <c r="P25" s="207">
        <f>SUM(O25,-N25)</f>
        <v>0.5</v>
      </c>
      <c r="Q25" s="275" t="s">
        <v>150</v>
      </c>
      <c r="R25" s="209">
        <v>-5</v>
      </c>
      <c r="S25" s="208">
        <v>-4.5</v>
      </c>
      <c r="T25" s="207">
        <f>SUM(S25,-R25)</f>
        <v>0.5</v>
      </c>
      <c r="U25" s="275" t="s">
        <v>150</v>
      </c>
      <c r="V25" s="209">
        <v>-5</v>
      </c>
      <c r="W25" s="208">
        <v>-4.5</v>
      </c>
      <c r="X25" s="207">
        <f>SUM(W25,-V25)</f>
        <v>0.5</v>
      </c>
      <c r="Y25" s="276" t="s">
        <v>150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8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5">SUM(G29,-F29)</f>
        <v>0</v>
      </c>
      <c r="I29" s="459"/>
      <c r="J29" s="200">
        <v>0</v>
      </c>
      <c r="K29" s="455">
        <v>0</v>
      </c>
      <c r="L29" s="457">
        <f t="shared" ref="L29" si="16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461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2"/>
    </row>
    <row r="31" spans="3:25" ht="16">
      <c r="C31" s="451"/>
      <c r="D31" s="443"/>
      <c r="E31" s="453" t="s">
        <v>109</v>
      </c>
      <c r="F31" s="200">
        <v>27.2</v>
      </c>
      <c r="G31" s="455">
        <v>26.1</v>
      </c>
      <c r="H31" s="457">
        <f t="shared" ref="H31" si="17">SUM(G31,-F31)</f>
        <v>-1.0999999999999979</v>
      </c>
      <c r="I31" s="459" t="s">
        <v>146</v>
      </c>
      <c r="J31" s="200">
        <v>27.2</v>
      </c>
      <c r="K31" s="455">
        <v>26.1</v>
      </c>
      <c r="L31" s="457">
        <f t="shared" ref="L31" si="18">SUM(K31,-J31)</f>
        <v>-1.0999999999999979</v>
      </c>
      <c r="M31" s="459" t="s">
        <v>146</v>
      </c>
      <c r="N31" s="200">
        <v>27.2</v>
      </c>
      <c r="O31" s="455">
        <v>27.2</v>
      </c>
      <c r="P31" s="457">
        <f t="shared" ref="P31" si="19">SUM(O31,-N31)</f>
        <v>0</v>
      </c>
      <c r="Q31" s="459"/>
      <c r="R31" s="200">
        <v>27.2</v>
      </c>
      <c r="S31" s="455">
        <v>27.2</v>
      </c>
      <c r="T31" s="457">
        <f t="shared" ref="T31" si="20">SUM(S31,-R31)</f>
        <v>0</v>
      </c>
      <c r="U31" s="459"/>
      <c r="V31" s="200">
        <v>27.2</v>
      </c>
      <c r="W31" s="455">
        <v>27.2</v>
      </c>
      <c r="X31" s="457">
        <f t="shared" ref="X31" si="21">SUM(W31,-V31)</f>
        <v>0</v>
      </c>
      <c r="Y31" s="46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2"/>
    </row>
    <row r="33" spans="3:25" ht="16">
      <c r="C33" s="451"/>
      <c r="D33" s="466" t="s">
        <v>107</v>
      </c>
      <c r="E33" s="201" t="s">
        <v>106</v>
      </c>
      <c r="F33" s="200">
        <v>21.6</v>
      </c>
      <c r="G33" s="199">
        <v>32.200000000000003</v>
      </c>
      <c r="H33" s="457">
        <f t="shared" ref="H33" si="22">SUM(G33,-F33)</f>
        <v>10.600000000000001</v>
      </c>
      <c r="I33" s="459" t="s">
        <v>184</v>
      </c>
      <c r="J33" s="200">
        <v>21.6</v>
      </c>
      <c r="K33" s="199">
        <v>31.8</v>
      </c>
      <c r="L33" s="457">
        <f t="shared" ref="L33" si="23">SUM(K33,-J33)</f>
        <v>10.199999999999999</v>
      </c>
      <c r="M33" s="459" t="s">
        <v>184</v>
      </c>
      <c r="N33" s="200">
        <v>21.6</v>
      </c>
      <c r="O33" s="199">
        <v>41.5</v>
      </c>
      <c r="P33" s="457">
        <f t="shared" ref="P33" si="24">SUM(O33,-N33)</f>
        <v>19.899999999999999</v>
      </c>
      <c r="Q33" s="459" t="s">
        <v>184</v>
      </c>
      <c r="R33" s="200">
        <v>21.6</v>
      </c>
      <c r="S33" s="199">
        <v>41.5</v>
      </c>
      <c r="T33" s="457">
        <f t="shared" ref="T33" si="25">SUM(S33,-R33)</f>
        <v>19.899999999999999</v>
      </c>
      <c r="U33" s="459" t="s">
        <v>184</v>
      </c>
      <c r="V33" s="200">
        <v>21.6</v>
      </c>
      <c r="W33" s="199">
        <v>19.2</v>
      </c>
      <c r="X33" s="457">
        <f t="shared" ref="X33" si="26">SUM(W33,-V33)</f>
        <v>-2.4000000000000021</v>
      </c>
      <c r="Y33" s="461" t="s">
        <v>154</v>
      </c>
    </row>
    <row r="34" spans="3:25" ht="16">
      <c r="C34" s="451"/>
      <c r="D34" s="467"/>
      <c r="E34" s="463" t="s">
        <v>104</v>
      </c>
      <c r="F34" s="198">
        <v>0.18</v>
      </c>
      <c r="G34" s="230">
        <v>27</v>
      </c>
      <c r="H34" s="458"/>
      <c r="I34" s="460"/>
      <c r="J34" s="198">
        <v>0.18</v>
      </c>
      <c r="K34" s="230">
        <v>27</v>
      </c>
      <c r="L34" s="458"/>
      <c r="M34" s="460"/>
      <c r="N34" s="198">
        <v>0.18</v>
      </c>
      <c r="O34" s="230">
        <v>35</v>
      </c>
      <c r="P34" s="458"/>
      <c r="Q34" s="460"/>
      <c r="R34" s="198">
        <v>0.18</v>
      </c>
      <c r="S34" s="230">
        <v>35</v>
      </c>
      <c r="T34" s="458"/>
      <c r="U34" s="460"/>
      <c r="V34" s="198">
        <v>0.18</v>
      </c>
      <c r="W34" s="230">
        <v>16</v>
      </c>
      <c r="X34" s="458"/>
      <c r="Y34" s="462"/>
    </row>
    <row r="35" spans="3:25" ht="13.5" customHeight="1">
      <c r="C35" s="451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3:25" ht="16">
      <c r="C36" s="451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3:25" ht="16">
      <c r="C37" s="451"/>
      <c r="D37" s="467"/>
      <c r="E37" s="190" t="s">
        <v>103</v>
      </c>
      <c r="F37" s="166">
        <v>10</v>
      </c>
      <c r="G37" s="165">
        <v>1.7</v>
      </c>
      <c r="H37" s="164">
        <f t="shared" ref="H37" si="27">SUM(G37,-F37)</f>
        <v>-8.3000000000000007</v>
      </c>
      <c r="I37" s="189" t="s">
        <v>147</v>
      </c>
      <c r="J37" s="166">
        <v>10</v>
      </c>
      <c r="K37" s="165">
        <v>1.9</v>
      </c>
      <c r="L37" s="164">
        <f t="shared" ref="L37" si="28">SUM(K37,-J37)</f>
        <v>-8.1</v>
      </c>
      <c r="M37" s="189" t="s">
        <v>147</v>
      </c>
      <c r="N37" s="166">
        <v>10</v>
      </c>
      <c r="O37" s="165">
        <v>1.8</v>
      </c>
      <c r="P37" s="164">
        <f t="shared" ref="P37" si="29">SUM(O37,-N37)</f>
        <v>-8.1999999999999993</v>
      </c>
      <c r="Q37" s="189" t="s">
        <v>147</v>
      </c>
      <c r="R37" s="166">
        <v>10</v>
      </c>
      <c r="S37" s="165">
        <v>1.8</v>
      </c>
      <c r="T37" s="164">
        <f t="shared" ref="T37" si="30">SUM(S37,-R37)</f>
        <v>-8.1999999999999993</v>
      </c>
      <c r="U37" s="189" t="s">
        <v>170</v>
      </c>
      <c r="V37" s="166">
        <v>10</v>
      </c>
      <c r="W37" s="165">
        <v>1.8</v>
      </c>
      <c r="X37" s="164">
        <f t="shared" ref="X37" si="31">SUM(W37,-V37)</f>
        <v>-8.1999999999999993</v>
      </c>
      <c r="Y37" s="267" t="s">
        <v>170</v>
      </c>
    </row>
    <row r="38" spans="3:25" ht="16.5" thickBot="1">
      <c r="C38" s="452"/>
      <c r="D38" s="427" t="s">
        <v>101</v>
      </c>
      <c r="E38" s="428"/>
      <c r="F38" s="188">
        <f t="shared" ref="F38" si="32">SUM(F29,F31,F33,F37)</f>
        <v>58.8</v>
      </c>
      <c r="G38" s="187">
        <f t="shared" ref="G38" si="33">SUM(G29:G33,G37)</f>
        <v>60.000000000000007</v>
      </c>
      <c r="H38" s="187">
        <f t="shared" ref="H38" si="34">SUM(H29:H34,H37)</f>
        <v>1.2000000000000028</v>
      </c>
      <c r="I38" s="186"/>
      <c r="J38" s="188">
        <f t="shared" ref="J38" si="35">SUM(J29,J31,J33,J37)</f>
        <v>58.8</v>
      </c>
      <c r="K38" s="187">
        <f t="shared" ref="K38" si="36">SUM(K29:K33,K37)</f>
        <v>59.800000000000004</v>
      </c>
      <c r="L38" s="187">
        <f t="shared" ref="L38" si="37">SUM(L29:L34,L37)</f>
        <v>1.0000000000000018</v>
      </c>
      <c r="M38" s="186"/>
      <c r="N38" s="188">
        <f>SUM(N29,N31,N33,N37)</f>
        <v>58.8</v>
      </c>
      <c r="O38" s="187">
        <f>SUM(O29:O33,O37)</f>
        <v>70.5</v>
      </c>
      <c r="P38" s="187">
        <f>SUM(P29:P34,P37)</f>
        <v>11.7</v>
      </c>
      <c r="Q38" s="186"/>
      <c r="R38" s="188">
        <f>SUM(R29,R31,R33,R37)</f>
        <v>58.8</v>
      </c>
      <c r="S38" s="187">
        <f>SUM(S29:S33,S37)</f>
        <v>70.5</v>
      </c>
      <c r="T38" s="187">
        <f>SUM(T29:T34,T37)</f>
        <v>11.7</v>
      </c>
      <c r="U38" s="186"/>
      <c r="V38" s="188">
        <f>SUM(V29,V31,V33,V37)</f>
        <v>58.8</v>
      </c>
      <c r="W38" s="187">
        <f>SUM(W29:W33,W37)</f>
        <v>48.199999999999996</v>
      </c>
      <c r="X38" s="187">
        <f>SUM(X29:X34,X37)</f>
        <v>-10.600000000000001</v>
      </c>
      <c r="Y38" s="268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2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 t="shared" ref="H42" si="38">SUM(G42,-F42)</f>
        <v>0</v>
      </c>
      <c r="I42" s="459"/>
      <c r="J42" s="178">
        <v>0</v>
      </c>
      <c r="K42" s="478">
        <v>0</v>
      </c>
      <c r="L42" s="457">
        <f t="shared" ref="L42" si="39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3:25" ht="16.5" thickBot="1">
      <c r="C43" s="474"/>
      <c r="D43" s="475"/>
      <c r="E43" s="477"/>
      <c r="F43" s="183">
        <v>141.5</v>
      </c>
      <c r="G43" s="479"/>
      <c r="H43" s="480"/>
      <c r="I43" s="481"/>
      <c r="J43" s="183">
        <v>141.5</v>
      </c>
      <c r="K43" s="479"/>
      <c r="L43" s="480"/>
      <c r="M43" s="481"/>
      <c r="N43" s="183">
        <v>142.6</v>
      </c>
      <c r="O43" s="479"/>
      <c r="P43" s="480"/>
      <c r="Q43" s="481"/>
      <c r="R43" s="183">
        <v>142.6</v>
      </c>
      <c r="S43" s="479"/>
      <c r="T43" s="480"/>
      <c r="U43" s="481"/>
      <c r="V43" s="183">
        <v>133.6</v>
      </c>
      <c r="W43" s="479"/>
      <c r="X43" s="480"/>
      <c r="Y43" s="482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2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3:25" ht="16">
      <c r="C47" s="444"/>
      <c r="D47" s="483"/>
      <c r="E47" s="488" t="s">
        <v>91</v>
      </c>
      <c r="F47" s="178">
        <v>42.042999999999999</v>
      </c>
      <c r="G47" s="478">
        <v>38.5</v>
      </c>
      <c r="H47" s="457">
        <f t="shared" ref="H47" si="40">SUM(G47,-F47)</f>
        <v>-3.5429999999999993</v>
      </c>
      <c r="I47" s="459" t="s">
        <v>146</v>
      </c>
      <c r="J47" s="178">
        <v>42.042999999999999</v>
      </c>
      <c r="K47" s="478">
        <v>43</v>
      </c>
      <c r="L47" s="457">
        <f t="shared" ref="L47" si="41">SUM(K47,-J47)</f>
        <v>0.95700000000000074</v>
      </c>
      <c r="M47" s="459" t="s">
        <v>149</v>
      </c>
      <c r="N47" s="178">
        <v>42.042999999999999</v>
      </c>
      <c r="O47" s="478">
        <v>41.4</v>
      </c>
      <c r="P47" s="457">
        <f>SUM(O47,-N47)</f>
        <v>-0.64300000000000068</v>
      </c>
      <c r="Q47" s="459" t="s">
        <v>146</v>
      </c>
      <c r="R47" s="178">
        <v>42</v>
      </c>
      <c r="S47" s="478">
        <v>40.5</v>
      </c>
      <c r="T47" s="457">
        <f>SUM(S47,-R47)</f>
        <v>-1.5</v>
      </c>
      <c r="U47" s="459" t="s">
        <v>146</v>
      </c>
      <c r="V47" s="178">
        <v>37.1</v>
      </c>
      <c r="W47" s="478">
        <v>35.299999999999997</v>
      </c>
      <c r="X47" s="457">
        <f>SUM(W47,-V47)</f>
        <v>-1.8000000000000043</v>
      </c>
      <c r="Y47" s="461" t="s">
        <v>181</v>
      </c>
    </row>
    <row r="48" spans="3:25" ht="16.5" thickBot="1">
      <c r="C48" s="486"/>
      <c r="D48" s="487"/>
      <c r="E48" s="489"/>
      <c r="F48" s="177">
        <v>0.56949542837792078</v>
      </c>
      <c r="G48" s="479"/>
      <c r="H48" s="480"/>
      <c r="I48" s="481"/>
      <c r="J48" s="177">
        <v>0.56949542837792078</v>
      </c>
      <c r="K48" s="479"/>
      <c r="L48" s="480"/>
      <c r="M48" s="481"/>
      <c r="N48" s="177">
        <v>0.56949542837792078</v>
      </c>
      <c r="O48" s="479"/>
      <c r="P48" s="480"/>
      <c r="Q48" s="481"/>
      <c r="R48" s="177">
        <v>0.5717639712769278</v>
      </c>
      <c r="S48" s="479"/>
      <c r="T48" s="480"/>
      <c r="U48" s="481"/>
      <c r="V48" s="177">
        <v>0.58791217564870257</v>
      </c>
      <c r="W48" s="479"/>
      <c r="X48" s="480"/>
      <c r="Y48" s="482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2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 t="shared" ref="H52" si="42">SUM(G52,-F52)</f>
        <v>0</v>
      </c>
      <c r="I52" s="163" t="s">
        <v>159</v>
      </c>
      <c r="J52" s="166">
        <v>0</v>
      </c>
      <c r="K52" s="165">
        <v>0</v>
      </c>
      <c r="L52" s="164">
        <f t="shared" ref="L52" si="43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25.6</v>
      </c>
      <c r="H53" s="223" t="s">
        <v>159</v>
      </c>
      <c r="I53" s="222" t="s">
        <v>213</v>
      </c>
      <c r="J53" s="225">
        <v>0</v>
      </c>
      <c r="K53" s="229">
        <v>26.9</v>
      </c>
      <c r="L53" s="223" t="s">
        <v>159</v>
      </c>
      <c r="M53" s="222" t="s">
        <v>213</v>
      </c>
      <c r="N53" s="225">
        <v>0</v>
      </c>
      <c r="O53" s="229">
        <v>24.7</v>
      </c>
      <c r="P53" s="223" t="s">
        <v>159</v>
      </c>
      <c r="Q53" s="222" t="s">
        <v>213</v>
      </c>
      <c r="R53" s="225">
        <v>0</v>
      </c>
      <c r="S53" s="229">
        <v>24.7</v>
      </c>
      <c r="T53" s="223" t="s">
        <v>159</v>
      </c>
      <c r="U53" s="222" t="s">
        <v>213</v>
      </c>
      <c r="V53" s="225">
        <v>0</v>
      </c>
      <c r="W53" s="229">
        <v>25.9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  <row r="64" spans="1:25">
      <c r="L64" s="1" t="s">
        <v>214</v>
      </c>
    </row>
  </sheetData>
  <mergeCells count="135">
    <mergeCell ref="V50:Y50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C45:E45"/>
    <mergeCell ref="F45:I45"/>
    <mergeCell ref="J45:M45"/>
    <mergeCell ref="N45:Q45"/>
    <mergeCell ref="R45:U45"/>
    <mergeCell ref="V45:Y45"/>
    <mergeCell ref="P42:P43"/>
    <mergeCell ref="Q42:Q43"/>
    <mergeCell ref="S42:S43"/>
    <mergeCell ref="T42:T43"/>
    <mergeCell ref="U42:U43"/>
    <mergeCell ref="W42:W43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X42:X43"/>
    <mergeCell ref="Y42:Y43"/>
    <mergeCell ref="D38:E38"/>
    <mergeCell ref="C40:E40"/>
    <mergeCell ref="F40:I40"/>
    <mergeCell ref="J40:M40"/>
    <mergeCell ref="N40:Q40"/>
    <mergeCell ref="R40:U4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M31:M32"/>
    <mergeCell ref="O31:O32"/>
    <mergeCell ref="P31:P32"/>
    <mergeCell ref="S29:S30"/>
    <mergeCell ref="T29:T30"/>
    <mergeCell ref="X33:X34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R27:U27"/>
    <mergeCell ref="V27:Y27"/>
    <mergeCell ref="C28:C38"/>
    <mergeCell ref="D29:D32"/>
    <mergeCell ref="E29:E30"/>
    <mergeCell ref="G29:G30"/>
    <mergeCell ref="H29:H30"/>
    <mergeCell ref="I29:I30"/>
    <mergeCell ref="K29:K30"/>
    <mergeCell ref="L29:L30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Q29:Q30"/>
    <mergeCell ref="C24:D25"/>
    <mergeCell ref="E24:E25"/>
    <mergeCell ref="C27:E27"/>
    <mergeCell ref="F27:I27"/>
    <mergeCell ref="J27:M27"/>
    <mergeCell ref="N27:Q27"/>
    <mergeCell ref="C23:E23"/>
    <mergeCell ref="F23:I23"/>
    <mergeCell ref="J23:M23"/>
    <mergeCell ref="N23:Q23"/>
    <mergeCell ref="R23:U23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&amp;"メイリオ,ボールド"&amp;22日別の優先給電ルールに基づく抑制、調整状況（2025年4月）</oddHeader>
    <oddFooter>&amp;R&amp;"メイリオ,レギュラー"&amp;14九州電力送配電株式会社</oddFooter>
  </headerFooter>
  <colBreaks count="1" manualBreakCount="1">
    <brk id="25" max="1048575" man="1"/>
  </col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113D-BE95-47FF-A777-292354303AE0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45450</v>
      </c>
      <c r="G3" s="26" t="s">
        <v>48</v>
      </c>
      <c r="H3" s="25">
        <v>45454</v>
      </c>
      <c r="I3" s="26" t="s">
        <v>48</v>
      </c>
      <c r="J3" s="25">
        <v>45456</v>
      </c>
      <c r="K3" s="26" t="s">
        <v>48</v>
      </c>
      <c r="L3" s="25">
        <v>45459</v>
      </c>
      <c r="M3" s="26" t="s">
        <v>54</v>
      </c>
      <c r="N3" s="25">
        <v>45462</v>
      </c>
      <c r="O3" s="26" t="s">
        <v>49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78</v>
      </c>
      <c r="G5" s="384" t="s">
        <v>45</v>
      </c>
      <c r="H5" s="9">
        <v>78.599999999999994</v>
      </c>
      <c r="I5" s="384" t="s">
        <v>45</v>
      </c>
      <c r="J5" s="9">
        <v>82.8</v>
      </c>
      <c r="K5" s="384" t="s">
        <v>45</v>
      </c>
      <c r="L5" s="9">
        <v>97.1</v>
      </c>
      <c r="M5" s="384" t="s">
        <v>45</v>
      </c>
      <c r="N5" s="9">
        <v>103.1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76.099999999999994</v>
      </c>
      <c r="G6" s="385"/>
      <c r="H6" s="10">
        <v>98.8</v>
      </c>
      <c r="I6" s="385"/>
      <c r="J6" s="10">
        <v>94.5</v>
      </c>
      <c r="K6" s="385"/>
      <c r="L6" s="10">
        <v>76.099999999999994</v>
      </c>
      <c r="M6" s="385"/>
      <c r="N6" s="10">
        <v>110.3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412.8</v>
      </c>
      <c r="G7" s="385"/>
      <c r="H7" s="28">
        <v>409.3</v>
      </c>
      <c r="I7" s="385"/>
      <c r="J7" s="28">
        <v>412.1</v>
      </c>
      <c r="K7" s="385"/>
      <c r="L7" s="28">
        <v>320.7</v>
      </c>
      <c r="M7" s="385"/>
      <c r="N7" s="28">
        <v>320.60000000000002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32.499999999999964</v>
      </c>
      <c r="G8" s="385"/>
      <c r="H8" s="29">
        <v>43.9</v>
      </c>
      <c r="I8" s="385"/>
      <c r="J8" s="29">
        <v>37.899999999999871</v>
      </c>
      <c r="K8" s="385"/>
      <c r="L8" s="29">
        <v>31.800000000000004</v>
      </c>
      <c r="M8" s="385"/>
      <c r="N8" s="29">
        <v>53.4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13.1</v>
      </c>
      <c r="G9" s="385"/>
      <c r="H9" s="30">
        <v>13.1</v>
      </c>
      <c r="I9" s="385"/>
      <c r="J9" s="30">
        <v>13.1</v>
      </c>
      <c r="K9" s="385"/>
      <c r="L9" s="30">
        <v>15.1</v>
      </c>
      <c r="M9" s="385"/>
      <c r="N9" s="30">
        <v>15.7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31.2</v>
      </c>
      <c r="G10" s="385"/>
      <c r="H10" s="11">
        <v>32.700000000000003</v>
      </c>
      <c r="I10" s="385"/>
      <c r="J10" s="11">
        <v>31.2</v>
      </c>
      <c r="K10" s="385"/>
      <c r="L10" s="11">
        <v>28.3</v>
      </c>
      <c r="M10" s="385"/>
      <c r="N10" s="11">
        <v>31.2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25.2</v>
      </c>
      <c r="G11" s="385"/>
      <c r="H11" s="12">
        <v>25.4</v>
      </c>
      <c r="I11" s="385"/>
      <c r="J11" s="12">
        <v>25.2</v>
      </c>
      <c r="K11" s="385"/>
      <c r="L11" s="12">
        <v>26.1</v>
      </c>
      <c r="M11" s="385"/>
      <c r="N11" s="12">
        <v>26.5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715.1</v>
      </c>
      <c r="G12" s="385"/>
      <c r="H12" s="13">
        <v>746.9</v>
      </c>
      <c r="I12" s="385"/>
      <c r="J12" s="13">
        <v>902</v>
      </c>
      <c r="K12" s="385"/>
      <c r="L12" s="13">
        <v>827.9</v>
      </c>
      <c r="M12" s="385"/>
      <c r="N12" s="13">
        <v>750.2</v>
      </c>
      <c r="O12" s="385"/>
    </row>
    <row r="13" spans="2:15" ht="16">
      <c r="B13" s="376"/>
      <c r="C13" s="379"/>
      <c r="D13" s="388"/>
      <c r="E13" s="45" t="s">
        <v>27</v>
      </c>
      <c r="F13" s="13">
        <v>7.3</v>
      </c>
      <c r="G13" s="385"/>
      <c r="H13" s="13">
        <v>3.9</v>
      </c>
      <c r="I13" s="385"/>
      <c r="J13" s="13">
        <v>2.2999999999999998</v>
      </c>
      <c r="K13" s="385"/>
      <c r="L13" s="13">
        <v>5.9</v>
      </c>
      <c r="M13" s="385"/>
      <c r="N13" s="13">
        <v>0.7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273</v>
      </c>
      <c r="G14" s="385"/>
      <c r="H14" s="14">
        <v>253.4</v>
      </c>
      <c r="I14" s="385"/>
      <c r="J14" s="14">
        <v>73.3</v>
      </c>
      <c r="K14" s="385"/>
      <c r="L14" s="14">
        <v>156.69999999999999</v>
      </c>
      <c r="M14" s="385"/>
      <c r="N14" s="14">
        <v>256.8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1664.3</v>
      </c>
      <c r="G15" s="385"/>
      <c r="H15" s="15">
        <v>1706.0000000000002</v>
      </c>
      <c r="I15" s="385"/>
      <c r="J15" s="15">
        <v>1674.4</v>
      </c>
      <c r="K15" s="385"/>
      <c r="L15" s="15">
        <v>1585.7</v>
      </c>
      <c r="M15" s="385"/>
      <c r="N15" s="15">
        <v>1668.5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985</v>
      </c>
      <c r="G16" s="385"/>
      <c r="H16" s="8">
        <v>1015</v>
      </c>
      <c r="I16" s="385"/>
      <c r="J16" s="8">
        <v>1085</v>
      </c>
      <c r="K16" s="385"/>
      <c r="L16" s="8">
        <v>924.6</v>
      </c>
      <c r="M16" s="385"/>
      <c r="N16" s="8">
        <v>1226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  <c r="H17" s="16">
        <v>-167</v>
      </c>
      <c r="I17" s="385"/>
      <c r="J17" s="16">
        <v>-167</v>
      </c>
      <c r="K17" s="385"/>
      <c r="L17" s="16">
        <v>-219.2</v>
      </c>
      <c r="M17" s="385"/>
      <c r="N17" s="16" t="s">
        <v>55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  <c r="H18" s="17">
        <v>-5</v>
      </c>
      <c r="I18" s="385"/>
      <c r="J18" s="17">
        <v>-5</v>
      </c>
      <c r="K18" s="385"/>
      <c r="L18" s="17">
        <v>-5</v>
      </c>
      <c r="M18" s="385"/>
      <c r="N18" s="17">
        <v>-5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-196.3</v>
      </c>
      <c r="G19" s="385"/>
      <c r="H19" s="18">
        <v>-216.2</v>
      </c>
      <c r="I19" s="385"/>
      <c r="J19" s="18">
        <v>-217.5</v>
      </c>
      <c r="K19" s="385"/>
      <c r="L19" s="18">
        <v>-191</v>
      </c>
      <c r="M19" s="385"/>
      <c r="N19" s="18">
        <v>-161.1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1405.5</v>
      </c>
      <c r="G21" s="386"/>
      <c r="H21" s="27">
        <v>1403.2</v>
      </c>
      <c r="I21" s="386"/>
      <c r="J21" s="27">
        <v>1474.5</v>
      </c>
      <c r="K21" s="386"/>
      <c r="L21" s="27">
        <v>1339.8</v>
      </c>
      <c r="M21" s="386"/>
      <c r="N21" s="27">
        <v>1543.3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1664.3</v>
      </c>
      <c r="G23" s="400"/>
      <c r="H23" s="20">
        <v>1706.0000000000002</v>
      </c>
      <c r="I23" s="400"/>
      <c r="J23" s="20">
        <v>1674.4</v>
      </c>
      <c r="K23" s="400"/>
      <c r="L23" s="20">
        <v>1585.7</v>
      </c>
      <c r="M23" s="400"/>
      <c r="N23" s="20">
        <v>1668.5</v>
      </c>
      <c r="O23" s="400"/>
    </row>
    <row r="24" spans="2:15" ht="16">
      <c r="B24" s="409"/>
      <c r="C24" s="403" t="s">
        <v>37</v>
      </c>
      <c r="D24" s="404"/>
      <c r="E24" s="405"/>
      <c r="F24" s="21">
        <v>1405.5</v>
      </c>
      <c r="G24" s="401"/>
      <c r="H24" s="21">
        <v>1403.2</v>
      </c>
      <c r="I24" s="401"/>
      <c r="J24" s="21">
        <v>1474.5</v>
      </c>
      <c r="K24" s="401"/>
      <c r="L24" s="21">
        <v>1339.8</v>
      </c>
      <c r="M24" s="401"/>
      <c r="N24" s="21">
        <v>1543.3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258.79999999999995</v>
      </c>
      <c r="G25" s="402"/>
      <c r="H25" s="67">
        <v>302.80000000000018</v>
      </c>
      <c r="I25" s="402"/>
      <c r="J25" s="67">
        <v>199.90000000000009</v>
      </c>
      <c r="K25" s="402"/>
      <c r="L25" s="67">
        <v>245.90000000000009</v>
      </c>
      <c r="M25" s="402"/>
      <c r="N25" s="67">
        <v>125.20000000000005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日別の需給状況・再エネ出力抑制の必要性（2024年6月）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72A2-16DE-4E45-B068-EC1DCC1761F3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</row>
    <row r="3" spans="2:15" ht="16.5" thickBot="1">
      <c r="B3" s="3"/>
      <c r="C3" s="372" t="s">
        <v>3</v>
      </c>
      <c r="D3" s="373"/>
      <c r="E3" s="374"/>
      <c r="F3" s="25">
        <v>45464</v>
      </c>
      <c r="G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125.2</v>
      </c>
      <c r="G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108.2</v>
      </c>
      <c r="G6" s="385"/>
    </row>
    <row r="7" spans="2:15" ht="16">
      <c r="B7" s="376"/>
      <c r="C7" s="379"/>
      <c r="D7" s="35" t="s">
        <v>13</v>
      </c>
      <c r="E7" s="36" t="s">
        <v>5</v>
      </c>
      <c r="F7" s="28">
        <v>321</v>
      </c>
      <c r="G7" s="385"/>
    </row>
    <row r="8" spans="2:15" ht="16">
      <c r="B8" s="376"/>
      <c r="C8" s="379"/>
      <c r="D8" s="37" t="s">
        <v>14</v>
      </c>
      <c r="E8" s="38" t="s">
        <v>6</v>
      </c>
      <c r="F8" s="29">
        <v>48.000000000000185</v>
      </c>
      <c r="G8" s="385"/>
    </row>
    <row r="9" spans="2:15" ht="16">
      <c r="B9" s="376"/>
      <c r="C9" s="379"/>
      <c r="D9" s="39" t="s">
        <v>15</v>
      </c>
      <c r="E9" s="40" t="s">
        <v>7</v>
      </c>
      <c r="F9" s="30">
        <v>16.2</v>
      </c>
      <c r="G9" s="385"/>
    </row>
    <row r="10" spans="2:15" ht="16">
      <c r="B10" s="376"/>
      <c r="C10" s="379"/>
      <c r="D10" s="41" t="s">
        <v>17</v>
      </c>
      <c r="E10" s="42" t="s">
        <v>1</v>
      </c>
      <c r="F10" s="11">
        <v>40.299999999999997</v>
      </c>
      <c r="G10" s="385"/>
    </row>
    <row r="11" spans="2:15" ht="16">
      <c r="B11" s="376"/>
      <c r="C11" s="379"/>
      <c r="D11" s="43" t="s">
        <v>16</v>
      </c>
      <c r="E11" s="44" t="s">
        <v>2</v>
      </c>
      <c r="F11" s="12">
        <v>27.5</v>
      </c>
      <c r="G11" s="385"/>
    </row>
    <row r="12" spans="2:15" ht="16">
      <c r="B12" s="376"/>
      <c r="C12" s="379"/>
      <c r="D12" s="387" t="s">
        <v>18</v>
      </c>
      <c r="E12" s="45" t="s">
        <v>26</v>
      </c>
      <c r="F12" s="13">
        <v>539.79999999999995</v>
      </c>
      <c r="G12" s="385"/>
    </row>
    <row r="13" spans="2:15" ht="16">
      <c r="B13" s="376"/>
      <c r="C13" s="379"/>
      <c r="D13" s="388"/>
      <c r="E13" s="45" t="s">
        <v>27</v>
      </c>
      <c r="F13" s="13">
        <v>11.5</v>
      </c>
      <c r="G13" s="385"/>
    </row>
    <row r="14" spans="2:15" ht="16">
      <c r="B14" s="376"/>
      <c r="C14" s="379"/>
      <c r="D14" s="46" t="s">
        <v>19</v>
      </c>
      <c r="E14" s="47" t="s">
        <v>4</v>
      </c>
      <c r="F14" s="14">
        <v>324</v>
      </c>
      <c r="G14" s="385"/>
    </row>
    <row r="15" spans="2:15" ht="16.5" thickBot="1">
      <c r="B15" s="376"/>
      <c r="C15" s="380"/>
      <c r="D15" s="389" t="s">
        <v>28</v>
      </c>
      <c r="E15" s="390"/>
      <c r="F15" s="15">
        <v>1561.7000000000003</v>
      </c>
      <c r="G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1080.3</v>
      </c>
      <c r="G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-219.2</v>
      </c>
      <c r="G17" s="385"/>
    </row>
    <row r="18" spans="2:15" ht="16.5" thickBot="1">
      <c r="B18" s="376"/>
      <c r="C18" s="392"/>
      <c r="D18" s="395"/>
      <c r="E18" s="51" t="s">
        <v>31</v>
      </c>
      <c r="F18" s="17">
        <v>-5</v>
      </c>
      <c r="G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-196</v>
      </c>
      <c r="G19" s="385"/>
    </row>
    <row r="20" spans="2:15" ht="16.5" thickBot="1">
      <c r="B20" s="376"/>
      <c r="C20" s="392"/>
      <c r="D20" s="397"/>
      <c r="E20" s="53" t="s">
        <v>33</v>
      </c>
      <c r="F20" s="19">
        <v>-44</v>
      </c>
      <c r="G20" s="385"/>
    </row>
    <row r="21" spans="2:15" ht="16.5" thickBot="1">
      <c r="B21" s="377"/>
      <c r="C21" s="393"/>
      <c r="D21" s="398" t="s">
        <v>34</v>
      </c>
      <c r="E21" s="399"/>
      <c r="F21" s="27">
        <v>1544.5</v>
      </c>
      <c r="G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1561.7000000000003</v>
      </c>
      <c r="G23" s="400"/>
    </row>
    <row r="24" spans="2:15" ht="16">
      <c r="B24" s="409"/>
      <c r="C24" s="403" t="s">
        <v>37</v>
      </c>
      <c r="D24" s="404"/>
      <c r="E24" s="405"/>
      <c r="F24" s="21">
        <v>1544.5</v>
      </c>
      <c r="G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17.200000000000273</v>
      </c>
      <c r="G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1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17">
    <mergeCell ref="C2:E2"/>
    <mergeCell ref="F2:G2"/>
    <mergeCell ref="C3:E3"/>
    <mergeCell ref="B5:B21"/>
    <mergeCell ref="C5:C15"/>
    <mergeCell ref="G5:G21"/>
    <mergeCell ref="D12:D13"/>
    <mergeCell ref="D15:E15"/>
    <mergeCell ref="C16:C21"/>
    <mergeCell ref="D17:D18"/>
    <mergeCell ref="D19:D20"/>
    <mergeCell ref="D21:E21"/>
    <mergeCell ref="C24:E24"/>
    <mergeCell ref="D25:E25"/>
    <mergeCell ref="B23:B25"/>
    <mergeCell ref="C23:E23"/>
    <mergeCell ref="G23:G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日別の需給状況・再エネ出力抑制の必要性（2024年6月）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A767-5F37-4D72-ACEC-DB7B30947166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45444</v>
      </c>
      <c r="G3" s="418"/>
      <c r="H3" s="418"/>
      <c r="I3" s="419"/>
      <c r="J3" s="417">
        <v>45445</v>
      </c>
      <c r="K3" s="418"/>
      <c r="L3" s="418"/>
      <c r="M3" s="419"/>
      <c r="N3" s="417">
        <v>45446</v>
      </c>
      <c r="O3" s="418"/>
      <c r="P3" s="418"/>
      <c r="Q3" s="419"/>
      <c r="R3" s="417">
        <v>45447</v>
      </c>
      <c r="S3" s="418"/>
      <c r="T3" s="418"/>
      <c r="U3" s="419"/>
      <c r="V3" s="417">
        <v>45448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J5" s="166">
        <v>28.1</v>
      </c>
      <c r="K5" s="165">
        <v>28.1</v>
      </c>
      <c r="L5" s="164">
        <v>0</v>
      </c>
      <c r="M5" s="219"/>
      <c r="N5" s="166">
        <v>28.1</v>
      </c>
      <c r="O5" s="165">
        <v>28.1</v>
      </c>
      <c r="P5" s="164">
        <v>0</v>
      </c>
      <c r="Q5" s="228"/>
      <c r="R5" s="165">
        <v>28.1</v>
      </c>
      <c r="S5" s="165">
        <v>28.1</v>
      </c>
      <c r="T5" s="164">
        <v>0</v>
      </c>
      <c r="U5" s="228"/>
      <c r="V5" s="166">
        <v>12.4</v>
      </c>
      <c r="W5" s="165">
        <v>12.4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0</v>
      </c>
      <c r="G6" s="165">
        <v>0</v>
      </c>
      <c r="H6" s="164">
        <v>0</v>
      </c>
      <c r="I6" s="219"/>
      <c r="J6" s="166">
        <v>0</v>
      </c>
      <c r="K6" s="165">
        <v>0</v>
      </c>
      <c r="L6" s="164">
        <v>0</v>
      </c>
      <c r="M6" s="219"/>
      <c r="N6" s="166">
        <v>0</v>
      </c>
      <c r="O6" s="165">
        <v>0</v>
      </c>
      <c r="P6" s="164">
        <v>0</v>
      </c>
      <c r="Q6" s="219"/>
      <c r="R6" s="166">
        <v>0</v>
      </c>
      <c r="S6" s="165">
        <v>0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53.900000000000006</v>
      </c>
      <c r="G8" s="216">
        <v>53.900000000000006</v>
      </c>
      <c r="H8" s="215">
        <v>0</v>
      </c>
      <c r="I8" s="214"/>
      <c r="J8" s="217">
        <v>52.2</v>
      </c>
      <c r="K8" s="216">
        <v>52.2</v>
      </c>
      <c r="L8" s="215">
        <v>0</v>
      </c>
      <c r="M8" s="214"/>
      <c r="N8" s="217">
        <v>55.300000000000004</v>
      </c>
      <c r="O8" s="216">
        <v>55.300000000000004</v>
      </c>
      <c r="P8" s="215">
        <v>0</v>
      </c>
      <c r="Q8" s="214"/>
      <c r="R8" s="217">
        <v>55.5</v>
      </c>
      <c r="S8" s="216">
        <v>80.5</v>
      </c>
      <c r="T8" s="215">
        <v>25</v>
      </c>
      <c r="U8" s="214" t="s">
        <v>105</v>
      </c>
      <c r="V8" s="217">
        <v>56.5</v>
      </c>
      <c r="W8" s="216">
        <v>56.5</v>
      </c>
      <c r="X8" s="215">
        <v>0</v>
      </c>
      <c r="Y8" s="214"/>
    </row>
    <row r="9" spans="3:25" ht="16.5" thickBot="1">
      <c r="C9" s="424"/>
      <c r="D9" s="427" t="s">
        <v>101</v>
      </c>
      <c r="E9" s="428"/>
      <c r="F9" s="188">
        <v>86.600000000000009</v>
      </c>
      <c r="G9" s="187">
        <v>86.600000000000009</v>
      </c>
      <c r="H9" s="187">
        <v>0</v>
      </c>
      <c r="I9" s="213" t="s">
        <v>81</v>
      </c>
      <c r="J9" s="188">
        <v>84.9</v>
      </c>
      <c r="K9" s="187">
        <v>80.300000000000011</v>
      </c>
      <c r="L9" s="187">
        <v>0</v>
      </c>
      <c r="M9" s="213" t="s">
        <v>81</v>
      </c>
      <c r="N9" s="188">
        <v>88</v>
      </c>
      <c r="O9" s="187">
        <v>83.4</v>
      </c>
      <c r="P9" s="187">
        <v>0</v>
      </c>
      <c r="Q9" s="213" t="s">
        <v>81</v>
      </c>
      <c r="R9" s="188">
        <v>88.2</v>
      </c>
      <c r="S9" s="187">
        <v>108.6</v>
      </c>
      <c r="T9" s="187">
        <v>0</v>
      </c>
      <c r="U9" s="213" t="s">
        <v>81</v>
      </c>
      <c r="V9" s="188">
        <v>77.599999999999994</v>
      </c>
      <c r="W9" s="187">
        <v>77.599999999999994</v>
      </c>
      <c r="X9" s="187">
        <v>0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45444</v>
      </c>
      <c r="G11" s="433"/>
      <c r="H11" s="433"/>
      <c r="I11" s="434"/>
      <c r="J11" s="432">
        <v>45445</v>
      </c>
      <c r="K11" s="433"/>
      <c r="L11" s="433"/>
      <c r="M11" s="434"/>
      <c r="N11" s="432">
        <v>45446</v>
      </c>
      <c r="O11" s="433"/>
      <c r="P11" s="433"/>
      <c r="Q11" s="434"/>
      <c r="R11" s="432">
        <v>45447</v>
      </c>
      <c r="S11" s="433"/>
      <c r="T11" s="433"/>
      <c r="U11" s="434"/>
      <c r="V11" s="432">
        <v>45448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-26.1</v>
      </c>
      <c r="L13" s="164">
        <v>0</v>
      </c>
      <c r="M13" s="189"/>
      <c r="N13" s="166">
        <v>-26.1</v>
      </c>
      <c r="O13" s="165">
        <v>-26.1</v>
      </c>
      <c r="P13" s="164">
        <v>0</v>
      </c>
      <c r="Q13" s="189"/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-26.1</v>
      </c>
      <c r="L14" s="164">
        <v>0</v>
      </c>
      <c r="M14" s="189"/>
      <c r="N14" s="166">
        <v>-26.1</v>
      </c>
      <c r="O14" s="165">
        <v>-26.1</v>
      </c>
      <c r="P14" s="164">
        <v>0</v>
      </c>
      <c r="Q14" s="189"/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-34</v>
      </c>
      <c r="X19" s="164"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-34</v>
      </c>
      <c r="X20" s="164">
        <v>0</v>
      </c>
      <c r="Y20" s="189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-219.2</v>
      </c>
      <c r="L21" s="187">
        <v>34</v>
      </c>
      <c r="M21" s="186" t="s">
        <v>81</v>
      </c>
      <c r="N21" s="188">
        <v>-253.2</v>
      </c>
      <c r="O21" s="187">
        <v>-219.2</v>
      </c>
      <c r="P21" s="187">
        <v>34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-219.2</v>
      </c>
      <c r="X21" s="187">
        <v>34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45444</v>
      </c>
      <c r="G23" s="433"/>
      <c r="H23" s="433"/>
      <c r="I23" s="434"/>
      <c r="J23" s="432">
        <v>45445</v>
      </c>
      <c r="K23" s="433"/>
      <c r="L23" s="433"/>
      <c r="M23" s="434"/>
      <c r="N23" s="432">
        <v>45446</v>
      </c>
      <c r="O23" s="433"/>
      <c r="P23" s="433"/>
      <c r="Q23" s="434"/>
      <c r="R23" s="432">
        <v>45447</v>
      </c>
      <c r="S23" s="433"/>
      <c r="T23" s="433"/>
      <c r="U23" s="434"/>
      <c r="V23" s="432">
        <v>45448</v>
      </c>
      <c r="W23" s="433"/>
      <c r="X23" s="433"/>
      <c r="Y23" s="434"/>
    </row>
    <row r="24" spans="3:25" ht="16">
      <c r="C24" s="473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45444</v>
      </c>
      <c r="G27" s="433"/>
      <c r="H27" s="433"/>
      <c r="I27" s="434"/>
      <c r="J27" s="432">
        <v>45445</v>
      </c>
      <c r="K27" s="433"/>
      <c r="L27" s="433"/>
      <c r="M27" s="434"/>
      <c r="N27" s="432">
        <v>45446</v>
      </c>
      <c r="O27" s="433"/>
      <c r="P27" s="433"/>
      <c r="Q27" s="434"/>
      <c r="R27" s="432">
        <v>45447</v>
      </c>
      <c r="S27" s="433"/>
      <c r="T27" s="433"/>
      <c r="U27" s="434"/>
      <c r="V27" s="432">
        <v>45448</v>
      </c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0</v>
      </c>
      <c r="K29" s="455">
        <v>0</v>
      </c>
      <c r="L29" s="457">
        <v>0</v>
      </c>
      <c r="M29" s="459"/>
      <c r="N29" s="200">
        <v>0</v>
      </c>
      <c r="O29" s="455">
        <v>0</v>
      </c>
      <c r="P29" s="457">
        <v>0</v>
      </c>
      <c r="Q29" s="459"/>
      <c r="R29" s="200">
        <v>0</v>
      </c>
      <c r="S29" s="455">
        <v>0</v>
      </c>
      <c r="T29" s="457">
        <v>0</v>
      </c>
      <c r="U29" s="459"/>
      <c r="V29" s="200">
        <v>0</v>
      </c>
      <c r="W29" s="455">
        <v>0</v>
      </c>
      <c r="X29" s="457">
        <v>0</v>
      </c>
      <c r="Y29" s="459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J31" s="200">
        <v>27.2</v>
      </c>
      <c r="K31" s="455">
        <v>27.2</v>
      </c>
      <c r="L31" s="457">
        <v>0</v>
      </c>
      <c r="M31" s="459"/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36.9</v>
      </c>
      <c r="T31" s="457">
        <v>9.6999999999999993</v>
      </c>
      <c r="U31" s="459" t="s">
        <v>151</v>
      </c>
      <c r="V31" s="200">
        <v>27.2</v>
      </c>
      <c r="W31" s="455">
        <v>36.9</v>
      </c>
      <c r="X31" s="457">
        <v>9.6999999999999993</v>
      </c>
      <c r="Y31" s="459" t="s">
        <v>151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27.8</v>
      </c>
      <c r="G33" s="199">
        <v>20.6</v>
      </c>
      <c r="H33" s="457">
        <v>-7.1999999999999993</v>
      </c>
      <c r="I33" s="459" t="s">
        <v>146</v>
      </c>
      <c r="J33" s="200">
        <v>27.8</v>
      </c>
      <c r="K33" s="199">
        <v>22.1</v>
      </c>
      <c r="L33" s="457">
        <v>-5.6999999999999993</v>
      </c>
      <c r="M33" s="459" t="s">
        <v>146</v>
      </c>
      <c r="N33" s="200">
        <v>27.8</v>
      </c>
      <c r="O33" s="199">
        <v>26.4</v>
      </c>
      <c r="P33" s="457">
        <v>-1.4000000000000021</v>
      </c>
      <c r="Q33" s="459" t="s">
        <v>146</v>
      </c>
      <c r="R33" s="200">
        <v>27.8</v>
      </c>
      <c r="S33" s="199">
        <v>27.9</v>
      </c>
      <c r="T33" s="457">
        <v>9.9999999999997868E-2</v>
      </c>
      <c r="U33" s="459" t="s">
        <v>148</v>
      </c>
      <c r="V33" s="200">
        <v>27.8</v>
      </c>
      <c r="W33" s="199">
        <v>37.5</v>
      </c>
      <c r="X33" s="457">
        <v>9.6999999999999993</v>
      </c>
      <c r="Y33" s="459" t="s">
        <v>148</v>
      </c>
    </row>
    <row r="34" spans="3:25" ht="16">
      <c r="C34" s="451"/>
      <c r="D34" s="467"/>
      <c r="E34" s="463" t="s">
        <v>104</v>
      </c>
      <c r="F34" s="198">
        <v>0.2</v>
      </c>
      <c r="G34" s="197">
        <v>0.15</v>
      </c>
      <c r="H34" s="458"/>
      <c r="I34" s="460"/>
      <c r="J34" s="198">
        <v>0.2</v>
      </c>
      <c r="K34" s="197">
        <v>0.16</v>
      </c>
      <c r="L34" s="458"/>
      <c r="M34" s="460"/>
      <c r="N34" s="198">
        <v>0.2</v>
      </c>
      <c r="O34" s="197">
        <v>0.19</v>
      </c>
      <c r="P34" s="458"/>
      <c r="Q34" s="460"/>
      <c r="R34" s="198">
        <v>0.2</v>
      </c>
      <c r="S34" s="197">
        <v>0.2</v>
      </c>
      <c r="T34" s="458"/>
      <c r="U34" s="460"/>
      <c r="V34" s="198">
        <v>0.2</v>
      </c>
      <c r="W34" s="197">
        <v>0.27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0.3</v>
      </c>
      <c r="H37" s="164">
        <v>-9.6999999999999993</v>
      </c>
      <c r="I37" s="189" t="s">
        <v>147</v>
      </c>
      <c r="J37" s="166">
        <v>10</v>
      </c>
      <c r="K37" s="165">
        <v>0.2</v>
      </c>
      <c r="L37" s="164">
        <v>-9.8000000000000007</v>
      </c>
      <c r="M37" s="189" t="s">
        <v>147</v>
      </c>
      <c r="N37" s="166">
        <v>10</v>
      </c>
      <c r="O37" s="165">
        <v>0.3</v>
      </c>
      <c r="P37" s="164">
        <v>-9.6999999999999993</v>
      </c>
      <c r="Q37" s="189" t="s">
        <v>147</v>
      </c>
      <c r="R37" s="166">
        <v>10</v>
      </c>
      <c r="S37" s="165">
        <v>0.40000000000000141</v>
      </c>
      <c r="T37" s="164">
        <v>-9.5999999999999979</v>
      </c>
      <c r="U37" s="189" t="s">
        <v>147</v>
      </c>
      <c r="V37" s="166">
        <v>10</v>
      </c>
      <c r="W37" s="165">
        <v>0.4</v>
      </c>
      <c r="X37" s="164">
        <v>-9.6</v>
      </c>
      <c r="Y37" s="189" t="s">
        <v>147</v>
      </c>
    </row>
    <row r="38" spans="3:25" ht="16.5" thickBot="1">
      <c r="C38" s="452"/>
      <c r="D38" s="427" t="s">
        <v>101</v>
      </c>
      <c r="E38" s="428"/>
      <c r="F38" s="188">
        <v>65</v>
      </c>
      <c r="G38" s="187">
        <v>48.099999999999994</v>
      </c>
      <c r="H38" s="187">
        <v>-16.899999999999999</v>
      </c>
      <c r="I38" s="186"/>
      <c r="J38" s="188">
        <v>65</v>
      </c>
      <c r="K38" s="187">
        <v>49.5</v>
      </c>
      <c r="L38" s="187">
        <v>-15.5</v>
      </c>
      <c r="M38" s="186"/>
      <c r="N38" s="188">
        <v>65</v>
      </c>
      <c r="O38" s="187">
        <v>63.599999999999994</v>
      </c>
      <c r="P38" s="187">
        <v>-1.4000000000000021</v>
      </c>
      <c r="Q38" s="186"/>
      <c r="R38" s="188">
        <v>65</v>
      </c>
      <c r="S38" s="187">
        <v>65.2</v>
      </c>
      <c r="T38" s="187">
        <v>0.19999999999999929</v>
      </c>
      <c r="U38" s="186"/>
      <c r="V38" s="188">
        <v>65</v>
      </c>
      <c r="W38" s="187">
        <v>74.800000000000011</v>
      </c>
      <c r="X38" s="187">
        <v>9.7999999999999989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45444</v>
      </c>
      <c r="G40" s="470"/>
      <c r="H40" s="470"/>
      <c r="I40" s="471"/>
      <c r="J40" s="469">
        <v>45445</v>
      </c>
      <c r="K40" s="470"/>
      <c r="L40" s="470"/>
      <c r="M40" s="471"/>
      <c r="N40" s="469">
        <v>45446</v>
      </c>
      <c r="O40" s="470"/>
      <c r="P40" s="470"/>
      <c r="Q40" s="471"/>
      <c r="R40" s="469">
        <v>45447</v>
      </c>
      <c r="S40" s="470"/>
      <c r="T40" s="470"/>
      <c r="U40" s="471"/>
      <c r="V40" s="469">
        <v>45448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15.4</v>
      </c>
      <c r="G42" s="478">
        <v>0</v>
      </c>
      <c r="H42" s="457">
        <v>-15.4</v>
      </c>
      <c r="I42" s="459" t="s">
        <v>146</v>
      </c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0</v>
      </c>
      <c r="W42" s="478">
        <v>0</v>
      </c>
      <c r="X42" s="457">
        <v>0</v>
      </c>
      <c r="Y42" s="459"/>
    </row>
    <row r="43" spans="3:25" ht="16.5" thickBot="1">
      <c r="C43" s="474"/>
      <c r="D43" s="475"/>
      <c r="E43" s="477"/>
      <c r="F43" s="183">
        <v>195</v>
      </c>
      <c r="G43" s="479"/>
      <c r="H43" s="480"/>
      <c r="I43" s="481"/>
      <c r="J43" s="183">
        <v>195</v>
      </c>
      <c r="K43" s="479"/>
      <c r="L43" s="480"/>
      <c r="M43" s="481"/>
      <c r="N43" s="183">
        <v>227</v>
      </c>
      <c r="O43" s="479"/>
      <c r="P43" s="480"/>
      <c r="Q43" s="481"/>
      <c r="R43" s="183">
        <v>220</v>
      </c>
      <c r="S43" s="479"/>
      <c r="T43" s="480"/>
      <c r="U43" s="481"/>
      <c r="V43" s="183">
        <v>202.3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45444</v>
      </c>
      <c r="G45" s="470"/>
      <c r="H45" s="470"/>
      <c r="I45" s="471"/>
      <c r="J45" s="469">
        <v>45445</v>
      </c>
      <c r="K45" s="470"/>
      <c r="L45" s="470"/>
      <c r="M45" s="471"/>
      <c r="N45" s="469">
        <v>45446</v>
      </c>
      <c r="O45" s="470"/>
      <c r="P45" s="470"/>
      <c r="Q45" s="471"/>
      <c r="R45" s="469">
        <v>45447</v>
      </c>
      <c r="S45" s="470"/>
      <c r="T45" s="470"/>
      <c r="U45" s="471"/>
      <c r="V45" s="469">
        <v>45448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24.2</v>
      </c>
      <c r="G47" s="478">
        <v>28.5</v>
      </c>
      <c r="H47" s="457">
        <v>4.3000000000000007</v>
      </c>
      <c r="I47" s="459" t="s">
        <v>149</v>
      </c>
      <c r="J47" s="178">
        <v>20.8</v>
      </c>
      <c r="K47" s="478">
        <v>20.8</v>
      </c>
      <c r="L47" s="457">
        <v>0</v>
      </c>
      <c r="M47" s="459"/>
      <c r="N47" s="178">
        <v>24.2</v>
      </c>
      <c r="O47" s="478">
        <v>20.8</v>
      </c>
      <c r="P47" s="457">
        <v>-3.3999999999999986</v>
      </c>
      <c r="Q47" s="459" t="s">
        <v>154</v>
      </c>
      <c r="R47" s="178">
        <v>24.2</v>
      </c>
      <c r="S47" s="478">
        <v>21.8</v>
      </c>
      <c r="T47" s="457">
        <v>-2.3999999999999986</v>
      </c>
      <c r="U47" s="459" t="s">
        <v>154</v>
      </c>
      <c r="V47" s="178">
        <v>24.2</v>
      </c>
      <c r="W47" s="478">
        <v>23.9</v>
      </c>
      <c r="X47" s="457">
        <v>-0.30000000000000071</v>
      </c>
      <c r="Y47" s="459" t="s">
        <v>154</v>
      </c>
    </row>
    <row r="48" spans="3:25" ht="16.5" thickBot="1">
      <c r="C48" s="486"/>
      <c r="D48" s="487"/>
      <c r="E48" s="489"/>
      <c r="F48" s="177">
        <v>0.56999999999999995</v>
      </c>
      <c r="G48" s="479"/>
      <c r="H48" s="480"/>
      <c r="I48" s="481"/>
      <c r="J48" s="177">
        <v>0.49</v>
      </c>
      <c r="K48" s="479"/>
      <c r="L48" s="480"/>
      <c r="M48" s="481"/>
      <c r="N48" s="177">
        <v>0.56999999999999995</v>
      </c>
      <c r="O48" s="479"/>
      <c r="P48" s="480"/>
      <c r="Q48" s="481"/>
      <c r="R48" s="177">
        <v>0.56999999999999995</v>
      </c>
      <c r="S48" s="479"/>
      <c r="T48" s="480"/>
      <c r="U48" s="481"/>
      <c r="V48" s="177">
        <v>0.56999999999999995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45444</v>
      </c>
      <c r="G50" s="470"/>
      <c r="H50" s="470"/>
      <c r="I50" s="471"/>
      <c r="J50" s="469">
        <v>45445</v>
      </c>
      <c r="K50" s="470"/>
      <c r="L50" s="470"/>
      <c r="M50" s="471"/>
      <c r="N50" s="469">
        <v>45446</v>
      </c>
      <c r="O50" s="470"/>
      <c r="P50" s="470"/>
      <c r="Q50" s="471"/>
      <c r="R50" s="469">
        <v>45447</v>
      </c>
      <c r="S50" s="470"/>
      <c r="T50" s="470"/>
      <c r="U50" s="471"/>
      <c r="V50" s="469">
        <v>45448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26.8</v>
      </c>
      <c r="H53" s="223" t="s">
        <v>81</v>
      </c>
      <c r="I53" s="222" t="s">
        <v>152</v>
      </c>
      <c r="J53" s="225">
        <v>0</v>
      </c>
      <c r="K53" s="224">
        <v>26.9</v>
      </c>
      <c r="L53" s="223" t="s">
        <v>81</v>
      </c>
      <c r="M53" s="222" t="s">
        <v>153</v>
      </c>
      <c r="N53" s="225">
        <v>0</v>
      </c>
      <c r="O53" s="224">
        <v>26.5</v>
      </c>
      <c r="P53" s="223" t="s">
        <v>81</v>
      </c>
      <c r="Q53" s="222" t="s">
        <v>152</v>
      </c>
      <c r="R53" s="225">
        <v>0</v>
      </c>
      <c r="S53" s="224">
        <v>26.2</v>
      </c>
      <c r="T53" s="223" t="s">
        <v>81</v>
      </c>
      <c r="U53" s="222" t="s">
        <v>152</v>
      </c>
      <c r="V53" s="225">
        <v>0</v>
      </c>
      <c r="W53" s="224">
        <v>25.5</v>
      </c>
      <c r="X53" s="223" t="s">
        <v>81</v>
      </c>
      <c r="Y53" s="222" t="s">
        <v>152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7C25-65C7-47E0-8666-EC21818FDD4D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45450</v>
      </c>
      <c r="G3" s="418"/>
      <c r="H3" s="418"/>
      <c r="I3" s="419"/>
      <c r="J3" s="417">
        <v>45454</v>
      </c>
      <c r="K3" s="418"/>
      <c r="L3" s="418"/>
      <c r="M3" s="419"/>
      <c r="N3" s="417">
        <v>45456</v>
      </c>
      <c r="O3" s="418"/>
      <c r="P3" s="418"/>
      <c r="Q3" s="419"/>
      <c r="R3" s="417">
        <v>45459</v>
      </c>
      <c r="S3" s="418"/>
      <c r="T3" s="418"/>
      <c r="U3" s="419"/>
      <c r="V3" s="417">
        <v>45462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139</v>
      </c>
      <c r="K4" s="181" t="s">
        <v>86</v>
      </c>
      <c r="L4" s="180" t="s">
        <v>85</v>
      </c>
      <c r="M4" s="179" t="s">
        <v>92</v>
      </c>
      <c r="N4" s="210" t="s">
        <v>139</v>
      </c>
      <c r="O4" s="181" t="s">
        <v>86</v>
      </c>
      <c r="P4" s="180" t="s">
        <v>85</v>
      </c>
      <c r="Q4" s="179" t="s">
        <v>92</v>
      </c>
      <c r="R4" s="210" t="s">
        <v>139</v>
      </c>
      <c r="S4" s="181" t="s">
        <v>86</v>
      </c>
      <c r="T4" s="180" t="s">
        <v>85</v>
      </c>
      <c r="U4" s="179" t="s">
        <v>92</v>
      </c>
      <c r="V4" s="210" t="s">
        <v>139</v>
      </c>
      <c r="W4" s="181" t="s">
        <v>86</v>
      </c>
      <c r="X4" s="180" t="s">
        <v>85</v>
      </c>
      <c r="Y4" s="179" t="s">
        <v>92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v>0</v>
      </c>
      <c r="M5" s="219"/>
      <c r="N5" s="166">
        <v>32.700000000000003</v>
      </c>
      <c r="O5" s="165">
        <v>15.2</v>
      </c>
      <c r="P5" s="164">
        <v>-17.500000000000004</v>
      </c>
      <c r="Q5" s="219" t="s">
        <v>146</v>
      </c>
      <c r="R5" s="166">
        <v>32.700000000000003</v>
      </c>
      <c r="S5" s="165">
        <v>32.700000000000003</v>
      </c>
      <c r="T5" s="164">
        <v>0</v>
      </c>
      <c r="U5" s="219"/>
      <c r="V5" s="166">
        <v>32.700000000000003</v>
      </c>
      <c r="W5" s="165">
        <v>32.700000000000003</v>
      </c>
      <c r="X5" s="164">
        <v>0</v>
      </c>
      <c r="Y5" s="219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v>0</v>
      </c>
      <c r="I6" s="219"/>
      <c r="J6" s="166">
        <v>8.6999999999999993</v>
      </c>
      <c r="K6" s="165">
        <v>8.6999999999999993</v>
      </c>
      <c r="L6" s="164">
        <v>0</v>
      </c>
      <c r="M6" s="219"/>
      <c r="N6" s="166">
        <v>8.6999999999999993</v>
      </c>
      <c r="O6" s="165">
        <v>8.6999999999999993</v>
      </c>
      <c r="P6" s="164">
        <v>0</v>
      </c>
      <c r="Q6" s="219"/>
      <c r="R6" s="166">
        <v>8.6999999999999993</v>
      </c>
      <c r="S6" s="165">
        <v>8.6999999999999993</v>
      </c>
      <c r="T6" s="164">
        <v>0</v>
      </c>
      <c r="U6" s="219"/>
      <c r="V6" s="166">
        <v>8.6999999999999993</v>
      </c>
      <c r="W6" s="165">
        <v>8.6999999999999993</v>
      </c>
      <c r="X6" s="164"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v>0</v>
      </c>
      <c r="M7" s="219"/>
      <c r="N7" s="166">
        <v>0</v>
      </c>
      <c r="O7" s="165">
        <v>0</v>
      </c>
      <c r="P7" s="164">
        <v>0</v>
      </c>
      <c r="Q7" s="219"/>
      <c r="R7" s="166">
        <v>0</v>
      </c>
      <c r="S7" s="165">
        <v>0</v>
      </c>
      <c r="T7" s="164">
        <v>0</v>
      </c>
      <c r="U7" s="219"/>
      <c r="V7" s="166">
        <v>0</v>
      </c>
      <c r="W7" s="165">
        <v>0</v>
      </c>
      <c r="X7" s="164">
        <v>0</v>
      </c>
      <c r="Y7" s="219"/>
    </row>
    <row r="8" spans="3:25" ht="16">
      <c r="C8" s="423"/>
      <c r="D8" s="426"/>
      <c r="E8" s="218" t="s">
        <v>133</v>
      </c>
      <c r="F8" s="217">
        <v>56.900000000000006</v>
      </c>
      <c r="G8" s="216">
        <v>56.900000000000006</v>
      </c>
      <c r="H8" s="215">
        <v>0</v>
      </c>
      <c r="I8" s="214"/>
      <c r="J8" s="217">
        <v>57.5</v>
      </c>
      <c r="K8" s="216">
        <v>57.5</v>
      </c>
      <c r="L8" s="215">
        <v>0</v>
      </c>
      <c r="M8" s="214"/>
      <c r="N8" s="217">
        <v>58.900000000000006</v>
      </c>
      <c r="O8" s="216">
        <v>58.900000000000006</v>
      </c>
      <c r="P8" s="215">
        <v>0</v>
      </c>
      <c r="Q8" s="214"/>
      <c r="R8" s="217">
        <v>55.7</v>
      </c>
      <c r="S8" s="216">
        <v>55.7</v>
      </c>
      <c r="T8" s="215">
        <v>0</v>
      </c>
      <c r="U8" s="214"/>
      <c r="V8" s="217">
        <v>61.7</v>
      </c>
      <c r="W8" s="216">
        <v>61.7</v>
      </c>
      <c r="X8" s="215">
        <v>0</v>
      </c>
      <c r="Y8" s="214"/>
    </row>
    <row r="9" spans="3:25" ht="16.5" thickBot="1">
      <c r="C9" s="424"/>
      <c r="D9" s="427" t="s">
        <v>101</v>
      </c>
      <c r="E9" s="428"/>
      <c r="F9" s="188">
        <v>78</v>
      </c>
      <c r="G9" s="187">
        <v>78</v>
      </c>
      <c r="H9" s="187">
        <v>0</v>
      </c>
      <c r="I9" s="213" t="s">
        <v>81</v>
      </c>
      <c r="J9" s="188">
        <v>78.599999999999994</v>
      </c>
      <c r="K9" s="187">
        <v>78.599999999999994</v>
      </c>
      <c r="L9" s="187">
        <v>0</v>
      </c>
      <c r="M9" s="213" t="s">
        <v>81</v>
      </c>
      <c r="N9" s="188">
        <v>100.30000000000001</v>
      </c>
      <c r="O9" s="187">
        <v>82.800000000000011</v>
      </c>
      <c r="P9" s="187">
        <v>-17.500000000000004</v>
      </c>
      <c r="Q9" s="213" t="s">
        <v>81</v>
      </c>
      <c r="R9" s="188">
        <v>97.100000000000009</v>
      </c>
      <c r="S9" s="187">
        <v>97.100000000000009</v>
      </c>
      <c r="T9" s="187">
        <v>0</v>
      </c>
      <c r="U9" s="213" t="s">
        <v>81</v>
      </c>
      <c r="V9" s="188">
        <v>103.10000000000001</v>
      </c>
      <c r="W9" s="187">
        <v>103.10000000000001</v>
      </c>
      <c r="X9" s="187">
        <v>0</v>
      </c>
      <c r="Y9" s="213" t="s">
        <v>81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>
        <v>45450</v>
      </c>
      <c r="G11" s="433"/>
      <c r="H11" s="433"/>
      <c r="I11" s="434"/>
      <c r="J11" s="432">
        <v>45454</v>
      </c>
      <c r="K11" s="433"/>
      <c r="L11" s="433"/>
      <c r="M11" s="434"/>
      <c r="N11" s="432">
        <v>45456</v>
      </c>
      <c r="O11" s="433"/>
      <c r="P11" s="433"/>
      <c r="Q11" s="434"/>
      <c r="R11" s="432">
        <v>45459</v>
      </c>
      <c r="S11" s="433"/>
      <c r="T11" s="433"/>
      <c r="U11" s="434"/>
      <c r="V11" s="432">
        <v>45462</v>
      </c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129</v>
      </c>
      <c r="K12" s="181" t="s">
        <v>86</v>
      </c>
      <c r="L12" s="180" t="s">
        <v>85</v>
      </c>
      <c r="M12" s="179" t="s">
        <v>92</v>
      </c>
      <c r="N12" s="210" t="s">
        <v>129</v>
      </c>
      <c r="O12" s="181" t="s">
        <v>86</v>
      </c>
      <c r="P12" s="180" t="s">
        <v>85</v>
      </c>
      <c r="Q12" s="179" t="s">
        <v>92</v>
      </c>
      <c r="R12" s="210" t="s">
        <v>129</v>
      </c>
      <c r="S12" s="181" t="s">
        <v>86</v>
      </c>
      <c r="T12" s="180" t="s">
        <v>85</v>
      </c>
      <c r="U12" s="179" t="s">
        <v>92</v>
      </c>
      <c r="V12" s="210" t="s">
        <v>129</v>
      </c>
      <c r="W12" s="181" t="s">
        <v>86</v>
      </c>
      <c r="X12" s="180" t="s">
        <v>85</v>
      </c>
      <c r="Y12" s="179" t="s">
        <v>92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J13" s="166">
        <v>-26.1</v>
      </c>
      <c r="K13" s="165">
        <v>0</v>
      </c>
      <c r="L13" s="164">
        <v>26.1</v>
      </c>
      <c r="M13" s="189" t="s">
        <v>145</v>
      </c>
      <c r="N13" s="166">
        <v>-26.1</v>
      </c>
      <c r="O13" s="165">
        <v>0</v>
      </c>
      <c r="P13" s="164">
        <v>26.1</v>
      </c>
      <c r="Q13" s="189" t="s">
        <v>145</v>
      </c>
      <c r="R13" s="166">
        <v>-26.1</v>
      </c>
      <c r="S13" s="165">
        <v>-26.1</v>
      </c>
      <c r="T13" s="164">
        <v>0</v>
      </c>
      <c r="U13" s="189"/>
      <c r="V13" s="166">
        <v>-26.1</v>
      </c>
      <c r="W13" s="165">
        <v>-26.1</v>
      </c>
      <c r="X13" s="164">
        <v>0</v>
      </c>
      <c r="Y13" s="189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J14" s="166">
        <v>-26.1</v>
      </c>
      <c r="K14" s="165">
        <v>0</v>
      </c>
      <c r="L14" s="164">
        <v>26.1</v>
      </c>
      <c r="M14" s="189" t="s">
        <v>145</v>
      </c>
      <c r="N14" s="166">
        <v>-26.1</v>
      </c>
      <c r="O14" s="165">
        <v>0</v>
      </c>
      <c r="P14" s="164">
        <v>26.1</v>
      </c>
      <c r="Q14" s="189" t="s">
        <v>145</v>
      </c>
      <c r="R14" s="166">
        <v>-26.1</v>
      </c>
      <c r="S14" s="165">
        <v>-26.1</v>
      </c>
      <c r="T14" s="164">
        <v>0</v>
      </c>
      <c r="U14" s="189"/>
      <c r="V14" s="166">
        <v>-26.1</v>
      </c>
      <c r="W14" s="165">
        <v>-26.1</v>
      </c>
      <c r="X14" s="164"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J15" s="166">
        <v>-32.5</v>
      </c>
      <c r="K15" s="165">
        <v>-32.5</v>
      </c>
      <c r="L15" s="164">
        <v>0</v>
      </c>
      <c r="M15" s="189"/>
      <c r="N15" s="166">
        <v>-32.5</v>
      </c>
      <c r="O15" s="165">
        <v>-32.5</v>
      </c>
      <c r="P15" s="164">
        <v>0</v>
      </c>
      <c r="Q15" s="189"/>
      <c r="R15" s="166">
        <v>-32.5</v>
      </c>
      <c r="S15" s="165">
        <v>-32.5</v>
      </c>
      <c r="T15" s="164">
        <v>0</v>
      </c>
      <c r="U15" s="189"/>
      <c r="V15" s="166">
        <v>-32.5</v>
      </c>
      <c r="W15" s="165">
        <v>-32.5</v>
      </c>
      <c r="X15" s="164"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J16" s="166">
        <v>-32.5</v>
      </c>
      <c r="K16" s="165">
        <v>-32.5</v>
      </c>
      <c r="L16" s="164">
        <v>0</v>
      </c>
      <c r="M16" s="189"/>
      <c r="N16" s="166">
        <v>-32.5</v>
      </c>
      <c r="O16" s="165">
        <v>-32.5</v>
      </c>
      <c r="P16" s="164">
        <v>0</v>
      </c>
      <c r="Q16" s="189"/>
      <c r="R16" s="166">
        <v>-32.5</v>
      </c>
      <c r="S16" s="165">
        <v>-32.5</v>
      </c>
      <c r="T16" s="164">
        <v>0</v>
      </c>
      <c r="U16" s="189"/>
      <c r="V16" s="166">
        <v>-32.5</v>
      </c>
      <c r="W16" s="165">
        <v>-32.5</v>
      </c>
      <c r="X16" s="164"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J17" s="166">
        <v>-34</v>
      </c>
      <c r="K17" s="165">
        <v>-34</v>
      </c>
      <c r="L17" s="164">
        <v>0</v>
      </c>
      <c r="M17" s="212"/>
      <c r="N17" s="166">
        <v>-34</v>
      </c>
      <c r="O17" s="165">
        <v>-34</v>
      </c>
      <c r="P17" s="164">
        <v>0</v>
      </c>
      <c r="Q17" s="212"/>
      <c r="R17" s="166">
        <v>-34</v>
      </c>
      <c r="S17" s="165">
        <v>-34</v>
      </c>
      <c r="T17" s="164">
        <v>0</v>
      </c>
      <c r="U17" s="212"/>
      <c r="V17" s="166">
        <v>-34</v>
      </c>
      <c r="W17" s="165">
        <v>-34</v>
      </c>
      <c r="X17" s="164">
        <v>0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J18" s="166">
        <v>-34</v>
      </c>
      <c r="K18" s="165">
        <v>0</v>
      </c>
      <c r="L18" s="164">
        <v>34</v>
      </c>
      <c r="M18" s="189" t="s">
        <v>149</v>
      </c>
      <c r="N18" s="166">
        <v>-34</v>
      </c>
      <c r="O18" s="165">
        <v>0</v>
      </c>
      <c r="P18" s="164">
        <v>34</v>
      </c>
      <c r="Q18" s="189" t="s">
        <v>149</v>
      </c>
      <c r="R18" s="166">
        <v>-34</v>
      </c>
      <c r="S18" s="165">
        <v>0</v>
      </c>
      <c r="T18" s="164">
        <v>34</v>
      </c>
      <c r="U18" s="189" t="s">
        <v>149</v>
      </c>
      <c r="V18" s="166">
        <v>-34</v>
      </c>
      <c r="W18" s="165">
        <v>0</v>
      </c>
      <c r="X18" s="164">
        <v>34</v>
      </c>
      <c r="Y18" s="189" t="s">
        <v>149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J19" s="166">
        <v>-34</v>
      </c>
      <c r="K19" s="165">
        <v>-34</v>
      </c>
      <c r="L19" s="164">
        <v>0</v>
      </c>
      <c r="M19" s="189"/>
      <c r="N19" s="166">
        <v>-34</v>
      </c>
      <c r="O19" s="165">
        <v>-34</v>
      </c>
      <c r="P19" s="164">
        <v>0</v>
      </c>
      <c r="Q19" s="189"/>
      <c r="R19" s="166">
        <v>-34</v>
      </c>
      <c r="S19" s="165">
        <v>-34</v>
      </c>
      <c r="T19" s="164">
        <v>0</v>
      </c>
      <c r="U19" s="189"/>
      <c r="V19" s="166">
        <v>-34</v>
      </c>
      <c r="W19" s="165">
        <v>0</v>
      </c>
      <c r="X19" s="164">
        <v>34</v>
      </c>
      <c r="Y19" s="189" t="s">
        <v>149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J20" s="166">
        <v>-34</v>
      </c>
      <c r="K20" s="165">
        <v>-34</v>
      </c>
      <c r="L20" s="164">
        <v>0</v>
      </c>
      <c r="M20" s="189"/>
      <c r="N20" s="166">
        <v>-34</v>
      </c>
      <c r="O20" s="165">
        <v>-34</v>
      </c>
      <c r="P20" s="164">
        <v>0</v>
      </c>
      <c r="Q20" s="189"/>
      <c r="R20" s="166">
        <v>-34</v>
      </c>
      <c r="S20" s="165">
        <v>-34</v>
      </c>
      <c r="T20" s="164">
        <v>0</v>
      </c>
      <c r="U20" s="189"/>
      <c r="V20" s="166">
        <v>-34</v>
      </c>
      <c r="W20" s="165">
        <v>0</v>
      </c>
      <c r="X20" s="164">
        <v>34</v>
      </c>
      <c r="Y20" s="189" t="s">
        <v>149</v>
      </c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J21" s="188">
        <v>-253.2</v>
      </c>
      <c r="K21" s="187">
        <v>-167</v>
      </c>
      <c r="L21" s="187">
        <v>86.2</v>
      </c>
      <c r="M21" s="186" t="s">
        <v>81</v>
      </c>
      <c r="N21" s="188">
        <v>-253.2</v>
      </c>
      <c r="O21" s="187">
        <v>-167</v>
      </c>
      <c r="P21" s="187">
        <v>86.2</v>
      </c>
      <c r="Q21" s="186" t="s">
        <v>81</v>
      </c>
      <c r="R21" s="188">
        <v>-253.2</v>
      </c>
      <c r="S21" s="187">
        <v>-219.2</v>
      </c>
      <c r="T21" s="187">
        <v>34</v>
      </c>
      <c r="U21" s="186" t="s">
        <v>81</v>
      </c>
      <c r="V21" s="188">
        <v>-253.2</v>
      </c>
      <c r="W21" s="187">
        <v>-151.19999999999999</v>
      </c>
      <c r="X21" s="187">
        <v>102</v>
      </c>
      <c r="Y21" s="186" t="s">
        <v>81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>
        <v>45450</v>
      </c>
      <c r="G23" s="433"/>
      <c r="H23" s="433"/>
      <c r="I23" s="434"/>
      <c r="J23" s="432">
        <v>45454</v>
      </c>
      <c r="K23" s="433"/>
      <c r="L23" s="433"/>
      <c r="M23" s="434"/>
      <c r="N23" s="432">
        <v>45456</v>
      </c>
      <c r="O23" s="433"/>
      <c r="P23" s="433"/>
      <c r="Q23" s="434"/>
      <c r="R23" s="432">
        <v>45459</v>
      </c>
      <c r="S23" s="433"/>
      <c r="T23" s="433"/>
      <c r="U23" s="434"/>
      <c r="V23" s="432">
        <v>45462</v>
      </c>
      <c r="W23" s="433"/>
      <c r="X23" s="433"/>
      <c r="Y23" s="434"/>
    </row>
    <row r="24" spans="3:25" ht="16">
      <c r="C24" s="473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117</v>
      </c>
      <c r="K24" s="181" t="s">
        <v>86</v>
      </c>
      <c r="L24" s="180" t="s">
        <v>85</v>
      </c>
      <c r="M24" s="179" t="s">
        <v>92</v>
      </c>
      <c r="N24" s="210" t="s">
        <v>117</v>
      </c>
      <c r="O24" s="181" t="s">
        <v>86</v>
      </c>
      <c r="P24" s="180" t="s">
        <v>85</v>
      </c>
      <c r="Q24" s="179" t="s">
        <v>92</v>
      </c>
      <c r="R24" s="210" t="s">
        <v>117</v>
      </c>
      <c r="S24" s="181" t="s">
        <v>86</v>
      </c>
      <c r="T24" s="180" t="s">
        <v>85</v>
      </c>
      <c r="U24" s="179" t="s">
        <v>92</v>
      </c>
      <c r="V24" s="210" t="s">
        <v>117</v>
      </c>
      <c r="W24" s="181" t="s">
        <v>86</v>
      </c>
      <c r="X24" s="180" t="s">
        <v>85</v>
      </c>
      <c r="Y24" s="179" t="s">
        <v>92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J25" s="209">
        <v>-5</v>
      </c>
      <c r="K25" s="208">
        <v>-5</v>
      </c>
      <c r="L25" s="207">
        <v>0</v>
      </c>
      <c r="M25" s="206"/>
      <c r="N25" s="209">
        <v>-5</v>
      </c>
      <c r="O25" s="208">
        <v>-5</v>
      </c>
      <c r="P25" s="207">
        <v>0</v>
      </c>
      <c r="Q25" s="206"/>
      <c r="R25" s="209">
        <v>-5</v>
      </c>
      <c r="S25" s="208">
        <v>-5</v>
      </c>
      <c r="T25" s="207">
        <v>0</v>
      </c>
      <c r="U25" s="206"/>
      <c r="V25" s="209">
        <v>-5</v>
      </c>
      <c r="W25" s="208">
        <v>-5</v>
      </c>
      <c r="X25" s="207">
        <v>0</v>
      </c>
      <c r="Y25" s="206"/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>
        <v>45450</v>
      </c>
      <c r="G27" s="433"/>
      <c r="H27" s="433"/>
      <c r="I27" s="434"/>
      <c r="J27" s="432">
        <v>45454</v>
      </c>
      <c r="K27" s="433"/>
      <c r="L27" s="433"/>
      <c r="M27" s="434"/>
      <c r="N27" s="432">
        <v>45456</v>
      </c>
      <c r="O27" s="433"/>
      <c r="P27" s="433"/>
      <c r="Q27" s="434"/>
      <c r="R27" s="432">
        <v>45459</v>
      </c>
      <c r="S27" s="433"/>
      <c r="T27" s="433"/>
      <c r="U27" s="434"/>
      <c r="V27" s="432">
        <v>45462</v>
      </c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112</v>
      </c>
      <c r="K28" s="181" t="s">
        <v>86</v>
      </c>
      <c r="L28" s="180" t="s">
        <v>85</v>
      </c>
      <c r="M28" s="179" t="s">
        <v>92</v>
      </c>
      <c r="N28" s="203" t="s">
        <v>112</v>
      </c>
      <c r="O28" s="181" t="s">
        <v>86</v>
      </c>
      <c r="P28" s="180" t="s">
        <v>85</v>
      </c>
      <c r="Q28" s="179" t="s">
        <v>92</v>
      </c>
      <c r="R28" s="203" t="s">
        <v>112</v>
      </c>
      <c r="S28" s="181" t="s">
        <v>86</v>
      </c>
      <c r="T28" s="180" t="s">
        <v>85</v>
      </c>
      <c r="U28" s="179" t="s">
        <v>92</v>
      </c>
      <c r="V28" s="203" t="s">
        <v>112</v>
      </c>
      <c r="W28" s="181" t="s">
        <v>86</v>
      </c>
      <c r="X28" s="180" t="s">
        <v>85</v>
      </c>
      <c r="Y28" s="179" t="s">
        <v>92</v>
      </c>
    </row>
    <row r="29" spans="3:25" ht="16">
      <c r="C29" s="451"/>
      <c r="D29" s="425" t="s">
        <v>111</v>
      </c>
      <c r="E29" s="453" t="s">
        <v>110</v>
      </c>
      <c r="F29" s="200">
        <v>0</v>
      </c>
      <c r="G29" s="455">
        <v>0</v>
      </c>
      <c r="H29" s="457">
        <v>0</v>
      </c>
      <c r="I29" s="459"/>
      <c r="J29" s="200">
        <v>21.9</v>
      </c>
      <c r="K29" s="455">
        <v>21.9</v>
      </c>
      <c r="L29" s="457">
        <v>0</v>
      </c>
      <c r="M29" s="459"/>
      <c r="N29" s="200">
        <v>21.9</v>
      </c>
      <c r="O29" s="455">
        <v>21.2</v>
      </c>
      <c r="P29" s="457">
        <v>-0.69999999999999929</v>
      </c>
      <c r="Q29" s="459" t="s">
        <v>146</v>
      </c>
      <c r="R29" s="200">
        <v>21.9</v>
      </c>
      <c r="S29" s="455">
        <v>21.2</v>
      </c>
      <c r="T29" s="457">
        <v>-0.69999999999999929</v>
      </c>
      <c r="U29" s="459" t="s">
        <v>146</v>
      </c>
      <c r="V29" s="200">
        <v>43.8</v>
      </c>
      <c r="W29" s="455">
        <v>43.8</v>
      </c>
      <c r="X29" s="457">
        <v>0</v>
      </c>
      <c r="Y29" s="459"/>
    </row>
    <row r="30" spans="3:25" ht="16">
      <c r="C30" s="451"/>
      <c r="D30" s="443"/>
      <c r="E30" s="454"/>
      <c r="F30" s="202">
        <v>0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27.2</v>
      </c>
      <c r="G31" s="455">
        <v>36.9</v>
      </c>
      <c r="H31" s="457">
        <v>9.6999999999999993</v>
      </c>
      <c r="I31" s="459" t="s">
        <v>151</v>
      </c>
      <c r="J31" s="200">
        <v>27.2</v>
      </c>
      <c r="K31" s="455">
        <v>36.9</v>
      </c>
      <c r="L31" s="457">
        <v>9.6999999999999993</v>
      </c>
      <c r="M31" s="459" t="s">
        <v>151</v>
      </c>
      <c r="N31" s="200">
        <v>27.2</v>
      </c>
      <c r="O31" s="455">
        <v>36.9</v>
      </c>
      <c r="P31" s="457">
        <v>9.6999999999999993</v>
      </c>
      <c r="Q31" s="459" t="s">
        <v>151</v>
      </c>
      <c r="R31" s="200">
        <v>27.2</v>
      </c>
      <c r="S31" s="455">
        <v>27.2</v>
      </c>
      <c r="T31" s="457">
        <v>0</v>
      </c>
      <c r="U31" s="459"/>
      <c r="V31" s="200">
        <v>27.2</v>
      </c>
      <c r="W31" s="455">
        <v>27.2</v>
      </c>
      <c r="X31" s="457"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27.8</v>
      </c>
      <c r="G33" s="199">
        <v>39</v>
      </c>
      <c r="H33" s="457">
        <v>11.2</v>
      </c>
      <c r="I33" s="459" t="s">
        <v>148</v>
      </c>
      <c r="J33" s="200">
        <v>27.8</v>
      </c>
      <c r="K33" s="199">
        <v>39.700000000000003</v>
      </c>
      <c r="L33" s="457">
        <v>11.900000000000002</v>
      </c>
      <c r="M33" s="459" t="s">
        <v>148</v>
      </c>
      <c r="N33" s="200">
        <v>27.8</v>
      </c>
      <c r="O33" s="199">
        <v>35.700000000000003</v>
      </c>
      <c r="P33" s="457">
        <v>7.9000000000000021</v>
      </c>
      <c r="Q33" s="459" t="s">
        <v>148</v>
      </c>
      <c r="R33" s="200">
        <v>33.4</v>
      </c>
      <c r="S33" s="199">
        <v>27.4</v>
      </c>
      <c r="T33" s="457">
        <v>-6</v>
      </c>
      <c r="U33" s="459" t="s">
        <v>146</v>
      </c>
      <c r="V33" s="200">
        <v>33.4</v>
      </c>
      <c r="W33" s="199">
        <v>39.1</v>
      </c>
      <c r="X33" s="457">
        <v>5.7000000000000028</v>
      </c>
      <c r="Y33" s="459" t="s">
        <v>148</v>
      </c>
    </row>
    <row r="34" spans="3:25" ht="16">
      <c r="C34" s="451"/>
      <c r="D34" s="467"/>
      <c r="E34" s="463" t="s">
        <v>104</v>
      </c>
      <c r="F34" s="198">
        <v>0.2</v>
      </c>
      <c r="G34" s="197">
        <v>0.28000000000000003</v>
      </c>
      <c r="H34" s="458"/>
      <c r="I34" s="460"/>
      <c r="J34" s="198">
        <v>0.2</v>
      </c>
      <c r="K34" s="197">
        <v>0.28999999999999998</v>
      </c>
      <c r="L34" s="458"/>
      <c r="M34" s="460"/>
      <c r="N34" s="198">
        <v>0.2</v>
      </c>
      <c r="O34" s="197">
        <v>0.26</v>
      </c>
      <c r="P34" s="458"/>
      <c r="Q34" s="460"/>
      <c r="R34" s="198">
        <v>0.23</v>
      </c>
      <c r="S34" s="197">
        <v>0.18</v>
      </c>
      <c r="T34" s="458"/>
      <c r="U34" s="460"/>
      <c r="V34" s="198">
        <v>0.23</v>
      </c>
      <c r="W34" s="197">
        <v>0.26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0.20000000000000567</v>
      </c>
      <c r="H37" s="164">
        <v>-9.7999999999999936</v>
      </c>
      <c r="I37" s="189" t="s">
        <v>147</v>
      </c>
      <c r="J37" s="166">
        <v>10</v>
      </c>
      <c r="K37" s="165">
        <v>0.3</v>
      </c>
      <c r="L37" s="164">
        <v>-9.6999999999999993</v>
      </c>
      <c r="M37" s="189" t="s">
        <v>147</v>
      </c>
      <c r="N37" s="166">
        <v>10</v>
      </c>
      <c r="O37" s="165">
        <v>0.7000000000000014</v>
      </c>
      <c r="P37" s="164">
        <v>-9.2999999999999989</v>
      </c>
      <c r="Q37" s="189" t="s">
        <v>147</v>
      </c>
      <c r="R37" s="166">
        <v>10</v>
      </c>
      <c r="S37" s="165">
        <v>0.3</v>
      </c>
      <c r="T37" s="164">
        <v>-9.6999999999999993</v>
      </c>
      <c r="U37" s="189" t="s">
        <v>147</v>
      </c>
      <c r="V37" s="166">
        <v>10</v>
      </c>
      <c r="W37" s="165">
        <v>0.2</v>
      </c>
      <c r="X37" s="164">
        <v>-9.8000000000000007</v>
      </c>
      <c r="Y37" s="189" t="s">
        <v>147</v>
      </c>
    </row>
    <row r="38" spans="3:25" ht="16.5" thickBot="1">
      <c r="C38" s="452"/>
      <c r="D38" s="427" t="s">
        <v>101</v>
      </c>
      <c r="E38" s="428"/>
      <c r="F38" s="188">
        <v>65</v>
      </c>
      <c r="G38" s="187">
        <v>76.100000000000009</v>
      </c>
      <c r="H38" s="187">
        <v>11.100000000000005</v>
      </c>
      <c r="I38" s="186"/>
      <c r="J38" s="188">
        <v>86.899999999999991</v>
      </c>
      <c r="K38" s="187">
        <v>98.8</v>
      </c>
      <c r="L38" s="187">
        <v>11.900000000000002</v>
      </c>
      <c r="M38" s="186"/>
      <c r="N38" s="188">
        <v>86.899999999999991</v>
      </c>
      <c r="O38" s="187">
        <v>94.5</v>
      </c>
      <c r="P38" s="187">
        <v>7.6000000000000032</v>
      </c>
      <c r="Q38" s="186"/>
      <c r="R38" s="188">
        <v>92.5</v>
      </c>
      <c r="S38" s="187">
        <v>76.099999999999994</v>
      </c>
      <c r="T38" s="187">
        <v>-16.399999999999999</v>
      </c>
      <c r="U38" s="186"/>
      <c r="V38" s="188">
        <v>114.4</v>
      </c>
      <c r="W38" s="187">
        <v>110.3</v>
      </c>
      <c r="X38" s="187">
        <v>-4.0999999999999979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>
        <v>45450</v>
      </c>
      <c r="G40" s="470"/>
      <c r="H40" s="470"/>
      <c r="I40" s="471"/>
      <c r="J40" s="469">
        <v>45454</v>
      </c>
      <c r="K40" s="470"/>
      <c r="L40" s="470"/>
      <c r="M40" s="471"/>
      <c r="N40" s="469">
        <v>45456</v>
      </c>
      <c r="O40" s="470"/>
      <c r="P40" s="470"/>
      <c r="Q40" s="471"/>
      <c r="R40" s="469">
        <v>45459</v>
      </c>
      <c r="S40" s="470"/>
      <c r="T40" s="470"/>
      <c r="U40" s="471"/>
      <c r="V40" s="469">
        <v>45462</v>
      </c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97</v>
      </c>
      <c r="K41" s="181" t="s">
        <v>86</v>
      </c>
      <c r="L41" s="180" t="s">
        <v>85</v>
      </c>
      <c r="M41" s="179" t="s">
        <v>92</v>
      </c>
      <c r="N41" s="184" t="s">
        <v>97</v>
      </c>
      <c r="O41" s="181" t="s">
        <v>86</v>
      </c>
      <c r="P41" s="180" t="s">
        <v>85</v>
      </c>
      <c r="Q41" s="179" t="s">
        <v>92</v>
      </c>
      <c r="R41" s="184" t="s">
        <v>97</v>
      </c>
      <c r="S41" s="181" t="s">
        <v>86</v>
      </c>
      <c r="T41" s="180" t="s">
        <v>85</v>
      </c>
      <c r="U41" s="179" t="s">
        <v>92</v>
      </c>
      <c r="V41" s="184" t="s">
        <v>97</v>
      </c>
      <c r="W41" s="181" t="s">
        <v>86</v>
      </c>
      <c r="X41" s="180" t="s">
        <v>85</v>
      </c>
      <c r="Y41" s="179" t="s">
        <v>92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v>0</v>
      </c>
      <c r="M42" s="459"/>
      <c r="N42" s="178">
        <v>0</v>
      </c>
      <c r="O42" s="478">
        <v>0</v>
      </c>
      <c r="P42" s="457">
        <v>0</v>
      </c>
      <c r="Q42" s="459"/>
      <c r="R42" s="178">
        <v>0</v>
      </c>
      <c r="S42" s="478">
        <v>0</v>
      </c>
      <c r="T42" s="457">
        <v>0</v>
      </c>
      <c r="U42" s="459"/>
      <c r="V42" s="178">
        <v>78.900000000000006</v>
      </c>
      <c r="W42" s="478">
        <v>0</v>
      </c>
      <c r="X42" s="457">
        <v>-78.900000000000006</v>
      </c>
      <c r="Y42" s="459" t="s">
        <v>146</v>
      </c>
    </row>
    <row r="43" spans="3:25" ht="16.5" thickBot="1">
      <c r="C43" s="474"/>
      <c r="D43" s="475"/>
      <c r="E43" s="477"/>
      <c r="F43" s="183">
        <v>196.3</v>
      </c>
      <c r="G43" s="479"/>
      <c r="H43" s="480"/>
      <c r="I43" s="481"/>
      <c r="J43" s="183">
        <v>216.2</v>
      </c>
      <c r="K43" s="479"/>
      <c r="L43" s="480"/>
      <c r="M43" s="481"/>
      <c r="N43" s="183">
        <v>217.5</v>
      </c>
      <c r="O43" s="479"/>
      <c r="P43" s="480"/>
      <c r="Q43" s="481"/>
      <c r="R43" s="183">
        <v>191</v>
      </c>
      <c r="S43" s="479"/>
      <c r="T43" s="480"/>
      <c r="U43" s="481"/>
      <c r="V43" s="183">
        <v>240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>
        <v>45450</v>
      </c>
      <c r="G45" s="470"/>
      <c r="H45" s="470"/>
      <c r="I45" s="471"/>
      <c r="J45" s="469">
        <v>45454</v>
      </c>
      <c r="K45" s="470"/>
      <c r="L45" s="470"/>
      <c r="M45" s="471"/>
      <c r="N45" s="469">
        <v>45456</v>
      </c>
      <c r="O45" s="470"/>
      <c r="P45" s="470"/>
      <c r="Q45" s="471"/>
      <c r="R45" s="469">
        <v>45459</v>
      </c>
      <c r="S45" s="470"/>
      <c r="T45" s="470"/>
      <c r="U45" s="471"/>
      <c r="V45" s="469">
        <v>45462</v>
      </c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93</v>
      </c>
      <c r="K46" s="181" t="s">
        <v>86</v>
      </c>
      <c r="L46" s="180" t="s">
        <v>85</v>
      </c>
      <c r="M46" s="179" t="s">
        <v>92</v>
      </c>
      <c r="N46" s="171" t="s">
        <v>93</v>
      </c>
      <c r="O46" s="181" t="s">
        <v>86</v>
      </c>
      <c r="P46" s="180" t="s">
        <v>85</v>
      </c>
      <c r="Q46" s="179" t="s">
        <v>92</v>
      </c>
      <c r="R46" s="171" t="s">
        <v>93</v>
      </c>
      <c r="S46" s="181" t="s">
        <v>86</v>
      </c>
      <c r="T46" s="180" t="s">
        <v>85</v>
      </c>
      <c r="U46" s="179" t="s">
        <v>92</v>
      </c>
      <c r="V46" s="171" t="s">
        <v>93</v>
      </c>
      <c r="W46" s="181" t="s">
        <v>86</v>
      </c>
      <c r="X46" s="180" t="s">
        <v>85</v>
      </c>
      <c r="Y46" s="179" t="s">
        <v>92</v>
      </c>
    </row>
    <row r="47" spans="3:25" ht="16">
      <c r="C47" s="444"/>
      <c r="D47" s="483"/>
      <c r="E47" s="488" t="s">
        <v>91</v>
      </c>
      <c r="F47" s="178">
        <v>24.2</v>
      </c>
      <c r="G47" s="478">
        <v>31.2</v>
      </c>
      <c r="H47" s="457">
        <v>7</v>
      </c>
      <c r="I47" s="459" t="s">
        <v>149</v>
      </c>
      <c r="J47" s="178">
        <v>28.2</v>
      </c>
      <c r="K47" s="478">
        <v>32.700000000000003</v>
      </c>
      <c r="L47" s="457">
        <v>4.5000000000000036</v>
      </c>
      <c r="M47" s="459" t="s">
        <v>149</v>
      </c>
      <c r="N47" s="178">
        <v>28.2</v>
      </c>
      <c r="O47" s="478">
        <v>31.2</v>
      </c>
      <c r="P47" s="457">
        <v>3</v>
      </c>
      <c r="Q47" s="459" t="s">
        <v>149</v>
      </c>
      <c r="R47" s="178">
        <v>26.9</v>
      </c>
      <c r="S47" s="478">
        <v>28.3</v>
      </c>
      <c r="T47" s="457">
        <v>1.4000000000000021</v>
      </c>
      <c r="U47" s="459" t="s">
        <v>149</v>
      </c>
      <c r="V47" s="178">
        <v>26.9</v>
      </c>
      <c r="W47" s="478">
        <v>31.2</v>
      </c>
      <c r="X47" s="457">
        <v>4.3000000000000007</v>
      </c>
      <c r="Y47" s="459" t="s">
        <v>149</v>
      </c>
    </row>
    <row r="48" spans="3:25" ht="16.5" thickBot="1">
      <c r="C48" s="486"/>
      <c r="D48" s="487"/>
      <c r="E48" s="489"/>
      <c r="F48" s="177">
        <v>0.56999999999999995</v>
      </c>
      <c r="G48" s="479"/>
      <c r="H48" s="480"/>
      <c r="I48" s="481"/>
      <c r="J48" s="177">
        <v>0.6</v>
      </c>
      <c r="K48" s="479"/>
      <c r="L48" s="480"/>
      <c r="M48" s="481"/>
      <c r="N48" s="177">
        <v>0.6</v>
      </c>
      <c r="O48" s="479"/>
      <c r="P48" s="480"/>
      <c r="Q48" s="481"/>
      <c r="R48" s="177">
        <v>0.63</v>
      </c>
      <c r="S48" s="479"/>
      <c r="T48" s="480"/>
      <c r="U48" s="481"/>
      <c r="V48" s="177">
        <v>0.63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>
        <v>45450</v>
      </c>
      <c r="G50" s="470"/>
      <c r="H50" s="470"/>
      <c r="I50" s="471"/>
      <c r="J50" s="469">
        <v>45454</v>
      </c>
      <c r="K50" s="470"/>
      <c r="L50" s="470"/>
      <c r="M50" s="471"/>
      <c r="N50" s="469">
        <v>45456</v>
      </c>
      <c r="O50" s="470"/>
      <c r="P50" s="470"/>
      <c r="Q50" s="471"/>
      <c r="R50" s="469">
        <v>45459</v>
      </c>
      <c r="S50" s="470"/>
      <c r="T50" s="470"/>
      <c r="U50" s="471"/>
      <c r="V50" s="469">
        <v>45462</v>
      </c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87</v>
      </c>
      <c r="K51" s="170" t="s">
        <v>86</v>
      </c>
      <c r="L51" s="169" t="s">
        <v>85</v>
      </c>
      <c r="M51" s="168" t="s">
        <v>84</v>
      </c>
      <c r="N51" s="171" t="s">
        <v>87</v>
      </c>
      <c r="O51" s="170" t="s">
        <v>86</v>
      </c>
      <c r="P51" s="169" t="s">
        <v>85</v>
      </c>
      <c r="Q51" s="168" t="s">
        <v>84</v>
      </c>
      <c r="R51" s="171" t="s">
        <v>87</v>
      </c>
      <c r="S51" s="170" t="s">
        <v>86</v>
      </c>
      <c r="T51" s="169" t="s">
        <v>85</v>
      </c>
      <c r="U51" s="168" t="s">
        <v>84</v>
      </c>
      <c r="V51" s="171" t="s">
        <v>87</v>
      </c>
      <c r="W51" s="170" t="s">
        <v>86</v>
      </c>
      <c r="X51" s="169" t="s">
        <v>85</v>
      </c>
      <c r="Y51" s="168" t="s">
        <v>84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v>0</v>
      </c>
      <c r="M52" s="163" t="s">
        <v>81</v>
      </c>
      <c r="N52" s="166">
        <v>0</v>
      </c>
      <c r="O52" s="165">
        <v>0</v>
      </c>
      <c r="P52" s="164">
        <v>0</v>
      </c>
      <c r="Q52" s="163" t="s">
        <v>81</v>
      </c>
      <c r="R52" s="166">
        <v>0</v>
      </c>
      <c r="S52" s="165">
        <v>0</v>
      </c>
      <c r="T52" s="164">
        <v>0</v>
      </c>
      <c r="U52" s="163" t="s">
        <v>81</v>
      </c>
      <c r="V52" s="166">
        <v>0</v>
      </c>
      <c r="W52" s="165">
        <v>0</v>
      </c>
      <c r="X52" s="164">
        <v>0</v>
      </c>
      <c r="Y52" s="163" t="s">
        <v>81</v>
      </c>
    </row>
    <row r="53" spans="1:25" ht="16.5" thickBot="1">
      <c r="C53" s="484"/>
      <c r="D53" s="485"/>
      <c r="E53" s="226" t="s">
        <v>82</v>
      </c>
      <c r="F53" s="225">
        <v>0</v>
      </c>
      <c r="G53" s="224">
        <v>25.2</v>
      </c>
      <c r="H53" s="223" t="s">
        <v>81</v>
      </c>
      <c r="I53" s="222" t="s">
        <v>152</v>
      </c>
      <c r="J53" s="225">
        <v>0</v>
      </c>
      <c r="K53" s="224">
        <v>25.4</v>
      </c>
      <c r="L53" s="223" t="s">
        <v>81</v>
      </c>
      <c r="M53" s="222" t="s">
        <v>152</v>
      </c>
      <c r="N53" s="225">
        <v>0</v>
      </c>
      <c r="O53" s="224">
        <v>25.2</v>
      </c>
      <c r="P53" s="223" t="s">
        <v>81</v>
      </c>
      <c r="Q53" s="222" t="s">
        <v>153</v>
      </c>
      <c r="R53" s="225">
        <v>0</v>
      </c>
      <c r="S53" s="224">
        <v>26.1</v>
      </c>
      <c r="T53" s="223" t="s">
        <v>81</v>
      </c>
      <c r="U53" s="222" t="s">
        <v>153</v>
      </c>
      <c r="V53" s="225">
        <v>0</v>
      </c>
      <c r="W53" s="224">
        <v>26.5</v>
      </c>
      <c r="X53" s="223" t="s">
        <v>81</v>
      </c>
      <c r="Y53" s="222" t="s">
        <v>153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1254-A296-4413-A29B-8A197B419365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0" t="s">
        <v>143</v>
      </c>
      <c r="J2" s="23"/>
      <c r="K2" s="23"/>
      <c r="L2" s="23"/>
      <c r="M2" s="220"/>
      <c r="N2" s="23"/>
      <c r="O2" s="23"/>
      <c r="P2" s="23"/>
      <c r="Q2" s="22"/>
      <c r="Y2" s="220"/>
    </row>
    <row r="3" spans="3:25" ht="17" thickTop="1" thickBot="1">
      <c r="C3" s="435" t="s">
        <v>142</v>
      </c>
      <c r="D3" s="436"/>
      <c r="E3" s="437"/>
      <c r="F3" s="417">
        <v>45464</v>
      </c>
      <c r="G3" s="418"/>
      <c r="H3" s="418"/>
      <c r="I3" s="419"/>
      <c r="M3" s="1"/>
      <c r="Q3" s="1"/>
      <c r="U3" s="1"/>
      <c r="Y3" s="1"/>
    </row>
    <row r="4" spans="3:25" ht="16">
      <c r="C4" s="421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M4" s="1"/>
      <c r="Q4" s="1"/>
      <c r="U4" s="1"/>
      <c r="Y4" s="1"/>
    </row>
    <row r="5" spans="3:25" ht="16">
      <c r="C5" s="422"/>
      <c r="D5" s="425" t="s">
        <v>138</v>
      </c>
      <c r="E5" s="211" t="s">
        <v>137</v>
      </c>
      <c r="F5" s="166">
        <v>32.700000000000003</v>
      </c>
      <c r="G5" s="165">
        <v>32.700000000000003</v>
      </c>
      <c r="H5" s="164">
        <v>0</v>
      </c>
      <c r="I5" s="219"/>
      <c r="M5" s="1"/>
      <c r="Q5" s="1"/>
      <c r="U5" s="1"/>
      <c r="Y5" s="1"/>
    </row>
    <row r="6" spans="3:25" ht="16">
      <c r="C6" s="422"/>
      <c r="D6" s="426"/>
      <c r="E6" s="211" t="s">
        <v>136</v>
      </c>
      <c r="F6" s="166">
        <v>17.5</v>
      </c>
      <c r="G6" s="165">
        <v>33.700000000000003</v>
      </c>
      <c r="H6" s="164">
        <v>16.200000000000003</v>
      </c>
      <c r="I6" s="189" t="s">
        <v>145</v>
      </c>
      <c r="M6" s="1"/>
      <c r="Q6" s="1"/>
      <c r="U6" s="1"/>
      <c r="Y6" s="1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M7" s="1"/>
      <c r="Q7" s="1"/>
      <c r="U7" s="1"/>
      <c r="Y7" s="1"/>
    </row>
    <row r="8" spans="3:25" ht="16">
      <c r="C8" s="423"/>
      <c r="D8" s="426"/>
      <c r="E8" s="218" t="s">
        <v>133</v>
      </c>
      <c r="F8" s="217">
        <v>58.800000000000004</v>
      </c>
      <c r="G8" s="216">
        <v>58.800000000000004</v>
      </c>
      <c r="H8" s="215">
        <v>0</v>
      </c>
      <c r="I8" s="214"/>
      <c r="M8" s="1"/>
      <c r="Q8" s="1"/>
      <c r="U8" s="1"/>
      <c r="Y8" s="1"/>
    </row>
    <row r="9" spans="3:25" ht="16.5" thickBot="1">
      <c r="C9" s="424"/>
      <c r="D9" s="427" t="s">
        <v>101</v>
      </c>
      <c r="E9" s="428"/>
      <c r="F9" s="188">
        <v>109</v>
      </c>
      <c r="G9" s="187">
        <v>125.20000000000002</v>
      </c>
      <c r="H9" s="187">
        <v>16.200000000000003</v>
      </c>
      <c r="I9" s="213" t="s">
        <v>81</v>
      </c>
      <c r="M9" s="1"/>
      <c r="Q9" s="1"/>
      <c r="U9" s="1"/>
      <c r="Y9" s="1"/>
    </row>
    <row r="10" spans="3:25" ht="15.5" thickBot="1">
      <c r="C10" s="227"/>
      <c r="D10" s="174"/>
      <c r="E10" s="174"/>
      <c r="F10" s="174"/>
      <c r="G10" s="174"/>
      <c r="H10" s="174"/>
      <c r="I10" s="175"/>
      <c r="M10" s="1"/>
      <c r="Q10" s="1"/>
      <c r="U10" s="1"/>
      <c r="Y10" s="1"/>
    </row>
    <row r="11" spans="3:25" ht="16.5" thickBot="1">
      <c r="C11" s="429" t="s">
        <v>132</v>
      </c>
      <c r="D11" s="430"/>
      <c r="E11" s="431"/>
      <c r="F11" s="432">
        <v>45464</v>
      </c>
      <c r="G11" s="433"/>
      <c r="H11" s="433"/>
      <c r="I11" s="434"/>
      <c r="M11" s="1"/>
      <c r="Q11" s="1"/>
      <c r="U11" s="1"/>
      <c r="Y11" s="1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M12" s="1"/>
      <c r="Q12" s="1"/>
      <c r="U12" s="1"/>
      <c r="Y12" s="1"/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v>0</v>
      </c>
      <c r="I13" s="189"/>
      <c r="M13" s="1"/>
      <c r="Q13" s="1"/>
      <c r="U13" s="1"/>
      <c r="Y13" s="1"/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v>0</v>
      </c>
      <c r="I14" s="189"/>
      <c r="M14" s="1"/>
      <c r="Q14" s="1"/>
      <c r="U14" s="1"/>
      <c r="Y14" s="1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v>0</v>
      </c>
      <c r="I15" s="189"/>
      <c r="M15" s="1"/>
      <c r="Q15" s="1"/>
      <c r="U15" s="1"/>
      <c r="Y15" s="1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v>0</v>
      </c>
      <c r="I16" s="189"/>
      <c r="M16" s="1"/>
      <c r="Q16" s="1"/>
      <c r="U16" s="1"/>
      <c r="Y16" s="1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v>0</v>
      </c>
      <c r="I17" s="212"/>
      <c r="M17" s="1"/>
      <c r="Q17" s="1"/>
      <c r="U17" s="1"/>
      <c r="Y17" s="1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v>34</v>
      </c>
      <c r="I18" s="189" t="s">
        <v>149</v>
      </c>
      <c r="M18" s="1"/>
      <c r="Q18" s="1"/>
      <c r="U18" s="1"/>
      <c r="Y18" s="1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v>0</v>
      </c>
      <c r="I19" s="189"/>
      <c r="M19" s="1"/>
      <c r="Q19" s="1"/>
      <c r="U19" s="1"/>
      <c r="Y19" s="1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v>0</v>
      </c>
      <c r="I20" s="189"/>
      <c r="M20" s="1"/>
      <c r="Q20" s="1"/>
      <c r="U20" s="1"/>
      <c r="Y20" s="1"/>
    </row>
    <row r="21" spans="3:25" ht="16.5" thickBot="1">
      <c r="C21" s="441"/>
      <c r="D21" s="427" t="s">
        <v>101</v>
      </c>
      <c r="E21" s="428"/>
      <c r="F21" s="188">
        <v>-253.2</v>
      </c>
      <c r="G21" s="187">
        <v>-219.2</v>
      </c>
      <c r="H21" s="187">
        <v>34</v>
      </c>
      <c r="I21" s="186" t="s">
        <v>81</v>
      </c>
      <c r="M21" s="1"/>
      <c r="Q21" s="1"/>
      <c r="U21" s="1"/>
      <c r="Y21" s="1"/>
    </row>
    <row r="22" spans="3:25" ht="15.5" thickBot="1">
      <c r="C22" s="227"/>
      <c r="D22" s="174"/>
      <c r="E22" s="174"/>
      <c r="F22" s="174"/>
      <c r="G22" s="174"/>
      <c r="H22" s="174"/>
      <c r="I22" s="175"/>
      <c r="M22" s="1"/>
      <c r="Q22" s="1"/>
      <c r="U22" s="1"/>
      <c r="Y22" s="1"/>
    </row>
    <row r="23" spans="3:25" ht="16.5" thickBot="1">
      <c r="C23" s="429" t="s">
        <v>120</v>
      </c>
      <c r="D23" s="430"/>
      <c r="E23" s="431"/>
      <c r="F23" s="432">
        <v>45464</v>
      </c>
      <c r="G23" s="433"/>
      <c r="H23" s="433"/>
      <c r="I23" s="434"/>
      <c r="M23" s="1"/>
      <c r="Q23" s="1"/>
      <c r="U23" s="1"/>
      <c r="Y23" s="1"/>
    </row>
    <row r="24" spans="3:25" ht="16">
      <c r="C24" s="473" t="s">
        <v>119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M24" s="1"/>
      <c r="Q24" s="1"/>
      <c r="U24" s="1"/>
      <c r="Y24" s="1"/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v>0</v>
      </c>
      <c r="I25" s="206"/>
      <c r="M25" s="1"/>
      <c r="Q25" s="1"/>
      <c r="U25" s="1"/>
      <c r="Y25" s="1"/>
    </row>
    <row r="26" spans="3:25" ht="15.5" thickBot="1">
      <c r="C26" s="227"/>
      <c r="D26" s="174"/>
      <c r="E26" s="174"/>
      <c r="F26" s="174"/>
      <c r="G26" s="174"/>
      <c r="H26" s="174"/>
      <c r="I26" s="175"/>
      <c r="M26" s="1"/>
      <c r="Q26" s="1"/>
      <c r="U26" s="1"/>
      <c r="Y26" s="1"/>
    </row>
    <row r="27" spans="3:25" ht="16.5" thickBot="1">
      <c r="C27" s="429" t="s">
        <v>116</v>
      </c>
      <c r="D27" s="430"/>
      <c r="E27" s="431"/>
      <c r="F27" s="432">
        <v>45464</v>
      </c>
      <c r="G27" s="433"/>
      <c r="H27" s="433"/>
      <c r="I27" s="434"/>
      <c r="M27" s="1"/>
      <c r="Q27" s="1"/>
      <c r="U27" s="1"/>
      <c r="Y27" s="1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M28" s="1"/>
      <c r="Q28" s="1"/>
      <c r="U28" s="1"/>
      <c r="Y28" s="1"/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v>0</v>
      </c>
      <c r="I29" s="459"/>
      <c r="M29" s="1"/>
      <c r="Q29" s="1"/>
      <c r="U29" s="1"/>
      <c r="Y29" s="1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M30" s="1"/>
      <c r="Q30" s="1"/>
      <c r="U30" s="1"/>
      <c r="Y30" s="1"/>
    </row>
    <row r="31" spans="3:25" ht="16">
      <c r="C31" s="451"/>
      <c r="D31" s="443"/>
      <c r="E31" s="453" t="s">
        <v>109</v>
      </c>
      <c r="F31" s="200">
        <v>27.2</v>
      </c>
      <c r="G31" s="455">
        <v>27.2</v>
      </c>
      <c r="H31" s="457">
        <v>0</v>
      </c>
      <c r="I31" s="459"/>
      <c r="M31" s="1"/>
      <c r="Q31" s="1"/>
      <c r="U31" s="1"/>
      <c r="Y31" s="1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M32" s="1"/>
      <c r="Q32" s="1"/>
      <c r="U32" s="1"/>
      <c r="Y32" s="1"/>
    </row>
    <row r="33" spans="3:25" ht="16">
      <c r="C33" s="451"/>
      <c r="D33" s="466" t="s">
        <v>107</v>
      </c>
      <c r="E33" s="201" t="s">
        <v>106</v>
      </c>
      <c r="F33" s="200">
        <v>33.4</v>
      </c>
      <c r="G33" s="199">
        <v>36.9</v>
      </c>
      <c r="H33" s="457">
        <v>3.5</v>
      </c>
      <c r="I33" s="459" t="s">
        <v>148</v>
      </c>
      <c r="M33" s="1"/>
      <c r="Q33" s="1"/>
      <c r="U33" s="1"/>
      <c r="Y33" s="1"/>
    </row>
    <row r="34" spans="3:25" ht="16">
      <c r="C34" s="451"/>
      <c r="D34" s="467"/>
      <c r="E34" s="463" t="s">
        <v>104</v>
      </c>
      <c r="F34" s="198">
        <v>0.23</v>
      </c>
      <c r="G34" s="197">
        <v>0.25</v>
      </c>
      <c r="H34" s="458"/>
      <c r="I34" s="460"/>
      <c r="M34" s="1"/>
      <c r="Q34" s="1"/>
      <c r="U34" s="1"/>
      <c r="Y34" s="1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M35" s="1"/>
      <c r="Q35" s="1"/>
      <c r="U35" s="1"/>
      <c r="Y35" s="1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M36" s="1"/>
      <c r="Q36" s="1"/>
      <c r="U36" s="1"/>
      <c r="Y36" s="1"/>
    </row>
    <row r="37" spans="3:25" ht="16">
      <c r="C37" s="451"/>
      <c r="D37" s="467"/>
      <c r="E37" s="190" t="s">
        <v>103</v>
      </c>
      <c r="F37" s="166">
        <v>10</v>
      </c>
      <c r="G37" s="165">
        <v>0.3</v>
      </c>
      <c r="H37" s="164">
        <v>-9.6999999999999993</v>
      </c>
      <c r="I37" s="189" t="s">
        <v>147</v>
      </c>
      <c r="M37" s="1"/>
      <c r="Q37" s="1"/>
      <c r="U37" s="1"/>
      <c r="Y37" s="1"/>
    </row>
    <row r="38" spans="3:25" ht="16.5" thickBot="1">
      <c r="C38" s="452"/>
      <c r="D38" s="427" t="s">
        <v>101</v>
      </c>
      <c r="E38" s="428"/>
      <c r="F38" s="188">
        <v>114.4</v>
      </c>
      <c r="G38" s="187">
        <v>108.2</v>
      </c>
      <c r="H38" s="187">
        <v>-6.1999999999999993</v>
      </c>
      <c r="I38" s="186"/>
      <c r="M38" s="1"/>
      <c r="Q38" s="1"/>
      <c r="U38" s="1"/>
      <c r="Y38" s="1"/>
    </row>
    <row r="39" spans="3:25" ht="15.5" thickBot="1">
      <c r="C39" s="227"/>
      <c r="D39" s="174"/>
      <c r="E39" s="174"/>
      <c r="F39" s="174"/>
      <c r="G39" s="174"/>
      <c r="H39" s="174"/>
      <c r="I39" s="175"/>
      <c r="M39" s="1"/>
      <c r="Q39" s="1"/>
      <c r="U39" s="1"/>
      <c r="Y39" s="1"/>
    </row>
    <row r="40" spans="3:25" ht="16.5" thickBot="1">
      <c r="C40" s="429" t="s">
        <v>100</v>
      </c>
      <c r="D40" s="430"/>
      <c r="E40" s="431"/>
      <c r="F40" s="469">
        <v>45464</v>
      </c>
      <c r="G40" s="470"/>
      <c r="H40" s="470"/>
      <c r="I40" s="471"/>
      <c r="M40" s="1"/>
      <c r="Q40" s="1"/>
      <c r="U40" s="1"/>
      <c r="Y40" s="1"/>
    </row>
    <row r="41" spans="3:25" ht="42" customHeight="1">
      <c r="C41" s="473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M41" s="1"/>
      <c r="Q41" s="1"/>
      <c r="U41" s="1"/>
      <c r="Y41" s="1"/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M42" s="1"/>
      <c r="Q42" s="1"/>
      <c r="U42" s="1"/>
      <c r="Y42" s="1"/>
    </row>
    <row r="43" spans="3:25" ht="16.5" thickBot="1">
      <c r="C43" s="474"/>
      <c r="D43" s="475"/>
      <c r="E43" s="477"/>
      <c r="F43" s="183">
        <v>240</v>
      </c>
      <c r="G43" s="479"/>
      <c r="H43" s="480"/>
      <c r="I43" s="481"/>
      <c r="M43" s="1"/>
      <c r="Q43" s="1"/>
      <c r="U43" s="1"/>
      <c r="Y43" s="1"/>
    </row>
    <row r="44" spans="3:25" ht="15.5" thickBot="1">
      <c r="C44" s="227"/>
      <c r="D44" s="174"/>
      <c r="E44" s="174"/>
      <c r="F44" s="174"/>
      <c r="G44" s="174"/>
      <c r="H44" s="174"/>
      <c r="I44" s="175"/>
      <c r="M44" s="1"/>
      <c r="Q44" s="1"/>
      <c r="U44" s="1"/>
      <c r="Y44" s="1"/>
    </row>
    <row r="45" spans="3:25" ht="16.5" thickBot="1">
      <c r="C45" s="429" t="s">
        <v>94</v>
      </c>
      <c r="D45" s="430"/>
      <c r="E45" s="431"/>
      <c r="F45" s="469">
        <v>45464</v>
      </c>
      <c r="G45" s="470"/>
      <c r="H45" s="470"/>
      <c r="I45" s="471"/>
      <c r="M45" s="1"/>
      <c r="Q45" s="1"/>
      <c r="U45" s="1"/>
      <c r="Y45" s="1"/>
    </row>
    <row r="46" spans="3:25" ht="42.75" customHeight="1">
      <c r="C46" s="444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M46" s="1"/>
      <c r="Q46" s="1"/>
      <c r="U46" s="1"/>
      <c r="Y46" s="1"/>
    </row>
    <row r="47" spans="3:25" ht="16">
      <c r="C47" s="444"/>
      <c r="D47" s="483"/>
      <c r="E47" s="488" t="s">
        <v>91</v>
      </c>
      <c r="F47" s="178">
        <v>34.5</v>
      </c>
      <c r="G47" s="478">
        <v>40.299999999999997</v>
      </c>
      <c r="H47" s="457">
        <v>5.7999999999999972</v>
      </c>
      <c r="I47" s="459" t="s">
        <v>149</v>
      </c>
      <c r="M47" s="1"/>
      <c r="Q47" s="1"/>
      <c r="U47" s="1"/>
      <c r="Y47" s="1"/>
    </row>
    <row r="48" spans="3:25" ht="16.5" thickBot="1">
      <c r="C48" s="486"/>
      <c r="D48" s="487"/>
      <c r="E48" s="489"/>
      <c r="F48" s="177">
        <v>0.63</v>
      </c>
      <c r="G48" s="479"/>
      <c r="H48" s="480"/>
      <c r="I48" s="481"/>
      <c r="M48" s="1"/>
      <c r="Q48" s="1"/>
      <c r="U48" s="1"/>
      <c r="Y48" s="1"/>
    </row>
    <row r="49" spans="1:25" ht="15.5" thickBot="1">
      <c r="C49" s="227"/>
      <c r="D49" s="174"/>
      <c r="E49" s="174"/>
      <c r="F49" s="174"/>
      <c r="G49" s="174"/>
      <c r="H49" s="174"/>
      <c r="I49" s="175"/>
      <c r="M49" s="1"/>
      <c r="Q49" s="1"/>
      <c r="U49" s="1"/>
      <c r="Y49" s="1"/>
    </row>
    <row r="50" spans="1:25" ht="16.5" thickBot="1">
      <c r="C50" s="429" t="s">
        <v>89</v>
      </c>
      <c r="D50" s="430"/>
      <c r="E50" s="431"/>
      <c r="F50" s="469">
        <v>45464</v>
      </c>
      <c r="G50" s="470"/>
      <c r="H50" s="470"/>
      <c r="I50" s="471"/>
      <c r="M50" s="1"/>
      <c r="Q50" s="1"/>
      <c r="U50" s="1"/>
      <c r="Y50" s="1"/>
    </row>
    <row r="51" spans="1:25" ht="42.75" customHeight="1">
      <c r="C51" s="444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M51" s="1"/>
      <c r="Q51" s="1"/>
      <c r="U51" s="1"/>
      <c r="Y51" s="1"/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M52" s="1"/>
      <c r="Q52" s="1"/>
      <c r="U52" s="1"/>
      <c r="Y52" s="1"/>
    </row>
    <row r="53" spans="1:25" ht="16.5" thickBot="1">
      <c r="C53" s="484"/>
      <c r="D53" s="485"/>
      <c r="E53" s="226" t="s">
        <v>82</v>
      </c>
      <c r="F53" s="225">
        <v>0</v>
      </c>
      <c r="G53" s="224">
        <v>27.5</v>
      </c>
      <c r="H53" s="223" t="s">
        <v>81</v>
      </c>
      <c r="I53" s="222" t="s">
        <v>153</v>
      </c>
      <c r="M53" s="1"/>
      <c r="Q53" s="1"/>
      <c r="U53" s="1"/>
      <c r="Y53" s="1"/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51">
    <mergeCell ref="H33:H34"/>
    <mergeCell ref="C51:D53"/>
    <mergeCell ref="C46:D48"/>
    <mergeCell ref="E47:E48"/>
    <mergeCell ref="G47:G48"/>
    <mergeCell ref="D33:D37"/>
    <mergeCell ref="D38:E38"/>
    <mergeCell ref="C40:E40"/>
    <mergeCell ref="F40:I40"/>
    <mergeCell ref="C28:C38"/>
    <mergeCell ref="D29:D32"/>
    <mergeCell ref="I33:I34"/>
    <mergeCell ref="E34:E36"/>
    <mergeCell ref="G29:G30"/>
    <mergeCell ref="H29:H30"/>
    <mergeCell ref="I29:I30"/>
    <mergeCell ref="E31:E32"/>
    <mergeCell ref="G31:G32"/>
    <mergeCell ref="H31:H32"/>
    <mergeCell ref="I31:I32"/>
    <mergeCell ref="E29:E30"/>
    <mergeCell ref="I47:I48"/>
    <mergeCell ref="C50:E50"/>
    <mergeCell ref="F50:I50"/>
    <mergeCell ref="C41:D43"/>
    <mergeCell ref="E42:E43"/>
    <mergeCell ref="G42:G43"/>
    <mergeCell ref="H42:H43"/>
    <mergeCell ref="I42:I43"/>
    <mergeCell ref="C45:E45"/>
    <mergeCell ref="F45:I45"/>
    <mergeCell ref="H47:H48"/>
    <mergeCell ref="C23:E23"/>
    <mergeCell ref="F23:I23"/>
    <mergeCell ref="C24:D25"/>
    <mergeCell ref="E24:E25"/>
    <mergeCell ref="C27:E27"/>
    <mergeCell ref="F27:I27"/>
    <mergeCell ref="C11:E11"/>
    <mergeCell ref="F11:I11"/>
    <mergeCell ref="C12:C21"/>
    <mergeCell ref="D13:D14"/>
    <mergeCell ref="D15:D16"/>
    <mergeCell ref="D17:D20"/>
    <mergeCell ref="D21:E21"/>
    <mergeCell ref="C3:E3"/>
    <mergeCell ref="F3:I3"/>
    <mergeCell ref="C4:C9"/>
    <mergeCell ref="D5:D6"/>
    <mergeCell ref="D7:D8"/>
    <mergeCell ref="D9:E9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&amp;"メイリオ,ボールド"&amp;22日別の優先給電ルールに基づく抑制、調整状況（2024年6月）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8F43-502A-4A3B-9DC2-B7239DC9EF67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45536</v>
      </c>
      <c r="G3" s="96" t="s">
        <v>58</v>
      </c>
      <c r="H3" s="25">
        <v>45543</v>
      </c>
      <c r="I3" s="26" t="s">
        <v>59</v>
      </c>
      <c r="J3" s="25">
        <v>45559</v>
      </c>
      <c r="K3" s="26" t="s">
        <v>60</v>
      </c>
      <c r="L3" s="25">
        <v>45559</v>
      </c>
      <c r="M3" s="26" t="s">
        <v>58</v>
      </c>
      <c r="N3" s="25">
        <v>45561</v>
      </c>
      <c r="O3" s="26" t="s">
        <v>60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61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82</v>
      </c>
      <c r="G5" s="381" t="s">
        <v>45</v>
      </c>
      <c r="H5" s="9">
        <v>79.2</v>
      </c>
      <c r="I5" s="384" t="s">
        <v>45</v>
      </c>
      <c r="J5" s="9">
        <v>151.4</v>
      </c>
      <c r="K5" s="384" t="s">
        <v>45</v>
      </c>
      <c r="L5" s="9">
        <v>124</v>
      </c>
      <c r="M5" s="384" t="s">
        <v>45</v>
      </c>
      <c r="N5" s="9">
        <v>222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140.1</v>
      </c>
      <c r="G6" s="382"/>
      <c r="H6" s="10">
        <v>146.9</v>
      </c>
      <c r="I6" s="385"/>
      <c r="J6" s="10">
        <v>149.80000000000001</v>
      </c>
      <c r="K6" s="385"/>
      <c r="L6" s="10">
        <v>148.19999999999999</v>
      </c>
      <c r="M6" s="385"/>
      <c r="N6" s="10">
        <v>147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384.6</v>
      </c>
      <c r="G7" s="382"/>
      <c r="H7" s="28">
        <v>409.5</v>
      </c>
      <c r="I7" s="385"/>
      <c r="J7" s="28">
        <v>316</v>
      </c>
      <c r="K7" s="385"/>
      <c r="L7" s="28">
        <v>318.60000000000002</v>
      </c>
      <c r="M7" s="385"/>
      <c r="N7" s="28">
        <v>319.5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81.099999999999994</v>
      </c>
      <c r="G8" s="382"/>
      <c r="H8" s="29">
        <v>56.200000000000315</v>
      </c>
      <c r="I8" s="385"/>
      <c r="J8" s="29">
        <v>74.699999999999733</v>
      </c>
      <c r="K8" s="385"/>
      <c r="L8" s="29">
        <v>60.3</v>
      </c>
      <c r="M8" s="385"/>
      <c r="N8" s="29">
        <v>53.3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16.100000000000001</v>
      </c>
      <c r="G9" s="382"/>
      <c r="H9" s="30">
        <v>16.2</v>
      </c>
      <c r="I9" s="385"/>
      <c r="J9" s="30">
        <v>16</v>
      </c>
      <c r="K9" s="385"/>
      <c r="L9" s="30">
        <v>15.9</v>
      </c>
      <c r="M9" s="385"/>
      <c r="N9" s="30">
        <v>15.6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32.6</v>
      </c>
      <c r="G10" s="382"/>
      <c r="H10" s="11">
        <v>31.1</v>
      </c>
      <c r="I10" s="385"/>
      <c r="J10" s="11">
        <v>52.4</v>
      </c>
      <c r="K10" s="385"/>
      <c r="L10" s="11">
        <v>53.3</v>
      </c>
      <c r="M10" s="385"/>
      <c r="N10" s="11">
        <v>38.1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24.5</v>
      </c>
      <c r="G11" s="382"/>
      <c r="H11" s="12">
        <v>24.3</v>
      </c>
      <c r="I11" s="385"/>
      <c r="J11" s="12">
        <v>24.6</v>
      </c>
      <c r="K11" s="385"/>
      <c r="L11" s="12">
        <v>24.6</v>
      </c>
      <c r="M11" s="385"/>
      <c r="N11" s="12">
        <v>24.3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901.5</v>
      </c>
      <c r="G12" s="382"/>
      <c r="H12" s="13">
        <v>798.6</v>
      </c>
      <c r="I12" s="385"/>
      <c r="J12" s="13">
        <v>812.2</v>
      </c>
      <c r="K12" s="385"/>
      <c r="L12" s="13">
        <v>797.6</v>
      </c>
      <c r="M12" s="385"/>
      <c r="N12" s="13">
        <v>863</v>
      </c>
      <c r="O12" s="385"/>
    </row>
    <row r="13" spans="2:15" ht="16">
      <c r="B13" s="376"/>
      <c r="C13" s="379"/>
      <c r="D13" s="388"/>
      <c r="E13" s="45" t="s">
        <v>27</v>
      </c>
      <c r="F13" s="106">
        <v>4.5</v>
      </c>
      <c r="G13" s="382"/>
      <c r="H13" s="13">
        <v>4.0999999999999996</v>
      </c>
      <c r="I13" s="385"/>
      <c r="J13" s="13">
        <v>12.2</v>
      </c>
      <c r="K13" s="385"/>
      <c r="L13" s="13">
        <v>11.5</v>
      </c>
      <c r="M13" s="385"/>
      <c r="N13" s="13">
        <v>10.199999999999999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96.3</v>
      </c>
      <c r="G14" s="382"/>
      <c r="H14" s="14">
        <v>87</v>
      </c>
      <c r="I14" s="385"/>
      <c r="J14" s="14">
        <v>108</v>
      </c>
      <c r="K14" s="385"/>
      <c r="L14" s="14">
        <v>96.4</v>
      </c>
      <c r="M14" s="385"/>
      <c r="N14" s="14">
        <v>112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1763.3</v>
      </c>
      <c r="G15" s="382"/>
      <c r="H15" s="15">
        <v>1653.1000000000004</v>
      </c>
      <c r="I15" s="385"/>
      <c r="J15" s="15">
        <v>1717.3</v>
      </c>
      <c r="K15" s="385"/>
      <c r="L15" s="15">
        <v>1650.4</v>
      </c>
      <c r="M15" s="385"/>
      <c r="N15" s="15">
        <v>1805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1185</v>
      </c>
      <c r="G16" s="382"/>
      <c r="H16" s="8">
        <v>1043.9000000000001</v>
      </c>
      <c r="I16" s="385"/>
      <c r="J16" s="8">
        <v>1310.0999999999999</v>
      </c>
      <c r="K16" s="385"/>
      <c r="L16" s="8">
        <v>1195</v>
      </c>
      <c r="M16" s="385"/>
      <c r="N16" s="8">
        <v>1237.5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-219.2</v>
      </c>
      <c r="G17" s="382"/>
      <c r="H17" s="16">
        <v>-219.2</v>
      </c>
      <c r="I17" s="385"/>
      <c r="J17" s="16">
        <v>-167</v>
      </c>
      <c r="K17" s="385"/>
      <c r="L17" s="16">
        <v>-167</v>
      </c>
      <c r="M17" s="385"/>
      <c r="N17" s="16">
        <v>-99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-5</v>
      </c>
      <c r="G18" s="382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-231</v>
      </c>
      <c r="G19" s="382"/>
      <c r="H19" s="18">
        <v>-222</v>
      </c>
      <c r="I19" s="385"/>
      <c r="J19" s="18">
        <v>-242</v>
      </c>
      <c r="K19" s="385"/>
      <c r="L19" s="18">
        <v>-257.89999999999998</v>
      </c>
      <c r="M19" s="385"/>
      <c r="N19" s="18">
        <v>-239.9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-12.1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1640.2</v>
      </c>
      <c r="G21" s="383"/>
      <c r="H21" s="27">
        <v>1489.6000000000001</v>
      </c>
      <c r="I21" s="386"/>
      <c r="J21" s="27">
        <v>1723.6</v>
      </c>
      <c r="K21" s="386"/>
      <c r="L21" s="27">
        <v>1624.4</v>
      </c>
      <c r="M21" s="386"/>
      <c r="N21" s="27">
        <v>1593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61</v>
      </c>
      <c r="M22" s="7"/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1763.3</v>
      </c>
      <c r="G23" s="414"/>
      <c r="H23" s="20">
        <v>1653.1000000000004</v>
      </c>
      <c r="I23" s="400"/>
      <c r="J23" s="20">
        <v>1717.3</v>
      </c>
      <c r="K23" s="400"/>
      <c r="L23" s="20">
        <v>1650.4</v>
      </c>
      <c r="M23" s="400"/>
      <c r="N23" s="20">
        <v>1805</v>
      </c>
      <c r="O23" s="400"/>
    </row>
    <row r="24" spans="2:15" ht="16">
      <c r="B24" s="409"/>
      <c r="C24" s="403" t="s">
        <v>37</v>
      </c>
      <c r="D24" s="404"/>
      <c r="E24" s="405"/>
      <c r="F24" s="21">
        <v>1640.2</v>
      </c>
      <c r="G24" s="415"/>
      <c r="H24" s="21">
        <v>1489.6000000000001</v>
      </c>
      <c r="I24" s="401"/>
      <c r="J24" s="21">
        <v>1723.6</v>
      </c>
      <c r="K24" s="401"/>
      <c r="L24" s="21">
        <v>1624.4</v>
      </c>
      <c r="M24" s="401"/>
      <c r="N24" s="21">
        <v>1593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123.09999999999991</v>
      </c>
      <c r="G25" s="416"/>
      <c r="H25" s="67">
        <v>163.50000000000023</v>
      </c>
      <c r="I25" s="402"/>
      <c r="J25" s="67">
        <v>-6.2999999999999545</v>
      </c>
      <c r="K25" s="402"/>
      <c r="L25" s="67">
        <v>26</v>
      </c>
      <c r="M25" s="402"/>
      <c r="N25" s="67">
        <v>212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日別の需給状況・再エネ出力抑制の必要性（2024年9月）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4A3-8AAE-4395-ADF4-DB3F7E250A8D}">
  <dimension ref="B1:O69"/>
  <sheetViews>
    <sheetView showGridLines="0" view="pageBreakPreview" zoomScale="70" zoomScaleNormal="70" zoomScaleSheetLayoutView="70" zoomScalePageLayoutView="5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G1" s="32" t="s">
        <v>24</v>
      </c>
      <c r="I1" s="32"/>
      <c r="O1" s="32"/>
    </row>
    <row r="2" spans="2:15" ht="16">
      <c r="B2" s="2"/>
      <c r="C2" s="367" t="s">
        <v>0</v>
      </c>
      <c r="D2" s="368"/>
      <c r="E2" s="368"/>
      <c r="F2" s="550" t="s">
        <v>42</v>
      </c>
      <c r="G2" s="366"/>
      <c r="H2" s="555"/>
      <c r="I2" s="555"/>
      <c r="J2" s="555"/>
      <c r="K2" s="555"/>
      <c r="L2" s="555"/>
      <c r="M2" s="555"/>
      <c r="N2" s="555"/>
      <c r="O2" s="555"/>
    </row>
    <row r="3" spans="2:15" ht="16.5" thickBot="1">
      <c r="B3" s="3"/>
      <c r="C3" s="372" t="s">
        <v>3</v>
      </c>
      <c r="D3" s="373"/>
      <c r="E3" s="373"/>
      <c r="F3" s="115">
        <v>45564</v>
      </c>
      <c r="G3" s="26" t="s">
        <v>62</v>
      </c>
      <c r="H3" s="116"/>
      <c r="I3" s="117"/>
      <c r="J3" s="116"/>
      <c r="K3" s="117"/>
      <c r="L3" s="116"/>
      <c r="M3" s="117"/>
      <c r="N3" s="116"/>
      <c r="O3" s="117"/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118"/>
      <c r="I4" s="118"/>
      <c r="J4" s="118"/>
      <c r="K4" s="118"/>
      <c r="L4" s="118"/>
      <c r="M4" s="118"/>
      <c r="N4" s="118"/>
      <c r="O4" s="118"/>
    </row>
    <row r="5" spans="2:15" ht="16.5" customHeight="1">
      <c r="B5" s="375" t="s">
        <v>25</v>
      </c>
      <c r="C5" s="378" t="s">
        <v>8</v>
      </c>
      <c r="D5" s="33" t="s">
        <v>11</v>
      </c>
      <c r="E5" s="119" t="s">
        <v>46</v>
      </c>
      <c r="F5" s="120">
        <v>78.900000000000006</v>
      </c>
      <c r="G5" s="384" t="s">
        <v>45</v>
      </c>
      <c r="H5" s="121"/>
      <c r="I5" s="556"/>
      <c r="J5" s="121"/>
      <c r="K5" s="556"/>
      <c r="L5" s="121"/>
      <c r="M5" s="556"/>
      <c r="N5" s="121"/>
      <c r="O5" s="556"/>
    </row>
    <row r="6" spans="2:15" ht="16">
      <c r="B6" s="376"/>
      <c r="C6" s="379"/>
      <c r="D6" s="34" t="s">
        <v>12</v>
      </c>
      <c r="E6" s="122" t="s">
        <v>47</v>
      </c>
      <c r="F6" s="123">
        <v>136.80000000000001</v>
      </c>
      <c r="G6" s="385"/>
      <c r="H6" s="124"/>
      <c r="I6" s="556"/>
      <c r="J6" s="124"/>
      <c r="K6" s="556"/>
      <c r="L6" s="124"/>
      <c r="M6" s="556"/>
      <c r="N6" s="124"/>
      <c r="O6" s="556"/>
    </row>
    <row r="7" spans="2:15" ht="16">
      <c r="B7" s="376"/>
      <c r="C7" s="379"/>
      <c r="D7" s="35" t="s">
        <v>13</v>
      </c>
      <c r="E7" s="125" t="s">
        <v>5</v>
      </c>
      <c r="F7" s="126">
        <v>319.3</v>
      </c>
      <c r="G7" s="385"/>
      <c r="H7" s="127"/>
      <c r="I7" s="556"/>
      <c r="J7" s="127"/>
      <c r="K7" s="556"/>
      <c r="L7" s="127"/>
      <c r="M7" s="556"/>
      <c r="N7" s="127"/>
      <c r="O7" s="556"/>
    </row>
    <row r="8" spans="2:15" ht="16">
      <c r="B8" s="376"/>
      <c r="C8" s="379"/>
      <c r="D8" s="37" t="s">
        <v>14</v>
      </c>
      <c r="E8" s="128" t="s">
        <v>6</v>
      </c>
      <c r="F8" s="129">
        <v>48.400000000000048</v>
      </c>
      <c r="G8" s="385"/>
      <c r="H8" s="127"/>
      <c r="I8" s="556"/>
      <c r="J8" s="127"/>
      <c r="K8" s="556"/>
      <c r="L8" s="127"/>
      <c r="M8" s="556"/>
      <c r="N8" s="127"/>
      <c r="O8" s="556"/>
    </row>
    <row r="9" spans="2:15" ht="16">
      <c r="B9" s="376"/>
      <c r="C9" s="379"/>
      <c r="D9" s="39" t="s">
        <v>15</v>
      </c>
      <c r="E9" s="130" t="s">
        <v>7</v>
      </c>
      <c r="F9" s="131">
        <v>16</v>
      </c>
      <c r="G9" s="385"/>
      <c r="H9" s="127"/>
      <c r="I9" s="556"/>
      <c r="J9" s="127"/>
      <c r="K9" s="556"/>
      <c r="L9" s="127"/>
      <c r="M9" s="556"/>
      <c r="N9" s="127"/>
      <c r="O9" s="556"/>
    </row>
    <row r="10" spans="2:15" ht="16">
      <c r="B10" s="376"/>
      <c r="C10" s="379"/>
      <c r="D10" s="41" t="s">
        <v>17</v>
      </c>
      <c r="E10" s="132" t="s">
        <v>1</v>
      </c>
      <c r="F10" s="133">
        <v>37.1</v>
      </c>
      <c r="G10" s="385"/>
      <c r="H10" s="121"/>
      <c r="I10" s="556"/>
      <c r="J10" s="121"/>
      <c r="K10" s="556"/>
      <c r="L10" s="121"/>
      <c r="M10" s="556"/>
      <c r="N10" s="121"/>
      <c r="O10" s="556"/>
    </row>
    <row r="11" spans="2:15" ht="16">
      <c r="B11" s="376"/>
      <c r="C11" s="379"/>
      <c r="D11" s="43" t="s">
        <v>16</v>
      </c>
      <c r="E11" s="134" t="s">
        <v>2</v>
      </c>
      <c r="F11" s="135">
        <v>24.3</v>
      </c>
      <c r="G11" s="385"/>
      <c r="H11" s="121"/>
      <c r="I11" s="556"/>
      <c r="J11" s="121"/>
      <c r="K11" s="556"/>
      <c r="L11" s="121"/>
      <c r="M11" s="556"/>
      <c r="N11" s="121"/>
      <c r="O11" s="556"/>
    </row>
    <row r="12" spans="2:15" ht="16">
      <c r="B12" s="376"/>
      <c r="C12" s="379"/>
      <c r="D12" s="387" t="s">
        <v>18</v>
      </c>
      <c r="E12" s="136" t="s">
        <v>26</v>
      </c>
      <c r="F12" s="137">
        <v>753</v>
      </c>
      <c r="G12" s="385"/>
      <c r="H12" s="121"/>
      <c r="I12" s="556"/>
      <c r="J12" s="121"/>
      <c r="K12" s="556"/>
      <c r="L12" s="121"/>
      <c r="M12" s="556"/>
      <c r="N12" s="121"/>
      <c r="O12" s="556"/>
    </row>
    <row r="13" spans="2:15" ht="16">
      <c r="B13" s="376"/>
      <c r="C13" s="379"/>
      <c r="D13" s="388"/>
      <c r="E13" s="136" t="s">
        <v>27</v>
      </c>
      <c r="F13" s="137">
        <v>14.9</v>
      </c>
      <c r="G13" s="385"/>
      <c r="H13" s="121"/>
      <c r="I13" s="556"/>
      <c r="J13" s="121"/>
      <c r="K13" s="556"/>
      <c r="L13" s="121"/>
      <c r="M13" s="556"/>
      <c r="N13" s="121"/>
      <c r="O13" s="556"/>
    </row>
    <row r="14" spans="2:15" ht="16">
      <c r="B14" s="376"/>
      <c r="C14" s="379"/>
      <c r="D14" s="46" t="s">
        <v>19</v>
      </c>
      <c r="E14" s="138" t="s">
        <v>4</v>
      </c>
      <c r="F14" s="139">
        <v>108</v>
      </c>
      <c r="G14" s="385"/>
      <c r="H14" s="121"/>
      <c r="I14" s="556"/>
      <c r="J14" s="121"/>
      <c r="K14" s="556"/>
      <c r="L14" s="121"/>
      <c r="M14" s="556"/>
      <c r="N14" s="121"/>
      <c r="O14" s="556"/>
    </row>
    <row r="15" spans="2:15" ht="16.5" thickBot="1">
      <c r="B15" s="376"/>
      <c r="C15" s="380"/>
      <c r="D15" s="389" t="s">
        <v>28</v>
      </c>
      <c r="E15" s="389"/>
      <c r="F15" s="108">
        <v>1536.7000000000003</v>
      </c>
      <c r="G15" s="385"/>
      <c r="H15" s="140"/>
      <c r="I15" s="556"/>
      <c r="J15" s="140"/>
      <c r="K15" s="556"/>
      <c r="L15" s="140"/>
      <c r="M15" s="556"/>
      <c r="N15" s="140"/>
      <c r="O15" s="556"/>
    </row>
    <row r="16" spans="2:15" ht="17.25" customHeight="1" thickBot="1">
      <c r="B16" s="376"/>
      <c r="C16" s="391" t="s">
        <v>20</v>
      </c>
      <c r="D16" s="48" t="s">
        <v>21</v>
      </c>
      <c r="E16" s="141" t="s">
        <v>29</v>
      </c>
      <c r="F16" s="142">
        <v>1029.8</v>
      </c>
      <c r="G16" s="385"/>
      <c r="H16" s="143"/>
      <c r="I16" s="556"/>
      <c r="J16" s="143"/>
      <c r="K16" s="556"/>
      <c r="L16" s="143"/>
      <c r="M16" s="556"/>
      <c r="N16" s="143"/>
      <c r="O16" s="556"/>
    </row>
    <row r="17" spans="2:15" ht="16.5" customHeight="1">
      <c r="B17" s="376"/>
      <c r="C17" s="392"/>
      <c r="D17" s="394" t="s">
        <v>9</v>
      </c>
      <c r="E17" s="144" t="s">
        <v>30</v>
      </c>
      <c r="F17" s="145">
        <v>-167</v>
      </c>
      <c r="G17" s="385"/>
      <c r="H17" s="121"/>
      <c r="I17" s="556"/>
      <c r="J17" s="121"/>
      <c r="K17" s="556"/>
      <c r="L17" s="121"/>
      <c r="M17" s="556"/>
      <c r="N17" s="121"/>
      <c r="O17" s="556"/>
    </row>
    <row r="18" spans="2:15" ht="16.5" thickBot="1">
      <c r="B18" s="376"/>
      <c r="C18" s="392"/>
      <c r="D18" s="395"/>
      <c r="E18" s="146" t="s">
        <v>31</v>
      </c>
      <c r="F18" s="111">
        <v>-4.5</v>
      </c>
      <c r="G18" s="385"/>
      <c r="H18" s="121"/>
      <c r="I18" s="556"/>
      <c r="J18" s="121"/>
      <c r="K18" s="556"/>
      <c r="L18" s="121"/>
      <c r="M18" s="556"/>
      <c r="N18" s="121"/>
      <c r="O18" s="556"/>
    </row>
    <row r="19" spans="2:15" ht="16.5" customHeight="1">
      <c r="B19" s="376"/>
      <c r="C19" s="392"/>
      <c r="D19" s="396" t="s">
        <v>10</v>
      </c>
      <c r="E19" s="147" t="s">
        <v>32</v>
      </c>
      <c r="F19" s="148">
        <v>-197</v>
      </c>
      <c r="G19" s="385"/>
      <c r="H19" s="121"/>
      <c r="I19" s="556"/>
      <c r="J19" s="121"/>
      <c r="K19" s="556"/>
      <c r="L19" s="121"/>
      <c r="M19" s="556"/>
      <c r="N19" s="121"/>
      <c r="O19" s="556"/>
    </row>
    <row r="20" spans="2:15" ht="16.5" thickBot="1">
      <c r="B20" s="376"/>
      <c r="C20" s="392"/>
      <c r="D20" s="397"/>
      <c r="E20" s="149" t="s">
        <v>33</v>
      </c>
      <c r="F20" s="150">
        <v>0</v>
      </c>
      <c r="G20" s="385"/>
      <c r="H20" s="121"/>
      <c r="I20" s="556"/>
      <c r="J20" s="121"/>
      <c r="K20" s="556"/>
      <c r="L20" s="121"/>
      <c r="M20" s="556"/>
      <c r="N20" s="121"/>
      <c r="O20" s="556"/>
    </row>
    <row r="21" spans="2:15" ht="16.5" thickBot="1">
      <c r="B21" s="377"/>
      <c r="C21" s="393"/>
      <c r="D21" s="398" t="s">
        <v>34</v>
      </c>
      <c r="E21" s="398"/>
      <c r="F21" s="151">
        <v>1398.3</v>
      </c>
      <c r="G21" s="386"/>
      <c r="H21" s="140"/>
      <c r="I21" s="556"/>
      <c r="J21" s="140"/>
      <c r="K21" s="556"/>
      <c r="L21" s="140"/>
      <c r="M21" s="556"/>
      <c r="N21" s="140"/>
      <c r="O21" s="556"/>
    </row>
    <row r="22" spans="2:15" ht="16.5" thickBot="1">
      <c r="B22" s="54"/>
      <c r="C22" s="55"/>
      <c r="D22" s="55"/>
      <c r="E22" s="55"/>
      <c r="F22" s="5" t="s">
        <v>43</v>
      </c>
      <c r="G22" s="7" t="s">
        <v>44</v>
      </c>
      <c r="H22" s="118"/>
      <c r="I22" s="118"/>
      <c r="J22" s="118"/>
      <c r="K22" s="118"/>
      <c r="L22" s="118"/>
      <c r="M22" s="118"/>
      <c r="N22" s="118"/>
      <c r="O22" s="118"/>
    </row>
    <row r="23" spans="2:15" ht="13.15" customHeight="1">
      <c r="B23" s="408" t="s">
        <v>35</v>
      </c>
      <c r="C23" s="411" t="s">
        <v>36</v>
      </c>
      <c r="D23" s="412"/>
      <c r="E23" s="412"/>
      <c r="F23" s="152">
        <v>1536.7000000000003</v>
      </c>
      <c r="G23" s="400"/>
      <c r="H23" s="140"/>
      <c r="I23" s="557"/>
      <c r="J23" s="140"/>
      <c r="K23" s="557"/>
      <c r="L23" s="140"/>
      <c r="M23" s="557"/>
      <c r="N23" s="140"/>
      <c r="O23" s="557"/>
    </row>
    <row r="24" spans="2:15" ht="16">
      <c r="B24" s="409"/>
      <c r="C24" s="403" t="s">
        <v>37</v>
      </c>
      <c r="D24" s="404"/>
      <c r="E24" s="404"/>
      <c r="F24" s="153">
        <v>1398.3</v>
      </c>
      <c r="G24" s="401"/>
      <c r="H24" s="140"/>
      <c r="I24" s="557"/>
      <c r="J24" s="140"/>
      <c r="K24" s="557"/>
      <c r="L24" s="140"/>
      <c r="M24" s="557"/>
      <c r="N24" s="140"/>
      <c r="O24" s="557"/>
    </row>
    <row r="25" spans="2:15" ht="20.149999999999999" customHeight="1" thickBot="1">
      <c r="B25" s="410"/>
      <c r="C25" s="56" t="s">
        <v>38</v>
      </c>
      <c r="D25" s="406" t="s">
        <v>39</v>
      </c>
      <c r="E25" s="406"/>
      <c r="F25" s="154">
        <v>138.40000000000032</v>
      </c>
      <c r="G25" s="402"/>
      <c r="H25" s="155"/>
      <c r="I25" s="557"/>
      <c r="J25" s="155"/>
      <c r="K25" s="557"/>
      <c r="L25" s="155"/>
      <c r="M25" s="557"/>
      <c r="N25" s="155"/>
      <c r="O25" s="557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日別の需給状況・再エネ出力抑制の必要性（2024年9月）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C2F3-8770-4159-AF7B-7227C6DE710F}">
  <sheetPr>
    <pageSetUpPr fitToPage="1"/>
  </sheetPr>
  <dimension ref="A1:Y57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45536</v>
      </c>
      <c r="G3" s="418"/>
      <c r="H3" s="418"/>
      <c r="I3" s="419"/>
      <c r="J3" s="417">
        <v>45543</v>
      </c>
      <c r="K3" s="418"/>
      <c r="L3" s="418"/>
      <c r="M3" s="419"/>
      <c r="N3" s="417">
        <v>45559</v>
      </c>
      <c r="O3" s="418"/>
      <c r="P3" s="418"/>
      <c r="Q3" s="419"/>
      <c r="R3" s="417">
        <v>45559</v>
      </c>
      <c r="S3" s="418"/>
      <c r="T3" s="418"/>
      <c r="U3" s="419"/>
      <c r="V3" s="417">
        <v>45561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f>SUM(G6,-F6)</f>
        <v>0</v>
      </c>
      <c r="I6" s="219"/>
      <c r="J6" s="166">
        <v>8.6999999999999993</v>
      </c>
      <c r="K6" s="165">
        <v>8.6999999999999993</v>
      </c>
      <c r="L6" s="164">
        <f>SUM(K6,-J6)</f>
        <v>0</v>
      </c>
      <c r="M6" s="219"/>
      <c r="N6" s="166">
        <v>8.6999999999999993</v>
      </c>
      <c r="O6" s="165">
        <v>8.6999999999999993</v>
      </c>
      <c r="P6" s="164">
        <f>SUM(O6,-N6)</f>
        <v>0</v>
      </c>
      <c r="Q6" s="219"/>
      <c r="R6" s="166">
        <v>8.6999999999999993</v>
      </c>
      <c r="S6" s="165">
        <v>8.6999999999999993</v>
      </c>
      <c r="T6" s="164">
        <f>SUM(S6,-R6)</f>
        <v>0</v>
      </c>
      <c r="U6" s="219"/>
      <c r="V6" s="166">
        <v>8.6999999999999993</v>
      </c>
      <c r="W6" s="165">
        <v>8.6999999999999993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60.900000000000006</v>
      </c>
      <c r="G8" s="216">
        <v>60.900000000000006</v>
      </c>
      <c r="H8" s="215">
        <f>SUM(G8,-F8)</f>
        <v>0</v>
      </c>
      <c r="I8" s="214"/>
      <c r="J8" s="217">
        <v>58.1</v>
      </c>
      <c r="K8" s="216">
        <v>58.1</v>
      </c>
      <c r="L8" s="215">
        <f>SUM(K8,-J8)</f>
        <v>0</v>
      </c>
      <c r="M8" s="214"/>
      <c r="N8" s="217">
        <v>63.400000000000006</v>
      </c>
      <c r="O8" s="216">
        <v>130.29999999999998</v>
      </c>
      <c r="P8" s="215">
        <f>SUM(O8,-N8)</f>
        <v>66.899999999999977</v>
      </c>
      <c r="Q8" s="214" t="s">
        <v>148</v>
      </c>
      <c r="R8" s="217">
        <v>63.400000000000006</v>
      </c>
      <c r="S8" s="216">
        <v>126.8</v>
      </c>
      <c r="T8" s="215">
        <f>SUM(S8,-R8)</f>
        <v>63.399999999999991</v>
      </c>
      <c r="U8" s="214" t="s">
        <v>148</v>
      </c>
      <c r="V8" s="217">
        <v>62</v>
      </c>
      <c r="W8" s="216">
        <v>200.90000000000003</v>
      </c>
      <c r="X8" s="215">
        <f>SUM(W8,-V8)</f>
        <v>138.90000000000003</v>
      </c>
      <c r="Y8" s="214" t="s">
        <v>148</v>
      </c>
    </row>
    <row r="9" spans="3:25" ht="16.5" thickBot="1">
      <c r="C9" s="424"/>
      <c r="D9" s="427" t="s">
        <v>101</v>
      </c>
      <c r="E9" s="428"/>
      <c r="F9" s="188">
        <f>SUM(F5:F8)</f>
        <v>82</v>
      </c>
      <c r="G9" s="187">
        <f>SUM(G5:G8)</f>
        <v>82</v>
      </c>
      <c r="H9" s="187">
        <f>SUM(H5:H8)</f>
        <v>0</v>
      </c>
      <c r="I9" s="213" t="s">
        <v>159</v>
      </c>
      <c r="J9" s="188">
        <v>79.2</v>
      </c>
      <c r="K9" s="187">
        <v>79.2</v>
      </c>
      <c r="L9" s="187">
        <f>SUM(L5:L8)</f>
        <v>0</v>
      </c>
      <c r="M9" s="213" t="s">
        <v>159</v>
      </c>
      <c r="N9" s="188">
        <f>SUM(N5:N8)</f>
        <v>84.5</v>
      </c>
      <c r="O9" s="187">
        <f>SUM(O5:O8)</f>
        <v>151.39999999999998</v>
      </c>
      <c r="P9" s="187">
        <f>SUM(P5:P8)</f>
        <v>66.899999999999977</v>
      </c>
      <c r="Q9" s="213" t="s">
        <v>159</v>
      </c>
      <c r="R9" s="188">
        <f>SUM(R5:R8)</f>
        <v>84.5</v>
      </c>
      <c r="S9" s="187">
        <f>SUM(S5:S8)</f>
        <v>147.9</v>
      </c>
      <c r="T9" s="187">
        <f>SUM(T5:T8)</f>
        <v>63.399999999999991</v>
      </c>
      <c r="U9" s="213" t="s">
        <v>159</v>
      </c>
      <c r="V9" s="188">
        <f>SUM(V5:V8)</f>
        <v>83.1</v>
      </c>
      <c r="W9" s="187">
        <f>SUM(W5:W8)</f>
        <v>222.00000000000003</v>
      </c>
      <c r="X9" s="187">
        <f>SUM(X5:X8)</f>
        <v>138.90000000000003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-26.1</v>
      </c>
      <c r="H13" s="164">
        <f t="shared" ref="H13:H20" si="0">SUM(G13,-F13)</f>
        <v>0</v>
      </c>
      <c r="I13" s="231"/>
      <c r="J13" s="166">
        <v>-26.1</v>
      </c>
      <c r="K13" s="165">
        <v>-26.1</v>
      </c>
      <c r="L13" s="164">
        <f t="shared" ref="L13:L20" si="1">SUM(K13,-J13)</f>
        <v>0</v>
      </c>
      <c r="M13" s="189"/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231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0</v>
      </c>
      <c r="P14" s="164">
        <f t="shared" si="2"/>
        <v>26.1</v>
      </c>
      <c r="Q14" s="189" t="s">
        <v>149</v>
      </c>
      <c r="R14" s="166">
        <v>-26.1</v>
      </c>
      <c r="S14" s="165">
        <v>0</v>
      </c>
      <c r="T14" s="164">
        <f t="shared" si="3"/>
        <v>26.1</v>
      </c>
      <c r="U14" s="189" t="s">
        <v>145</v>
      </c>
      <c r="V14" s="166">
        <v>-26.1</v>
      </c>
      <c r="W14" s="165">
        <v>0</v>
      </c>
      <c r="X14" s="164">
        <f t="shared" si="4"/>
        <v>26.1</v>
      </c>
      <c r="Y14" s="189" t="s">
        <v>145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12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0</v>
      </c>
      <c r="X17" s="164">
        <f t="shared" si="4"/>
        <v>34</v>
      </c>
      <c r="Y17" s="189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f t="shared" si="0"/>
        <v>34</v>
      </c>
      <c r="I18" s="232" t="s">
        <v>149</v>
      </c>
      <c r="J18" s="166">
        <v>-34</v>
      </c>
      <c r="K18" s="165">
        <v>0</v>
      </c>
      <c r="L18" s="164">
        <f t="shared" si="1"/>
        <v>34</v>
      </c>
      <c r="M18" s="189" t="s">
        <v>149</v>
      </c>
      <c r="N18" s="166">
        <v>-34</v>
      </c>
      <c r="O18" s="165">
        <v>0</v>
      </c>
      <c r="P18" s="164">
        <f t="shared" si="2"/>
        <v>34</v>
      </c>
      <c r="Q18" s="189" t="s">
        <v>149</v>
      </c>
      <c r="R18" s="166">
        <v>-34</v>
      </c>
      <c r="S18" s="165">
        <v>0</v>
      </c>
      <c r="T18" s="164">
        <f t="shared" si="3"/>
        <v>34</v>
      </c>
      <c r="U18" s="189" t="s">
        <v>145</v>
      </c>
      <c r="V18" s="166">
        <v>-34</v>
      </c>
      <c r="W18" s="165">
        <v>0</v>
      </c>
      <c r="X18" s="164">
        <f t="shared" si="4"/>
        <v>34</v>
      </c>
      <c r="Y18" s="189" t="s">
        <v>145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0</v>
      </c>
      <c r="X20" s="164">
        <f t="shared" si="4"/>
        <v>34</v>
      </c>
      <c r="Y20" s="189" t="s">
        <v>145</v>
      </c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-219.2</v>
      </c>
      <c r="H21" s="187">
        <f>SUM(H13:H20)</f>
        <v>34</v>
      </c>
      <c r="I21" s="186" t="s">
        <v>159</v>
      </c>
      <c r="J21" s="188">
        <v>-253.2</v>
      </c>
      <c r="K21" s="187">
        <v>-219.2</v>
      </c>
      <c r="L21" s="187">
        <f>SUM(L13:L20)</f>
        <v>34</v>
      </c>
      <c r="M21" s="186" t="s">
        <v>159</v>
      </c>
      <c r="N21" s="188">
        <f>SUM(N13:N20)</f>
        <v>-253.2</v>
      </c>
      <c r="O21" s="187">
        <f>SUM(O13:O20)</f>
        <v>-167</v>
      </c>
      <c r="P21" s="187">
        <f>SUM(P13:P20)</f>
        <v>86.2</v>
      </c>
      <c r="Q21" s="186" t="s">
        <v>159</v>
      </c>
      <c r="R21" s="188">
        <f>SUM(R13:R20)</f>
        <v>-253.2</v>
      </c>
      <c r="S21" s="187">
        <f>SUM(S13:S20)</f>
        <v>-167</v>
      </c>
      <c r="T21" s="187">
        <f>SUM(T13:T20)</f>
        <v>86.2</v>
      </c>
      <c r="U21" s="186" t="s">
        <v>159</v>
      </c>
      <c r="V21" s="188">
        <v>-253.2</v>
      </c>
      <c r="W21" s="187">
        <f>SUM(W13:W20)</f>
        <v>-99</v>
      </c>
      <c r="X21" s="187">
        <f>SUM(X13:X20)</f>
        <v>154.19999999999999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-5</v>
      </c>
      <c r="H25" s="207">
        <f>SUM(G25,-F25)</f>
        <v>0</v>
      </c>
      <c r="I25" s="206"/>
      <c r="J25" s="209">
        <v>-5</v>
      </c>
      <c r="K25" s="208">
        <v>-4.5</v>
      </c>
      <c r="L25" s="207">
        <f>SUM(K25,-J25)</f>
        <v>0.5</v>
      </c>
      <c r="M25" s="206" t="s">
        <v>150</v>
      </c>
      <c r="N25" s="209">
        <v>-5</v>
      </c>
      <c r="O25" s="208">
        <v>-4.5</v>
      </c>
      <c r="P25" s="207">
        <f>SUM(O25,-N25)</f>
        <v>0.5</v>
      </c>
      <c r="Q25" s="206" t="s">
        <v>150</v>
      </c>
      <c r="R25" s="209">
        <v>-5</v>
      </c>
      <c r="S25" s="208">
        <v>-4.5</v>
      </c>
      <c r="T25" s="207">
        <f>SUM(S25,-R25)</f>
        <v>0.5</v>
      </c>
      <c r="U25" s="206" t="s">
        <v>150</v>
      </c>
      <c r="V25" s="209">
        <v>-5</v>
      </c>
      <c r="W25" s="208">
        <v>-4.5</v>
      </c>
      <c r="X25" s="207">
        <f>SUM(W25,-V25)</f>
        <v>0.5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64.099999999999994</v>
      </c>
      <c r="H31" s="457">
        <f>SUM(G31,-F31)</f>
        <v>9.6999999999999957</v>
      </c>
      <c r="I31" s="459" t="s">
        <v>149</v>
      </c>
      <c r="J31" s="200">
        <v>54.4</v>
      </c>
      <c r="K31" s="455">
        <v>64.099999999999994</v>
      </c>
      <c r="L31" s="457">
        <f>SUM(K31,-J31)</f>
        <v>9.6999999999999957</v>
      </c>
      <c r="M31" s="459" t="s">
        <v>149</v>
      </c>
      <c r="N31" s="200">
        <v>54.4</v>
      </c>
      <c r="O31" s="455">
        <v>64.099999999999994</v>
      </c>
      <c r="P31" s="457">
        <f>SUM(O31,-N31)</f>
        <v>9.6999999999999957</v>
      </c>
      <c r="Q31" s="459" t="s">
        <v>145</v>
      </c>
      <c r="R31" s="200">
        <v>54.4</v>
      </c>
      <c r="S31" s="455">
        <v>64.099999999999994</v>
      </c>
      <c r="T31" s="457">
        <f>SUM(S31,-R31)</f>
        <v>9.6999999999999957</v>
      </c>
      <c r="U31" s="459" t="s">
        <v>145</v>
      </c>
      <c r="V31" s="200">
        <v>54.4</v>
      </c>
      <c r="W31" s="455">
        <v>64.099999999999994</v>
      </c>
      <c r="X31" s="457">
        <f>SUM(W31,-V31)</f>
        <v>9.6999999999999957</v>
      </c>
      <c r="Y31" s="459" t="s">
        <v>149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29.5</v>
      </c>
      <c r="G33" s="199">
        <v>31.9</v>
      </c>
      <c r="H33" s="457">
        <f>SUM(G33,-F33)</f>
        <v>2.3999999999999986</v>
      </c>
      <c r="I33" s="459" t="s">
        <v>171</v>
      </c>
      <c r="J33" s="200">
        <v>33.4</v>
      </c>
      <c r="K33" s="199">
        <v>38.5</v>
      </c>
      <c r="L33" s="457">
        <f>SUM(K33,-J33)</f>
        <v>5.1000000000000014</v>
      </c>
      <c r="M33" s="459" t="s">
        <v>171</v>
      </c>
      <c r="N33" s="200">
        <v>33.4</v>
      </c>
      <c r="O33" s="199">
        <v>41.9</v>
      </c>
      <c r="P33" s="457">
        <f>SUM(O33,-N33)</f>
        <v>8.5</v>
      </c>
      <c r="Q33" s="459" t="s">
        <v>171</v>
      </c>
      <c r="R33" s="200">
        <v>33.4</v>
      </c>
      <c r="S33" s="199">
        <v>40.299999999999997</v>
      </c>
      <c r="T33" s="457">
        <f>SUM(S33,-R33)</f>
        <v>6.8999999999999986</v>
      </c>
      <c r="U33" s="459" t="s">
        <v>171</v>
      </c>
      <c r="V33" s="200">
        <v>25.5</v>
      </c>
      <c r="W33" s="199">
        <v>39.1</v>
      </c>
      <c r="X33" s="457">
        <f>SUM(W33,-V33)</f>
        <v>13.600000000000001</v>
      </c>
      <c r="Y33" s="459" t="s">
        <v>171</v>
      </c>
    </row>
    <row r="34" spans="3:25" ht="16">
      <c r="C34" s="451"/>
      <c r="D34" s="467"/>
      <c r="E34" s="463" t="s">
        <v>104</v>
      </c>
      <c r="F34" s="198">
        <v>0.22</v>
      </c>
      <c r="G34" s="230">
        <v>24</v>
      </c>
      <c r="H34" s="458"/>
      <c r="I34" s="460"/>
      <c r="J34" s="198">
        <v>0.23</v>
      </c>
      <c r="K34" s="230">
        <v>26</v>
      </c>
      <c r="L34" s="458"/>
      <c r="M34" s="460"/>
      <c r="N34" s="198">
        <v>0.23</v>
      </c>
      <c r="O34" s="230">
        <v>27</v>
      </c>
      <c r="P34" s="458"/>
      <c r="Q34" s="460"/>
      <c r="R34" s="198">
        <v>0.23</v>
      </c>
      <c r="S34" s="230">
        <v>28</v>
      </c>
      <c r="T34" s="458"/>
      <c r="U34" s="460"/>
      <c r="V34" s="198">
        <v>0.19</v>
      </c>
      <c r="W34" s="230">
        <v>30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0.3</v>
      </c>
      <c r="H37" s="164">
        <f>SUM(G37,-F37)</f>
        <v>-9.6999999999999993</v>
      </c>
      <c r="I37" s="189" t="s">
        <v>147</v>
      </c>
      <c r="J37" s="166">
        <v>10</v>
      </c>
      <c r="K37" s="165">
        <v>0.5</v>
      </c>
      <c r="L37" s="164">
        <f>SUM(K37,-J37)</f>
        <v>-9.5</v>
      </c>
      <c r="M37" s="189" t="s">
        <v>147</v>
      </c>
      <c r="N37" s="166">
        <v>10</v>
      </c>
      <c r="O37" s="165">
        <v>0</v>
      </c>
      <c r="P37" s="164">
        <f>SUM(O37,-N37)</f>
        <v>-10</v>
      </c>
      <c r="Q37" s="189" t="s">
        <v>147</v>
      </c>
      <c r="R37" s="166">
        <v>10</v>
      </c>
      <c r="S37" s="165">
        <v>0</v>
      </c>
      <c r="T37" s="164">
        <f>SUM(S37,-R37)</f>
        <v>-10</v>
      </c>
      <c r="U37" s="189" t="s">
        <v>170</v>
      </c>
      <c r="V37" s="166">
        <v>10</v>
      </c>
      <c r="W37" s="165">
        <v>0</v>
      </c>
      <c r="X37" s="164">
        <f>SUM(W37,-V37)</f>
        <v>-10</v>
      </c>
      <c r="Y37" s="189" t="s">
        <v>147</v>
      </c>
    </row>
    <row r="38" spans="3:25" ht="16.5" thickBot="1">
      <c r="C38" s="452"/>
      <c r="D38" s="427" t="s">
        <v>101</v>
      </c>
      <c r="E38" s="428"/>
      <c r="F38" s="188">
        <f>SUM(F29,F31,F33,F37)</f>
        <v>137.69999999999999</v>
      </c>
      <c r="G38" s="187">
        <f>SUM(G29:G33,G37)</f>
        <v>140.1</v>
      </c>
      <c r="H38" s="187">
        <f>SUM(H29:H34,H37)</f>
        <v>2.399999999999995</v>
      </c>
      <c r="I38" s="186"/>
      <c r="J38" s="188">
        <f>SUM(J29,J31,J33,J37)</f>
        <v>141.6</v>
      </c>
      <c r="K38" s="187">
        <f>SUM(K29:K33,K37)</f>
        <v>146.89999999999998</v>
      </c>
      <c r="L38" s="187">
        <f>SUM(L29:L34,L37)</f>
        <v>5.2999999999999972</v>
      </c>
      <c r="M38" s="186"/>
      <c r="N38" s="188">
        <f>SUM(N29,N31,N33,N37)</f>
        <v>141.6</v>
      </c>
      <c r="O38" s="187">
        <f>SUM(O29:O33,O37)</f>
        <v>149.79999999999998</v>
      </c>
      <c r="P38" s="187">
        <f>SUM(P29:P34,P37)</f>
        <v>8.1999999999999957</v>
      </c>
      <c r="Q38" s="186"/>
      <c r="R38" s="188">
        <f>SUM(R29,R31,R33,R37)</f>
        <v>141.6</v>
      </c>
      <c r="S38" s="187">
        <f>SUM(S29:S33,S37)</f>
        <v>148.19999999999999</v>
      </c>
      <c r="T38" s="187">
        <f>SUM(T29:T34,T37)</f>
        <v>6.5999999999999943</v>
      </c>
      <c r="U38" s="186"/>
      <c r="V38" s="188">
        <f>SUM(V29,V31,V33,V37)</f>
        <v>133.69999999999999</v>
      </c>
      <c r="W38" s="187">
        <f>SUM(W29:W33,W37)</f>
        <v>147</v>
      </c>
      <c r="X38" s="187">
        <f>SUM(X29:X34,X37)</f>
        <v>13.299999999999997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10</v>
      </c>
      <c r="O42" s="478">
        <v>0</v>
      </c>
      <c r="P42" s="457">
        <f>SUM(O42,-N42)</f>
        <v>-10</v>
      </c>
      <c r="Q42" s="459" t="s">
        <v>146</v>
      </c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231</v>
      </c>
      <c r="G43" s="479"/>
      <c r="H43" s="480"/>
      <c r="I43" s="481"/>
      <c r="J43" s="183">
        <v>222</v>
      </c>
      <c r="K43" s="479"/>
      <c r="L43" s="480"/>
      <c r="M43" s="481"/>
      <c r="N43" s="183">
        <v>252</v>
      </c>
      <c r="O43" s="479"/>
      <c r="P43" s="480"/>
      <c r="Q43" s="481"/>
      <c r="R43" s="183">
        <v>258</v>
      </c>
      <c r="S43" s="479"/>
      <c r="T43" s="480"/>
      <c r="U43" s="481"/>
      <c r="V43" s="183">
        <v>252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28.3</v>
      </c>
      <c r="G47" s="478">
        <v>30.4</v>
      </c>
      <c r="H47" s="457">
        <f>SUM(G47,-F47)</f>
        <v>2.0999999999999979</v>
      </c>
      <c r="I47" s="459" t="s">
        <v>149</v>
      </c>
      <c r="J47" s="178">
        <v>31.4</v>
      </c>
      <c r="K47" s="478">
        <v>31.1</v>
      </c>
      <c r="L47" s="457">
        <f>SUM(K47,-J47)</f>
        <v>-0.29999999999999716</v>
      </c>
      <c r="M47" s="459" t="s">
        <v>149</v>
      </c>
      <c r="N47" s="178">
        <v>37.4</v>
      </c>
      <c r="O47" s="478">
        <v>52.4</v>
      </c>
      <c r="P47" s="457">
        <f>SUM(O47,-N47)</f>
        <v>15</v>
      </c>
      <c r="Q47" s="459" t="s">
        <v>146</v>
      </c>
      <c r="R47" s="178">
        <v>37.4</v>
      </c>
      <c r="S47" s="478">
        <v>53.3</v>
      </c>
      <c r="T47" s="457">
        <f>SUM(S47,-R47)</f>
        <v>15.899999999999999</v>
      </c>
      <c r="U47" s="459" t="s">
        <v>165</v>
      </c>
      <c r="V47" s="178">
        <v>38.799999999999997</v>
      </c>
      <c r="W47" s="478">
        <v>38.1</v>
      </c>
      <c r="X47" s="457">
        <f>SUM(W47,-V47)</f>
        <v>-0.69999999999999574</v>
      </c>
      <c r="Y47" s="459" t="s">
        <v>149</v>
      </c>
    </row>
    <row r="48" spans="3:25" ht="16.5" thickBot="1">
      <c r="C48" s="486"/>
      <c r="D48" s="487"/>
      <c r="E48" s="489"/>
      <c r="F48" s="177">
        <v>0.54</v>
      </c>
      <c r="G48" s="479"/>
      <c r="H48" s="480"/>
      <c r="I48" s="481"/>
      <c r="J48" s="177">
        <v>0.63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1"/>
      <c r="V48" s="177">
        <v>0.65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24.5</v>
      </c>
      <c r="H53" s="223" t="s">
        <v>159</v>
      </c>
      <c r="I53" s="222" t="s">
        <v>158</v>
      </c>
      <c r="J53" s="225">
        <v>0</v>
      </c>
      <c r="K53" s="229">
        <v>24.3</v>
      </c>
      <c r="L53" s="223" t="s">
        <v>159</v>
      </c>
      <c r="M53" s="222" t="s">
        <v>158</v>
      </c>
      <c r="N53" s="225">
        <v>0</v>
      </c>
      <c r="O53" s="229">
        <v>24.6</v>
      </c>
      <c r="P53" s="223" t="s">
        <v>159</v>
      </c>
      <c r="Q53" s="222" t="s">
        <v>158</v>
      </c>
      <c r="R53" s="225">
        <v>0</v>
      </c>
      <c r="S53" s="229">
        <v>24.6</v>
      </c>
      <c r="T53" s="223" t="s">
        <v>159</v>
      </c>
      <c r="U53" s="222" t="s">
        <v>158</v>
      </c>
      <c r="V53" s="225">
        <v>0</v>
      </c>
      <c r="W53" s="229">
        <v>24.3</v>
      </c>
      <c r="X53" s="223" t="s">
        <v>159</v>
      </c>
      <c r="Y53" s="222" t="s">
        <v>158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 t="s">
        <v>157</v>
      </c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156</v>
      </c>
      <c r="M57" s="23"/>
      <c r="N57" s="23"/>
      <c r="O57" s="23"/>
      <c r="P57" s="23" t="s">
        <v>155</v>
      </c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&amp;"メイリオ,ボールド"&amp;22日別の優先給電ルールに基づく抑制、調整状況（2024年9月）</oddHeader>
    <oddFooter>&amp;R&amp;"メイリオ,レギュラー"&amp;14九州電力送配電株式会社</oddFooter>
  </headerFooter>
  <colBreaks count="1" manualBreakCount="1">
    <brk id="25" max="1048575" man="1"/>
  </colBreaks>
  <drawing r:id="rId2"/>
  <legacyDrawing r:id="rId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2CE6-E0FB-4D78-9788-4B80C7AF2E60}">
  <sheetPr>
    <pageSetUpPr fitToPage="1"/>
  </sheetPr>
  <dimension ref="A1:Y57"/>
  <sheetViews>
    <sheetView showGridLines="0" view="pageBreakPreview" zoomScale="70" zoomScaleNormal="55" zoomScaleSheetLayoutView="70" zoomScalePage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58" t="s">
        <v>143</v>
      </c>
      <c r="J2" s="23"/>
      <c r="K2" s="23"/>
      <c r="L2" s="23"/>
      <c r="M2" s="220"/>
      <c r="N2" s="23"/>
      <c r="O2" s="23"/>
      <c r="P2" s="23"/>
      <c r="Q2" s="22"/>
      <c r="Y2" s="220"/>
    </row>
    <row r="3" spans="3:25" ht="16.5" thickBot="1">
      <c r="C3" s="514" t="s">
        <v>142</v>
      </c>
      <c r="D3" s="430"/>
      <c r="E3" s="431"/>
      <c r="F3" s="515">
        <v>45564</v>
      </c>
      <c r="G3" s="516"/>
      <c r="H3" s="516"/>
      <c r="I3" s="517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</row>
    <row r="4" spans="3:25" ht="16">
      <c r="C4" s="518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52"/>
      <c r="K4" s="234"/>
      <c r="L4" s="234"/>
      <c r="M4" s="243"/>
      <c r="N4" s="252"/>
      <c r="O4" s="234"/>
      <c r="P4" s="234"/>
      <c r="Q4" s="243"/>
      <c r="R4" s="252"/>
      <c r="S4" s="234"/>
      <c r="T4" s="234"/>
      <c r="U4" s="243"/>
      <c r="V4" s="252"/>
      <c r="W4" s="234"/>
      <c r="X4" s="234"/>
      <c r="Y4" s="243"/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238"/>
      <c r="K5" s="238"/>
      <c r="L5" s="237"/>
      <c r="M5" s="233"/>
      <c r="N5" s="238"/>
      <c r="O5" s="238"/>
      <c r="P5" s="237"/>
      <c r="Q5" s="233"/>
      <c r="R5" s="238"/>
      <c r="S5" s="238"/>
      <c r="T5" s="237"/>
      <c r="U5" s="233"/>
      <c r="V5" s="238"/>
      <c r="W5" s="238"/>
      <c r="X5" s="237"/>
      <c r="Y5" s="233"/>
    </row>
    <row r="6" spans="3:25" ht="16">
      <c r="C6" s="519"/>
      <c r="D6" s="426"/>
      <c r="E6" s="211" t="s">
        <v>136</v>
      </c>
      <c r="F6" s="166">
        <v>8.6999999999999993</v>
      </c>
      <c r="G6" s="165">
        <v>8.6999999999999993</v>
      </c>
      <c r="H6" s="164">
        <f>SUM(G6,-F6)</f>
        <v>0</v>
      </c>
      <c r="I6" s="219"/>
      <c r="J6" s="238"/>
      <c r="K6" s="238"/>
      <c r="L6" s="237"/>
      <c r="M6" s="233"/>
      <c r="N6" s="238"/>
      <c r="O6" s="238"/>
      <c r="P6" s="237"/>
      <c r="Q6" s="233"/>
      <c r="R6" s="238"/>
      <c r="S6" s="238"/>
      <c r="T6" s="237"/>
      <c r="U6" s="233"/>
      <c r="V6" s="238"/>
      <c r="W6" s="238"/>
      <c r="X6" s="237"/>
      <c r="Y6" s="233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238"/>
      <c r="K7" s="238"/>
      <c r="L7" s="237"/>
      <c r="M7" s="233"/>
      <c r="N7" s="238"/>
      <c r="O7" s="238"/>
      <c r="P7" s="237"/>
      <c r="Q7" s="233"/>
      <c r="R7" s="238"/>
      <c r="S7" s="238"/>
      <c r="T7" s="237"/>
      <c r="U7" s="233"/>
      <c r="V7" s="238"/>
      <c r="W7" s="238"/>
      <c r="X7" s="237"/>
      <c r="Y7" s="233"/>
    </row>
    <row r="8" spans="3:25" ht="16">
      <c r="C8" s="520"/>
      <c r="D8" s="426"/>
      <c r="E8" s="218" t="s">
        <v>133</v>
      </c>
      <c r="F8" s="217">
        <v>57.800000000000004</v>
      </c>
      <c r="G8" s="216">
        <v>57.800000000000004</v>
      </c>
      <c r="H8" s="215">
        <f>SUM(G8,-F8)</f>
        <v>0</v>
      </c>
      <c r="I8" s="214"/>
      <c r="J8" s="257"/>
      <c r="K8" s="257"/>
      <c r="L8" s="256"/>
      <c r="M8" s="255"/>
      <c r="N8" s="257"/>
      <c r="O8" s="257"/>
      <c r="P8" s="256"/>
      <c r="Q8" s="255"/>
      <c r="R8" s="257"/>
      <c r="S8" s="257"/>
      <c r="T8" s="256"/>
      <c r="U8" s="255"/>
      <c r="V8" s="257"/>
      <c r="W8" s="257"/>
      <c r="X8" s="256"/>
      <c r="Y8" s="255"/>
    </row>
    <row r="9" spans="3:25" ht="16.5" thickBot="1">
      <c r="C9" s="521"/>
      <c r="D9" s="427" t="s">
        <v>101</v>
      </c>
      <c r="E9" s="428"/>
      <c r="F9" s="188">
        <f>SUM(F5:F8)</f>
        <v>78.900000000000006</v>
      </c>
      <c r="G9" s="187">
        <f>SUM(G5:G8)</f>
        <v>78.900000000000006</v>
      </c>
      <c r="H9" s="187">
        <f>SUM(H5:H8)</f>
        <v>0</v>
      </c>
      <c r="I9" s="213" t="s">
        <v>159</v>
      </c>
      <c r="J9" s="246"/>
      <c r="K9" s="246"/>
      <c r="L9" s="246"/>
      <c r="M9" s="254"/>
      <c r="N9" s="246"/>
      <c r="O9" s="246"/>
      <c r="P9" s="246"/>
      <c r="Q9" s="254"/>
      <c r="R9" s="246"/>
      <c r="S9" s="246"/>
      <c r="T9" s="246"/>
      <c r="U9" s="254"/>
      <c r="V9" s="246"/>
      <c r="W9" s="246"/>
      <c r="X9" s="246"/>
      <c r="Y9" s="254"/>
    </row>
    <row r="10" spans="3:25" ht="15.5" thickBot="1">
      <c r="C10" s="176"/>
      <c r="D10" s="174"/>
      <c r="E10" s="174"/>
      <c r="F10" s="174"/>
      <c r="G10" s="174"/>
      <c r="H10" s="174"/>
      <c r="I10" s="173"/>
    </row>
    <row r="11" spans="3:25" ht="16.5" thickBot="1">
      <c r="C11" s="514" t="s">
        <v>132</v>
      </c>
      <c r="D11" s="430"/>
      <c r="E11" s="431"/>
      <c r="F11" s="432"/>
      <c r="G11" s="433"/>
      <c r="H11" s="433"/>
      <c r="I11" s="434"/>
      <c r="J11" s="559"/>
      <c r="K11" s="559"/>
      <c r="L11" s="559"/>
      <c r="M11" s="559"/>
      <c r="N11" s="559"/>
      <c r="O11" s="559"/>
      <c r="P11" s="559"/>
      <c r="Q11" s="559"/>
      <c r="R11" s="559"/>
      <c r="S11" s="559"/>
      <c r="T11" s="559"/>
      <c r="U11" s="559"/>
      <c r="V11" s="559"/>
      <c r="W11" s="559"/>
      <c r="X11" s="559"/>
      <c r="Y11" s="559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52"/>
      <c r="K12" s="234"/>
      <c r="L12" s="234"/>
      <c r="M12" s="243"/>
      <c r="N12" s="252"/>
      <c r="O12" s="234"/>
      <c r="P12" s="234"/>
      <c r="Q12" s="243"/>
      <c r="R12" s="252"/>
      <c r="S12" s="234"/>
      <c r="T12" s="234"/>
      <c r="U12" s="243"/>
      <c r="V12" s="252"/>
      <c r="W12" s="234"/>
      <c r="X12" s="234"/>
      <c r="Y12" s="243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189" t="s">
        <v>145</v>
      </c>
      <c r="J13" s="238"/>
      <c r="K13" s="238"/>
      <c r="L13" s="237"/>
      <c r="M13" s="238"/>
      <c r="N13" s="238"/>
      <c r="O13" s="238"/>
      <c r="P13" s="237"/>
      <c r="Q13" s="238"/>
      <c r="R13" s="238"/>
      <c r="S13" s="238"/>
      <c r="T13" s="237"/>
      <c r="U13" s="238"/>
      <c r="V13" s="238"/>
      <c r="W13" s="238"/>
      <c r="X13" s="237"/>
      <c r="Y13" s="238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f t="shared" si="0"/>
        <v>26.1</v>
      </c>
      <c r="I14" s="189" t="s">
        <v>145</v>
      </c>
      <c r="J14" s="238"/>
      <c r="K14" s="238"/>
      <c r="L14" s="237"/>
      <c r="M14" s="238"/>
      <c r="N14" s="238"/>
      <c r="O14" s="238"/>
      <c r="P14" s="237"/>
      <c r="Q14" s="238"/>
      <c r="R14" s="238"/>
      <c r="S14" s="238"/>
      <c r="T14" s="237"/>
      <c r="U14" s="238"/>
      <c r="V14" s="238"/>
      <c r="W14" s="238"/>
      <c r="X14" s="237"/>
      <c r="Y14" s="238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189"/>
      <c r="J15" s="238"/>
      <c r="K15" s="238"/>
      <c r="L15" s="237"/>
      <c r="M15" s="238"/>
      <c r="N15" s="238"/>
      <c r="O15" s="238"/>
      <c r="P15" s="237"/>
      <c r="Q15" s="238"/>
      <c r="R15" s="238"/>
      <c r="S15" s="238"/>
      <c r="T15" s="237"/>
      <c r="U15" s="238"/>
      <c r="V15" s="238"/>
      <c r="W15" s="238"/>
      <c r="X15" s="237"/>
      <c r="Y15" s="238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189"/>
      <c r="J16" s="238"/>
      <c r="K16" s="238"/>
      <c r="L16" s="237"/>
      <c r="M16" s="238"/>
      <c r="N16" s="238"/>
      <c r="O16" s="238"/>
      <c r="P16" s="237"/>
      <c r="Q16" s="238"/>
      <c r="R16" s="238"/>
      <c r="S16" s="238"/>
      <c r="T16" s="237"/>
      <c r="U16" s="238"/>
      <c r="V16" s="238"/>
      <c r="W16" s="238"/>
      <c r="X16" s="237"/>
      <c r="Y16" s="238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12"/>
      <c r="J17" s="238"/>
      <c r="K17" s="238"/>
      <c r="L17" s="237"/>
      <c r="M17" s="253"/>
      <c r="N17" s="238"/>
      <c r="O17" s="238"/>
      <c r="P17" s="237"/>
      <c r="Q17" s="253"/>
      <c r="R17" s="238"/>
      <c r="S17" s="238"/>
      <c r="T17" s="237"/>
      <c r="U17" s="253"/>
      <c r="V17" s="238"/>
      <c r="W17" s="238"/>
      <c r="X17" s="237"/>
      <c r="Y17" s="253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f t="shared" si="0"/>
        <v>34</v>
      </c>
      <c r="I18" s="189" t="s">
        <v>145</v>
      </c>
      <c r="J18" s="238"/>
      <c r="K18" s="238"/>
      <c r="L18" s="237"/>
      <c r="M18" s="238"/>
      <c r="N18" s="238"/>
      <c r="O18" s="238"/>
      <c r="P18" s="237"/>
      <c r="Q18" s="238"/>
      <c r="R18" s="238"/>
      <c r="S18" s="238"/>
      <c r="T18" s="237"/>
      <c r="U18" s="238"/>
      <c r="V18" s="238"/>
      <c r="W18" s="238"/>
      <c r="X18" s="237"/>
      <c r="Y18" s="238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189"/>
      <c r="J19" s="238"/>
      <c r="K19" s="238"/>
      <c r="L19" s="237"/>
      <c r="M19" s="238"/>
      <c r="N19" s="238"/>
      <c r="O19" s="238"/>
      <c r="P19" s="237"/>
      <c r="Q19" s="238"/>
      <c r="R19" s="238"/>
      <c r="S19" s="238"/>
      <c r="T19" s="237"/>
      <c r="U19" s="238"/>
      <c r="V19" s="238"/>
      <c r="W19" s="238"/>
      <c r="X19" s="237"/>
      <c r="Y19" s="238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189"/>
      <c r="J20" s="238"/>
      <c r="K20" s="238"/>
      <c r="L20" s="237"/>
      <c r="M20" s="238"/>
      <c r="N20" s="238"/>
      <c r="O20" s="238"/>
      <c r="P20" s="237"/>
      <c r="Q20" s="238"/>
      <c r="R20" s="238"/>
      <c r="S20" s="238"/>
      <c r="T20" s="237"/>
      <c r="U20" s="238"/>
      <c r="V20" s="238"/>
      <c r="W20" s="238"/>
      <c r="X20" s="237"/>
      <c r="Y20" s="238"/>
    </row>
    <row r="21" spans="3:25" ht="16.5" thickBot="1">
      <c r="C21" s="524"/>
      <c r="D21" s="427" t="s">
        <v>101</v>
      </c>
      <c r="E21" s="428"/>
      <c r="F21" s="188">
        <f>SUM(F13:F20)</f>
        <v>-253.2</v>
      </c>
      <c r="G21" s="187">
        <f>SUM(G13:G20)</f>
        <v>-167</v>
      </c>
      <c r="H21" s="187">
        <f>SUM(H13:H20)</f>
        <v>86.2</v>
      </c>
      <c r="I21" s="186" t="s">
        <v>159</v>
      </c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</row>
    <row r="22" spans="3:25" ht="15.5" thickBot="1">
      <c r="C22" s="176"/>
      <c r="D22" s="174"/>
      <c r="E22" s="174"/>
      <c r="F22" s="174"/>
      <c r="G22" s="174"/>
      <c r="H22" s="174"/>
      <c r="I22" s="173"/>
    </row>
    <row r="23" spans="3:25" ht="16.5" thickBot="1">
      <c r="C23" s="514" t="s">
        <v>120</v>
      </c>
      <c r="D23" s="430"/>
      <c r="E23" s="431"/>
      <c r="F23" s="432"/>
      <c r="G23" s="433"/>
      <c r="H23" s="433"/>
      <c r="I23" s="434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</row>
    <row r="24" spans="3:25" ht="16">
      <c r="C24" s="525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52"/>
      <c r="K24" s="234"/>
      <c r="L24" s="234"/>
      <c r="M24" s="243"/>
      <c r="N24" s="252"/>
      <c r="O24" s="234"/>
      <c r="P24" s="234"/>
      <c r="Q24" s="243"/>
      <c r="R24" s="252"/>
      <c r="S24" s="234"/>
      <c r="T24" s="234"/>
      <c r="U24" s="243"/>
      <c r="V24" s="252"/>
      <c r="W24" s="234"/>
      <c r="X24" s="234"/>
      <c r="Y24" s="243"/>
    </row>
    <row r="25" spans="3:25" ht="16.5" thickBot="1">
      <c r="C25" s="526"/>
      <c r="D25" s="447"/>
      <c r="E25" s="449"/>
      <c r="F25" s="209">
        <v>-5</v>
      </c>
      <c r="G25" s="208">
        <v>-4.5</v>
      </c>
      <c r="H25" s="207">
        <f>SUM(G25,-F25)</f>
        <v>0.5</v>
      </c>
      <c r="I25" s="206" t="s">
        <v>173</v>
      </c>
      <c r="J25" s="238"/>
      <c r="K25" s="238"/>
      <c r="L25" s="237"/>
      <c r="M25" s="238"/>
      <c r="N25" s="238"/>
      <c r="O25" s="238"/>
      <c r="P25" s="237"/>
      <c r="Q25" s="238"/>
      <c r="R25" s="238"/>
      <c r="S25" s="238"/>
      <c r="T25" s="237"/>
      <c r="U25" s="238"/>
      <c r="V25" s="238"/>
      <c r="W25" s="238"/>
      <c r="X25" s="237"/>
      <c r="Y25" s="238"/>
    </row>
    <row r="26" spans="3:25" ht="15.5" thickBot="1">
      <c r="C26" s="176"/>
      <c r="D26" s="174"/>
      <c r="E26" s="174"/>
      <c r="F26" s="174"/>
      <c r="G26" s="174"/>
      <c r="H26" s="174"/>
      <c r="I26" s="173"/>
    </row>
    <row r="27" spans="3:25" ht="16.5" thickBot="1">
      <c r="C27" s="514" t="s">
        <v>116</v>
      </c>
      <c r="D27" s="430"/>
      <c r="E27" s="431"/>
      <c r="F27" s="432"/>
      <c r="G27" s="433"/>
      <c r="H27" s="433"/>
      <c r="I27" s="434"/>
      <c r="J27" s="559"/>
      <c r="K27" s="559"/>
      <c r="L27" s="559"/>
      <c r="M27" s="559"/>
      <c r="N27" s="559"/>
      <c r="O27" s="559"/>
      <c r="P27" s="559"/>
      <c r="Q27" s="559"/>
      <c r="R27" s="559"/>
      <c r="S27" s="559"/>
      <c r="T27" s="559"/>
      <c r="U27" s="559"/>
      <c r="V27" s="559"/>
      <c r="W27" s="559"/>
      <c r="X27" s="559"/>
      <c r="Y27" s="559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51"/>
      <c r="K28" s="234"/>
      <c r="L28" s="234"/>
      <c r="M28" s="243"/>
      <c r="N28" s="251"/>
      <c r="O28" s="234"/>
      <c r="P28" s="234"/>
      <c r="Q28" s="243"/>
      <c r="R28" s="251"/>
      <c r="S28" s="234"/>
      <c r="T28" s="234"/>
      <c r="U28" s="243"/>
      <c r="V28" s="251"/>
      <c r="W28" s="234"/>
      <c r="X28" s="234"/>
      <c r="Y28" s="243"/>
    </row>
    <row r="29" spans="3:25" ht="16">
      <c r="C29" s="528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38"/>
      <c r="K29" s="560"/>
      <c r="L29" s="561"/>
      <c r="M29" s="562"/>
      <c r="N29" s="238"/>
      <c r="O29" s="560"/>
      <c r="P29" s="561"/>
      <c r="Q29" s="562"/>
      <c r="R29" s="238"/>
      <c r="S29" s="560"/>
      <c r="T29" s="561"/>
      <c r="U29" s="562"/>
      <c r="V29" s="238"/>
      <c r="W29" s="560"/>
      <c r="X29" s="561"/>
      <c r="Y29" s="562"/>
    </row>
    <row r="30" spans="3:25" ht="16">
      <c r="C30" s="528"/>
      <c r="D30" s="443"/>
      <c r="E30" s="454"/>
      <c r="F30" s="202">
        <v>0.47</v>
      </c>
      <c r="G30" s="456">
        <v>0</v>
      </c>
      <c r="H30" s="458"/>
      <c r="I30" s="460"/>
      <c r="J30" s="242"/>
      <c r="K30" s="560"/>
      <c r="L30" s="561"/>
      <c r="M30" s="562"/>
      <c r="N30" s="242"/>
      <c r="O30" s="560"/>
      <c r="P30" s="561"/>
      <c r="Q30" s="562"/>
      <c r="R30" s="242"/>
      <c r="S30" s="560"/>
      <c r="T30" s="561"/>
      <c r="U30" s="562"/>
      <c r="V30" s="242"/>
      <c r="W30" s="560"/>
      <c r="X30" s="561"/>
      <c r="Y30" s="562"/>
    </row>
    <row r="31" spans="3:25" ht="16">
      <c r="C31" s="528"/>
      <c r="D31" s="443"/>
      <c r="E31" s="453" t="s">
        <v>109</v>
      </c>
      <c r="F31" s="200">
        <v>54.4</v>
      </c>
      <c r="G31" s="455">
        <v>64.099999999999994</v>
      </c>
      <c r="H31" s="457">
        <f>SUM(G31,-F31)</f>
        <v>9.6999999999999957</v>
      </c>
      <c r="I31" s="459" t="s">
        <v>145</v>
      </c>
      <c r="J31" s="238"/>
      <c r="K31" s="560"/>
      <c r="L31" s="561"/>
      <c r="M31" s="562"/>
      <c r="N31" s="238"/>
      <c r="O31" s="560"/>
      <c r="P31" s="561"/>
      <c r="Q31" s="562"/>
      <c r="R31" s="238"/>
      <c r="S31" s="560"/>
      <c r="T31" s="561"/>
      <c r="U31" s="562"/>
      <c r="V31" s="238"/>
      <c r="W31" s="560"/>
      <c r="X31" s="561"/>
      <c r="Y31" s="562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42"/>
      <c r="K32" s="560"/>
      <c r="L32" s="561"/>
      <c r="M32" s="562"/>
      <c r="N32" s="242"/>
      <c r="O32" s="560"/>
      <c r="P32" s="561"/>
      <c r="Q32" s="562"/>
      <c r="R32" s="242"/>
      <c r="S32" s="560"/>
      <c r="T32" s="561"/>
      <c r="U32" s="562"/>
      <c r="V32" s="242"/>
      <c r="W32" s="560"/>
      <c r="X32" s="561"/>
      <c r="Y32" s="562"/>
    </row>
    <row r="33" spans="3:25" ht="16">
      <c r="C33" s="528"/>
      <c r="D33" s="466" t="s">
        <v>107</v>
      </c>
      <c r="E33" s="201" t="s">
        <v>106</v>
      </c>
      <c r="F33" s="200">
        <v>25.5</v>
      </c>
      <c r="G33" s="199">
        <v>28.9</v>
      </c>
      <c r="H33" s="457">
        <f>SUM(G33,-F33)</f>
        <v>3.3999999999999986</v>
      </c>
      <c r="I33" s="459" t="s">
        <v>179</v>
      </c>
      <c r="J33" s="238"/>
      <c r="K33" s="250"/>
      <c r="L33" s="561"/>
      <c r="M33" s="562"/>
      <c r="N33" s="238"/>
      <c r="O33" s="250"/>
      <c r="P33" s="561"/>
      <c r="Q33" s="562"/>
      <c r="R33" s="238"/>
      <c r="S33" s="250"/>
      <c r="T33" s="561"/>
      <c r="U33" s="562"/>
      <c r="V33" s="238"/>
      <c r="W33" s="250"/>
      <c r="X33" s="561"/>
      <c r="Y33" s="562"/>
    </row>
    <row r="34" spans="3:25" ht="16">
      <c r="C34" s="528"/>
      <c r="D34" s="467"/>
      <c r="E34" s="463" t="s">
        <v>104</v>
      </c>
      <c r="F34" s="198">
        <v>0.19</v>
      </c>
      <c r="G34" s="230">
        <v>22</v>
      </c>
      <c r="H34" s="458"/>
      <c r="I34" s="460"/>
      <c r="J34" s="242"/>
      <c r="K34" s="249"/>
      <c r="L34" s="561"/>
      <c r="M34" s="562"/>
      <c r="N34" s="242"/>
      <c r="O34" s="249"/>
      <c r="P34" s="561"/>
      <c r="Q34" s="562"/>
      <c r="R34" s="242"/>
      <c r="S34" s="249"/>
      <c r="T34" s="561"/>
      <c r="U34" s="562"/>
      <c r="V34" s="242"/>
      <c r="W34" s="249"/>
      <c r="X34" s="561"/>
      <c r="Y34" s="562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248"/>
      <c r="K35" s="237"/>
      <c r="L35" s="237"/>
      <c r="M35" s="237"/>
      <c r="N35" s="248"/>
      <c r="O35" s="237"/>
      <c r="P35" s="237"/>
      <c r="Q35" s="237"/>
      <c r="R35" s="248"/>
      <c r="S35" s="237"/>
      <c r="T35" s="237"/>
      <c r="U35" s="237"/>
      <c r="V35" s="248"/>
      <c r="W35" s="237"/>
      <c r="X35" s="237"/>
      <c r="Y35" s="237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247"/>
      <c r="K36" s="237"/>
      <c r="L36" s="237"/>
      <c r="M36" s="237"/>
      <c r="N36" s="247"/>
      <c r="O36" s="237"/>
      <c r="P36" s="237"/>
      <c r="Q36" s="237"/>
      <c r="R36" s="247"/>
      <c r="S36" s="237"/>
      <c r="T36" s="237"/>
      <c r="U36" s="237"/>
      <c r="V36" s="247"/>
      <c r="W36" s="237"/>
      <c r="X36" s="237"/>
      <c r="Y36" s="237"/>
    </row>
    <row r="37" spans="3:25" ht="16">
      <c r="C37" s="528"/>
      <c r="D37" s="467"/>
      <c r="E37" s="190" t="s">
        <v>103</v>
      </c>
      <c r="F37" s="166">
        <v>10</v>
      </c>
      <c r="G37" s="165">
        <v>0</v>
      </c>
      <c r="H37" s="164">
        <f>SUM(G37,-F37)</f>
        <v>-10</v>
      </c>
      <c r="I37" s="189" t="s">
        <v>170</v>
      </c>
      <c r="J37" s="238"/>
      <c r="K37" s="238"/>
      <c r="L37" s="237"/>
      <c r="M37" s="238"/>
      <c r="N37" s="238"/>
      <c r="O37" s="238"/>
      <c r="P37" s="237"/>
      <c r="Q37" s="238"/>
      <c r="R37" s="238"/>
      <c r="S37" s="238"/>
      <c r="T37" s="237"/>
      <c r="U37" s="238"/>
      <c r="V37" s="238"/>
      <c r="W37" s="238"/>
      <c r="X37" s="237"/>
      <c r="Y37" s="238"/>
    </row>
    <row r="38" spans="3:25" ht="16.5" thickBot="1">
      <c r="C38" s="529"/>
      <c r="D38" s="427" t="s">
        <v>101</v>
      </c>
      <c r="E38" s="428"/>
      <c r="F38" s="188">
        <f>SUM(F29,F31,F33,F37)</f>
        <v>133.69999999999999</v>
      </c>
      <c r="G38" s="187">
        <f>SUM(G29:G33,G37)</f>
        <v>136.79999999999998</v>
      </c>
      <c r="H38" s="187">
        <f>SUM(H29:H34,H37)</f>
        <v>3.0999999999999943</v>
      </c>
      <c r="I38" s="18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3:25" ht="15.5" thickBot="1">
      <c r="C39" s="176"/>
      <c r="D39" s="174"/>
      <c r="E39" s="174"/>
      <c r="F39" s="174"/>
      <c r="G39" s="174"/>
      <c r="H39" s="174"/>
      <c r="I39" s="173"/>
    </row>
    <row r="40" spans="3:25" ht="16.5" thickBot="1">
      <c r="C40" s="514" t="s">
        <v>100</v>
      </c>
      <c r="D40" s="430"/>
      <c r="E40" s="431"/>
      <c r="F40" s="469"/>
      <c r="G40" s="470"/>
      <c r="H40" s="470"/>
      <c r="I40" s="471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</row>
    <row r="41" spans="3:25" ht="42" customHeight="1">
      <c r="C41" s="530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245"/>
      <c r="K41" s="234"/>
      <c r="L41" s="234"/>
      <c r="M41" s="243"/>
      <c r="N41" s="245"/>
      <c r="O41" s="234"/>
      <c r="P41" s="234"/>
      <c r="Q41" s="243"/>
      <c r="R41" s="245"/>
      <c r="S41" s="234"/>
      <c r="T41" s="234"/>
      <c r="U41" s="243"/>
      <c r="V41" s="245"/>
      <c r="W41" s="234"/>
      <c r="X41" s="234"/>
      <c r="Y41" s="243"/>
    </row>
    <row r="42" spans="3:25" ht="16.5" customHeight="1">
      <c r="C42" s="525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238"/>
      <c r="K42" s="562"/>
      <c r="L42" s="561"/>
      <c r="M42" s="562"/>
      <c r="N42" s="238"/>
      <c r="O42" s="562"/>
      <c r="P42" s="561"/>
      <c r="Q42" s="562"/>
      <c r="R42" s="238"/>
      <c r="S42" s="562"/>
      <c r="T42" s="561"/>
      <c r="U42" s="562"/>
      <c r="V42" s="238"/>
      <c r="W42" s="562"/>
      <c r="X42" s="561"/>
      <c r="Y42" s="562"/>
    </row>
    <row r="43" spans="3:25" ht="16.5" thickBot="1">
      <c r="C43" s="531"/>
      <c r="D43" s="475"/>
      <c r="E43" s="477"/>
      <c r="F43" s="183">
        <v>197</v>
      </c>
      <c r="G43" s="479"/>
      <c r="H43" s="480"/>
      <c r="I43" s="481"/>
      <c r="J43" s="244"/>
      <c r="K43" s="563"/>
      <c r="L43" s="564"/>
      <c r="M43" s="563"/>
      <c r="N43" s="244"/>
      <c r="O43" s="563"/>
      <c r="P43" s="564"/>
      <c r="Q43" s="563"/>
      <c r="R43" s="244"/>
      <c r="S43" s="563"/>
      <c r="T43" s="564"/>
      <c r="U43" s="563"/>
      <c r="V43" s="244"/>
      <c r="W43" s="563"/>
      <c r="X43" s="564"/>
      <c r="Y43" s="563"/>
    </row>
    <row r="44" spans="3:25" ht="15.5" thickBot="1">
      <c r="C44" s="176"/>
      <c r="D44" s="174"/>
      <c r="E44" s="174"/>
      <c r="F44" s="174"/>
      <c r="G44" s="174"/>
      <c r="H44" s="174"/>
      <c r="I44" s="173"/>
    </row>
    <row r="45" spans="3:25" ht="16.5" thickBot="1">
      <c r="C45" s="514" t="s">
        <v>94</v>
      </c>
      <c r="D45" s="430"/>
      <c r="E45" s="431"/>
      <c r="F45" s="469"/>
      <c r="G45" s="470"/>
      <c r="H45" s="470"/>
      <c r="I45" s="471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</row>
    <row r="46" spans="3:25" ht="42.75" customHeight="1">
      <c r="C46" s="525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241"/>
      <c r="K46" s="234"/>
      <c r="L46" s="234"/>
      <c r="M46" s="243"/>
      <c r="N46" s="241"/>
      <c r="O46" s="234"/>
      <c r="P46" s="234"/>
      <c r="Q46" s="243"/>
      <c r="R46" s="241"/>
      <c r="S46" s="234"/>
      <c r="T46" s="234"/>
      <c r="U46" s="243"/>
      <c r="V46" s="241"/>
      <c r="W46" s="234"/>
      <c r="X46" s="234"/>
      <c r="Y46" s="243"/>
    </row>
    <row r="47" spans="3:25" ht="16">
      <c r="C47" s="525"/>
      <c r="D47" s="483"/>
      <c r="E47" s="488" t="s">
        <v>91</v>
      </c>
      <c r="F47" s="178">
        <v>38.799999999999997</v>
      </c>
      <c r="G47" s="478">
        <v>37.1</v>
      </c>
      <c r="H47" s="457">
        <f>SUM(G47,-F47)</f>
        <v>-1.6999999999999957</v>
      </c>
      <c r="I47" s="459" t="s">
        <v>145</v>
      </c>
      <c r="J47" s="238"/>
      <c r="K47" s="562"/>
      <c r="L47" s="561"/>
      <c r="M47" s="562"/>
      <c r="N47" s="238"/>
      <c r="O47" s="562"/>
      <c r="P47" s="561"/>
      <c r="Q47" s="562"/>
      <c r="R47" s="238"/>
      <c r="S47" s="562"/>
      <c r="T47" s="561"/>
      <c r="U47" s="562"/>
      <c r="V47" s="238"/>
      <c r="W47" s="562"/>
      <c r="X47" s="561"/>
      <c r="Y47" s="562"/>
    </row>
    <row r="48" spans="3:25" ht="16.5" thickBot="1">
      <c r="C48" s="533"/>
      <c r="D48" s="487"/>
      <c r="E48" s="489"/>
      <c r="F48" s="177">
        <v>0.65</v>
      </c>
      <c r="G48" s="479"/>
      <c r="H48" s="480"/>
      <c r="I48" s="481"/>
      <c r="J48" s="242"/>
      <c r="K48" s="563"/>
      <c r="L48" s="564"/>
      <c r="M48" s="563"/>
      <c r="N48" s="242"/>
      <c r="O48" s="563"/>
      <c r="P48" s="564"/>
      <c r="Q48" s="563"/>
      <c r="R48" s="242"/>
      <c r="S48" s="563"/>
      <c r="T48" s="564"/>
      <c r="U48" s="563"/>
      <c r="V48" s="242"/>
      <c r="W48" s="563"/>
      <c r="X48" s="564"/>
      <c r="Y48" s="563"/>
    </row>
    <row r="49" spans="1:25" ht="15.5" thickBot="1">
      <c r="C49" s="176"/>
      <c r="D49" s="174"/>
      <c r="E49" s="174"/>
      <c r="F49" s="174"/>
      <c r="G49" s="174"/>
      <c r="H49" s="174"/>
      <c r="I49" s="173"/>
    </row>
    <row r="50" spans="1:25" ht="16.5" thickBot="1">
      <c r="C50" s="514" t="s">
        <v>89</v>
      </c>
      <c r="D50" s="430"/>
      <c r="E50" s="431"/>
      <c r="F50" s="469"/>
      <c r="G50" s="470"/>
      <c r="H50" s="470"/>
      <c r="I50" s="471"/>
      <c r="J50" s="559"/>
      <c r="K50" s="559"/>
      <c r="L50" s="559"/>
      <c r="M50" s="559"/>
      <c r="N50" s="559"/>
      <c r="O50" s="559"/>
      <c r="P50" s="559"/>
      <c r="Q50" s="559"/>
      <c r="R50" s="559"/>
      <c r="S50" s="559"/>
      <c r="T50" s="559"/>
      <c r="U50" s="559"/>
      <c r="V50" s="559"/>
      <c r="W50" s="559"/>
      <c r="X50" s="559"/>
      <c r="Y50" s="559"/>
    </row>
    <row r="51" spans="1:25" ht="42.75" customHeight="1">
      <c r="C51" s="525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241"/>
      <c r="K51" s="240"/>
      <c r="L51" s="240"/>
      <c r="M51" s="239"/>
      <c r="N51" s="241"/>
      <c r="O51" s="240"/>
      <c r="P51" s="240"/>
      <c r="Q51" s="239"/>
      <c r="R51" s="241"/>
      <c r="S51" s="240"/>
      <c r="T51" s="240"/>
      <c r="U51" s="239"/>
      <c r="V51" s="241"/>
      <c r="W51" s="240"/>
      <c r="X51" s="240"/>
      <c r="Y51" s="239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238"/>
      <c r="K52" s="238"/>
      <c r="L52" s="237"/>
      <c r="M52" s="237"/>
      <c r="N52" s="238"/>
      <c r="O52" s="238"/>
      <c r="P52" s="237"/>
      <c r="Q52" s="237"/>
      <c r="R52" s="238"/>
      <c r="S52" s="238"/>
      <c r="T52" s="237"/>
      <c r="U52" s="237"/>
      <c r="V52" s="238"/>
      <c r="W52" s="238"/>
      <c r="X52" s="237"/>
      <c r="Y52" s="237"/>
    </row>
    <row r="53" spans="1:25" ht="16.5" thickBot="1">
      <c r="C53" s="533"/>
      <c r="D53" s="487"/>
      <c r="E53" s="162" t="s">
        <v>82</v>
      </c>
      <c r="F53" s="161">
        <v>0</v>
      </c>
      <c r="G53" s="236">
        <v>24.3</v>
      </c>
      <c r="H53" s="159" t="s">
        <v>159</v>
      </c>
      <c r="I53" s="158"/>
      <c r="J53" s="235"/>
      <c r="K53" s="233"/>
      <c r="L53" s="234"/>
      <c r="M53" s="233"/>
      <c r="N53" s="235"/>
      <c r="O53" s="233"/>
      <c r="P53" s="234"/>
      <c r="Q53" s="233"/>
      <c r="R53" s="235"/>
      <c r="S53" s="233"/>
      <c r="T53" s="234"/>
      <c r="U53" s="233"/>
      <c r="V53" s="235"/>
      <c r="W53" s="233"/>
      <c r="X53" s="234"/>
      <c r="Y53" s="233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 t="s">
        <v>157</v>
      </c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156</v>
      </c>
      <c r="M57" s="23"/>
      <c r="N57" s="23"/>
      <c r="O57" s="23"/>
      <c r="P57" s="23" t="s">
        <v>155</v>
      </c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&amp;"メイリオ,ボールド"&amp;22日別の優先給電ルールに基づく抑制、調整状況（2024年9月）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C732-D6E5-4750-9DD9-79DBAA06C5AC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45571</v>
      </c>
      <c r="G3" s="96" t="s">
        <v>63</v>
      </c>
      <c r="H3" s="25">
        <v>45574</v>
      </c>
      <c r="I3" s="26" t="s">
        <v>64</v>
      </c>
      <c r="J3" s="25">
        <v>45575</v>
      </c>
      <c r="K3" s="26" t="s">
        <v>64</v>
      </c>
      <c r="L3" s="25">
        <v>45576</v>
      </c>
      <c r="M3" s="26" t="s">
        <v>49</v>
      </c>
      <c r="N3" s="25">
        <v>45577</v>
      </c>
      <c r="O3" s="26" t="s">
        <v>56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75.2</v>
      </c>
      <c r="G5" s="381" t="s">
        <v>45</v>
      </c>
      <c r="H5" s="9">
        <v>78.2</v>
      </c>
      <c r="I5" s="384" t="s">
        <v>65</v>
      </c>
      <c r="J5" s="9">
        <v>78.2</v>
      </c>
      <c r="K5" s="384" t="s">
        <v>45</v>
      </c>
      <c r="L5" s="9">
        <v>69.599999999999994</v>
      </c>
      <c r="M5" s="384" t="s">
        <v>45</v>
      </c>
      <c r="N5" s="9">
        <v>66.7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124.5</v>
      </c>
      <c r="G6" s="382"/>
      <c r="H6" s="10">
        <v>138.30000000000001</v>
      </c>
      <c r="I6" s="385"/>
      <c r="J6" s="10">
        <v>138.6</v>
      </c>
      <c r="K6" s="385"/>
      <c r="L6" s="10">
        <v>114.4</v>
      </c>
      <c r="M6" s="385"/>
      <c r="N6" s="10">
        <v>77.900000000000006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320.10000000000002</v>
      </c>
      <c r="G7" s="382"/>
      <c r="H7" s="28">
        <v>320.2</v>
      </c>
      <c r="I7" s="385"/>
      <c r="J7" s="28">
        <v>320.39999999999998</v>
      </c>
      <c r="K7" s="385"/>
      <c r="L7" s="28">
        <v>320.8</v>
      </c>
      <c r="M7" s="385"/>
      <c r="N7" s="28">
        <v>320.7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36.1</v>
      </c>
      <c r="G8" s="382"/>
      <c r="H8" s="29">
        <v>44.2</v>
      </c>
      <c r="I8" s="385"/>
      <c r="J8" s="29">
        <v>33.000000000000036</v>
      </c>
      <c r="K8" s="385"/>
      <c r="L8" s="29">
        <v>39.200000000000003</v>
      </c>
      <c r="M8" s="385"/>
      <c r="N8" s="29">
        <v>36.60000000000008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14.4</v>
      </c>
      <c r="G9" s="382"/>
      <c r="H9" s="30">
        <v>14</v>
      </c>
      <c r="I9" s="385"/>
      <c r="J9" s="30">
        <v>13.1</v>
      </c>
      <c r="K9" s="385"/>
      <c r="L9" s="30">
        <v>13.1</v>
      </c>
      <c r="M9" s="385"/>
      <c r="N9" s="30">
        <v>13.1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37.299999999999997</v>
      </c>
      <c r="G10" s="382"/>
      <c r="H10" s="11">
        <v>37</v>
      </c>
      <c r="I10" s="385"/>
      <c r="J10" s="11">
        <v>40.700000000000003</v>
      </c>
      <c r="K10" s="385"/>
      <c r="L10" s="11">
        <v>39.4</v>
      </c>
      <c r="M10" s="385"/>
      <c r="N10" s="11">
        <v>34.9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25.2</v>
      </c>
      <c r="G11" s="382"/>
      <c r="H11" s="12">
        <v>23.8</v>
      </c>
      <c r="I11" s="385"/>
      <c r="J11" s="12">
        <v>23.3</v>
      </c>
      <c r="K11" s="385"/>
      <c r="L11" s="12">
        <v>22.1</v>
      </c>
      <c r="M11" s="385"/>
      <c r="N11" s="12">
        <v>22.6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536.9</v>
      </c>
      <c r="G12" s="382"/>
      <c r="H12" s="13">
        <v>815.3</v>
      </c>
      <c r="I12" s="385"/>
      <c r="J12" s="13">
        <v>797.6</v>
      </c>
      <c r="K12" s="385"/>
      <c r="L12" s="13">
        <v>821</v>
      </c>
      <c r="M12" s="385"/>
      <c r="N12" s="13">
        <v>806.2</v>
      </c>
      <c r="O12" s="385"/>
    </row>
    <row r="13" spans="2:15" ht="16">
      <c r="B13" s="376"/>
      <c r="C13" s="379"/>
      <c r="D13" s="388"/>
      <c r="E13" s="45" t="s">
        <v>27</v>
      </c>
      <c r="F13" s="106">
        <v>3.3</v>
      </c>
      <c r="G13" s="382"/>
      <c r="H13" s="13">
        <v>14.7</v>
      </c>
      <c r="I13" s="385"/>
      <c r="J13" s="13">
        <v>6.8</v>
      </c>
      <c r="K13" s="385"/>
      <c r="L13" s="13">
        <v>4.5</v>
      </c>
      <c r="M13" s="385"/>
      <c r="N13" s="13">
        <v>7.4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252</v>
      </c>
      <c r="G14" s="382"/>
      <c r="H14" s="14">
        <v>156.69999999999999</v>
      </c>
      <c r="I14" s="385"/>
      <c r="J14" s="14">
        <v>174</v>
      </c>
      <c r="K14" s="385"/>
      <c r="L14" s="14">
        <v>110</v>
      </c>
      <c r="M14" s="385"/>
      <c r="N14" s="14">
        <v>110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1424.9999999999998</v>
      </c>
      <c r="G15" s="382"/>
      <c r="H15" s="15">
        <v>1642.4</v>
      </c>
      <c r="I15" s="385"/>
      <c r="J15" s="15">
        <v>1625.7</v>
      </c>
      <c r="K15" s="385"/>
      <c r="L15" s="15">
        <v>1554.1</v>
      </c>
      <c r="M15" s="385"/>
      <c r="N15" s="15">
        <v>1496.1000000000004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846.4</v>
      </c>
      <c r="G16" s="382"/>
      <c r="H16" s="8">
        <v>994.6</v>
      </c>
      <c r="I16" s="385"/>
      <c r="J16" s="8">
        <v>997.5</v>
      </c>
      <c r="K16" s="385"/>
      <c r="L16" s="8">
        <v>1000.6</v>
      </c>
      <c r="M16" s="385"/>
      <c r="N16" s="8">
        <v>851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-167</v>
      </c>
      <c r="G17" s="382"/>
      <c r="H17" s="16">
        <v>-133</v>
      </c>
      <c r="I17" s="385"/>
      <c r="J17" s="16">
        <v>-65</v>
      </c>
      <c r="K17" s="385"/>
      <c r="L17" s="16">
        <v>-65</v>
      </c>
      <c r="M17" s="385"/>
      <c r="N17" s="16">
        <v>-167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-4.5</v>
      </c>
      <c r="G18" s="382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-148.69999999999999</v>
      </c>
      <c r="G19" s="382"/>
      <c r="H19" s="18">
        <v>-229</v>
      </c>
      <c r="I19" s="385"/>
      <c r="J19" s="18">
        <v>-229</v>
      </c>
      <c r="K19" s="385"/>
      <c r="L19" s="18">
        <v>-205.6</v>
      </c>
      <c r="M19" s="385"/>
      <c r="N19" s="18">
        <v>-182.9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1166.5999999999999</v>
      </c>
      <c r="G21" s="383"/>
      <c r="H21" s="27">
        <v>1361.1</v>
      </c>
      <c r="I21" s="386"/>
      <c r="J21" s="27">
        <v>1296</v>
      </c>
      <c r="K21" s="386"/>
      <c r="L21" s="27">
        <v>1275.6999999999998</v>
      </c>
      <c r="M21" s="386"/>
      <c r="N21" s="27">
        <v>1205.4000000000001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61</v>
      </c>
      <c r="M22" s="7"/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1424.9999999999998</v>
      </c>
      <c r="G23" s="414"/>
      <c r="H23" s="20">
        <v>1642.4</v>
      </c>
      <c r="I23" s="400"/>
      <c r="J23" s="20">
        <v>1625.7</v>
      </c>
      <c r="K23" s="400"/>
      <c r="L23" s="20">
        <v>1554.1</v>
      </c>
      <c r="M23" s="400"/>
      <c r="N23" s="20">
        <v>1496.1000000000004</v>
      </c>
      <c r="O23" s="400"/>
    </row>
    <row r="24" spans="2:15" ht="16">
      <c r="B24" s="409"/>
      <c r="C24" s="403" t="s">
        <v>37</v>
      </c>
      <c r="D24" s="404"/>
      <c r="E24" s="405"/>
      <c r="F24" s="21">
        <v>1166.5999999999999</v>
      </c>
      <c r="G24" s="415"/>
      <c r="H24" s="21">
        <v>1361.1</v>
      </c>
      <c r="I24" s="401"/>
      <c r="J24" s="21">
        <v>1296</v>
      </c>
      <c r="K24" s="401"/>
      <c r="L24" s="21">
        <v>1275.6999999999998</v>
      </c>
      <c r="M24" s="401"/>
      <c r="N24" s="21">
        <v>1205.4000000000001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258.39999999999998</v>
      </c>
      <c r="G25" s="416"/>
      <c r="H25" s="67">
        <v>281.30000000000018</v>
      </c>
      <c r="I25" s="402"/>
      <c r="J25" s="67">
        <v>329.70000000000005</v>
      </c>
      <c r="K25" s="402"/>
      <c r="L25" s="67">
        <v>278.40000000000009</v>
      </c>
      <c r="M25" s="402"/>
      <c r="N25" s="67">
        <v>290.70000000000027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日別の需給状況・再エネ出力抑制の必要性（2024年10月）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DF82-BFC8-40AF-93E6-508060ADF895}">
  <sheetPr>
    <pageSetUpPr fitToPage="1"/>
  </sheetPr>
  <dimension ref="A1:Y57"/>
  <sheetViews>
    <sheetView showGridLines="0" view="pageBreakPreview" topLeftCell="A6" zoomScale="55" zoomScaleNormal="55" zoomScaleSheetLayoutView="55" zoomScalePageLayoutView="70" workbookViewId="0">
      <selection sqref="A1:M38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2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2:25" ht="19.5" customHeight="1" thickBot="1">
      <c r="C2" s="277"/>
      <c r="D2" s="277"/>
      <c r="E2" s="278"/>
      <c r="F2" s="278"/>
      <c r="G2" s="278"/>
      <c r="H2" s="278"/>
      <c r="I2" s="279"/>
      <c r="J2" s="278"/>
      <c r="K2" s="278"/>
      <c r="L2" s="278"/>
      <c r="M2" s="280"/>
      <c r="N2" s="278"/>
      <c r="O2" s="278"/>
      <c r="P2" s="278"/>
      <c r="Q2" s="279"/>
      <c r="R2" s="277"/>
      <c r="S2" s="277"/>
      <c r="T2" s="277"/>
      <c r="U2" s="280"/>
      <c r="V2" s="277"/>
      <c r="W2" s="277"/>
      <c r="X2" s="277"/>
      <c r="Y2" s="280" t="s">
        <v>143</v>
      </c>
    </row>
    <row r="3" spans="2:25" ht="17" thickTop="1" thickBot="1">
      <c r="B3" s="281"/>
      <c r="C3" s="498" t="s">
        <v>142</v>
      </c>
      <c r="D3" s="498"/>
      <c r="E3" s="499"/>
      <c r="F3" s="490">
        <v>45762</v>
      </c>
      <c r="G3" s="491"/>
      <c r="H3" s="491"/>
      <c r="I3" s="492"/>
      <c r="J3" s="490">
        <v>45763</v>
      </c>
      <c r="K3" s="491"/>
      <c r="L3" s="491"/>
      <c r="M3" s="492"/>
      <c r="N3" s="490">
        <v>45764</v>
      </c>
      <c r="O3" s="491"/>
      <c r="P3" s="491"/>
      <c r="Q3" s="492"/>
      <c r="R3" s="490">
        <v>45765</v>
      </c>
      <c r="S3" s="491"/>
      <c r="T3" s="491"/>
      <c r="U3" s="492"/>
      <c r="V3" s="490">
        <v>45766</v>
      </c>
      <c r="W3" s="491"/>
      <c r="X3" s="491"/>
      <c r="Y3" s="493"/>
    </row>
    <row r="4" spans="2:25" ht="16">
      <c r="B4" s="281"/>
      <c r="C4" s="494" t="s">
        <v>141</v>
      </c>
      <c r="D4" s="205" t="s">
        <v>140</v>
      </c>
      <c r="E4" s="204" t="s">
        <v>113</v>
      </c>
      <c r="F4" s="210" t="s">
        <v>139</v>
      </c>
      <c r="G4" s="181" t="s">
        <v>86</v>
      </c>
      <c r="H4" s="180" t="s">
        <v>85</v>
      </c>
      <c r="I4" s="179" t="s">
        <v>92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262" t="s">
        <v>166</v>
      </c>
    </row>
    <row r="5" spans="2:25" ht="16">
      <c r="B5" s="281"/>
      <c r="C5" s="495"/>
      <c r="D5" s="425" t="s">
        <v>138</v>
      </c>
      <c r="E5" s="211" t="s">
        <v>137</v>
      </c>
      <c r="F5" s="166">
        <v>12.4</v>
      </c>
      <c r="G5" s="165">
        <v>12.4</v>
      </c>
      <c r="H5" s="164">
        <v>0</v>
      </c>
      <c r="I5" s="219"/>
      <c r="J5" s="166">
        <v>12.4</v>
      </c>
      <c r="K5" s="165">
        <v>12.4</v>
      </c>
      <c r="L5" s="164">
        <f t="shared" ref="L5:L8" si="0"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63"/>
    </row>
    <row r="6" spans="2:25" ht="16">
      <c r="B6" s="281"/>
      <c r="C6" s="495"/>
      <c r="D6" s="426"/>
      <c r="E6" s="211" t="s">
        <v>136</v>
      </c>
      <c r="F6" s="166">
        <v>8.8000000000000007</v>
      </c>
      <c r="G6" s="165">
        <v>8.8000000000000007</v>
      </c>
      <c r="H6" s="164">
        <v>0</v>
      </c>
      <c r="I6" s="219"/>
      <c r="J6" s="166">
        <v>8.8000000000000007</v>
      </c>
      <c r="K6" s="165">
        <v>8.8000000000000007</v>
      </c>
      <c r="L6" s="164">
        <f t="shared" si="0"/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63"/>
    </row>
    <row r="7" spans="2:25" ht="16">
      <c r="B7" s="281"/>
      <c r="C7" s="495"/>
      <c r="D7" s="425" t="s">
        <v>135</v>
      </c>
      <c r="E7" s="211" t="s">
        <v>134</v>
      </c>
      <c r="F7" s="166">
        <v>0</v>
      </c>
      <c r="G7" s="165">
        <v>0</v>
      </c>
      <c r="H7" s="164">
        <v>0</v>
      </c>
      <c r="I7" s="219"/>
      <c r="J7" s="166">
        <v>0</v>
      </c>
      <c r="K7" s="165">
        <v>0</v>
      </c>
      <c r="L7" s="164">
        <f t="shared" si="0"/>
        <v>0</v>
      </c>
      <c r="M7" s="219"/>
      <c r="N7" s="166">
        <v>0</v>
      </c>
      <c r="O7" s="165">
        <v>0</v>
      </c>
      <c r="P7" s="164">
        <f t="shared" ref="P7" si="1">SUM(O7,-N7)</f>
        <v>0</v>
      </c>
      <c r="Q7" s="219"/>
      <c r="R7" s="166">
        <v>0</v>
      </c>
      <c r="S7" s="165">
        <v>0</v>
      </c>
      <c r="T7" s="164">
        <f t="shared" ref="T7" si="2">SUM(S7,-R7)</f>
        <v>0</v>
      </c>
      <c r="U7" s="219"/>
      <c r="V7" s="166">
        <v>0</v>
      </c>
      <c r="W7" s="165">
        <v>0</v>
      </c>
      <c r="X7" s="164">
        <f t="shared" ref="X7" si="3">SUM(W7,-V7)</f>
        <v>0</v>
      </c>
      <c r="Y7" s="263"/>
    </row>
    <row r="8" spans="2:25" ht="16">
      <c r="B8" s="281"/>
      <c r="C8" s="496"/>
      <c r="D8" s="426"/>
      <c r="E8" s="218" t="s">
        <v>133</v>
      </c>
      <c r="F8" s="217">
        <v>55.1</v>
      </c>
      <c r="G8" s="216">
        <v>55.1</v>
      </c>
      <c r="H8" s="215">
        <v>0</v>
      </c>
      <c r="I8" s="214"/>
      <c r="J8" s="217">
        <v>54.1</v>
      </c>
      <c r="K8" s="216">
        <v>54.1</v>
      </c>
      <c r="L8" s="215">
        <f t="shared" si="0"/>
        <v>0</v>
      </c>
      <c r="M8" s="214"/>
      <c r="N8" s="217">
        <v>54.5</v>
      </c>
      <c r="O8" s="216">
        <v>54.5</v>
      </c>
      <c r="P8" s="215">
        <f>SUM(O8,-N8)</f>
        <v>0</v>
      </c>
      <c r="Q8" s="232"/>
      <c r="R8" s="217">
        <v>54.900000000000006</v>
      </c>
      <c r="S8" s="216">
        <v>54.900000000000006</v>
      </c>
      <c r="T8" s="215">
        <f>SUM(S8,-R8)</f>
        <v>0</v>
      </c>
      <c r="U8" s="232"/>
      <c r="V8" s="217">
        <v>52.7</v>
      </c>
      <c r="W8" s="216">
        <v>52.7</v>
      </c>
      <c r="X8" s="215">
        <f>SUM(W8,-V8)</f>
        <v>0</v>
      </c>
      <c r="Y8" s="264"/>
    </row>
    <row r="9" spans="2:25" ht="16.5" thickBot="1">
      <c r="B9" s="281"/>
      <c r="C9" s="497"/>
      <c r="D9" s="427" t="s">
        <v>101</v>
      </c>
      <c r="E9" s="428"/>
      <c r="F9" s="188">
        <v>108.9</v>
      </c>
      <c r="G9" s="187">
        <v>108.9</v>
      </c>
      <c r="H9" s="187">
        <v>0</v>
      </c>
      <c r="I9" s="213" t="s">
        <v>81</v>
      </c>
      <c r="J9" s="188">
        <f t="shared" ref="J9:L9" si="4">SUM(J5:J8)</f>
        <v>75.300000000000011</v>
      </c>
      <c r="K9" s="187">
        <f t="shared" si="4"/>
        <v>75.300000000000011</v>
      </c>
      <c r="L9" s="187">
        <f t="shared" si="4"/>
        <v>0</v>
      </c>
      <c r="M9" s="213" t="s">
        <v>159</v>
      </c>
      <c r="N9" s="188">
        <f>SUM(N5:N8)</f>
        <v>75.7</v>
      </c>
      <c r="O9" s="187">
        <f>SUM(O5:O8)</f>
        <v>75.7</v>
      </c>
      <c r="P9" s="187">
        <f>SUM(P5:P8)</f>
        <v>0</v>
      </c>
      <c r="Q9" s="213" t="s">
        <v>159</v>
      </c>
      <c r="R9" s="188">
        <f>SUM(R5:R8)</f>
        <v>76.100000000000009</v>
      </c>
      <c r="S9" s="187">
        <f>SUM(S5:S8)</f>
        <v>76.100000000000009</v>
      </c>
      <c r="T9" s="187">
        <f>SUM(T5:T8)</f>
        <v>0</v>
      </c>
      <c r="U9" s="213" t="s">
        <v>159</v>
      </c>
      <c r="V9" s="188">
        <f>SUM(V5:V8)</f>
        <v>73.900000000000006</v>
      </c>
      <c r="W9" s="187">
        <f>SUM(W5:W8)</f>
        <v>73.900000000000006</v>
      </c>
      <c r="X9" s="187">
        <f>SUM(X5:X8)</f>
        <v>0</v>
      </c>
      <c r="Y9" s="265" t="s">
        <v>159</v>
      </c>
    </row>
    <row r="10" spans="2:25" ht="15.5" thickBot="1">
      <c r="B10" s="281"/>
      <c r="C10" s="174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266"/>
    </row>
    <row r="11" spans="2:25" ht="16.5" thickBot="1">
      <c r="B11" s="281"/>
      <c r="C11" s="430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282"/>
      <c r="W11" s="283"/>
      <c r="X11" s="283"/>
      <c r="Y11" s="284"/>
    </row>
    <row r="12" spans="2:25" ht="16">
      <c r="B12" s="281"/>
      <c r="C12" s="502" t="s">
        <v>131</v>
      </c>
      <c r="D12" s="205" t="s">
        <v>113</v>
      </c>
      <c r="E12" s="204" t="s">
        <v>130</v>
      </c>
      <c r="F12" s="210" t="s">
        <v>129</v>
      </c>
      <c r="G12" s="181" t="s">
        <v>86</v>
      </c>
      <c r="H12" s="180" t="s">
        <v>85</v>
      </c>
      <c r="I12" s="179" t="s">
        <v>92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262" t="s">
        <v>166</v>
      </c>
    </row>
    <row r="13" spans="2:25" ht="16">
      <c r="B13" s="281"/>
      <c r="C13" s="503"/>
      <c r="D13" s="425" t="s">
        <v>128</v>
      </c>
      <c r="E13" s="211" t="s">
        <v>125</v>
      </c>
      <c r="F13" s="166">
        <v>-26.1</v>
      </c>
      <c r="G13" s="165">
        <v>0</v>
      </c>
      <c r="H13" s="164">
        <f>SUM(G13,-F13)</f>
        <v>26.1</v>
      </c>
      <c r="I13" s="232" t="s">
        <v>149</v>
      </c>
      <c r="J13" s="166">
        <v>-26.1</v>
      </c>
      <c r="K13" s="165">
        <v>0</v>
      </c>
      <c r="L13" s="164">
        <f>SUM(K13,-J13)</f>
        <v>26.1</v>
      </c>
      <c r="M13" s="232" t="s">
        <v>149</v>
      </c>
      <c r="N13" s="166">
        <v>-26.1</v>
      </c>
      <c r="O13" s="165">
        <v>0</v>
      </c>
      <c r="P13" s="164">
        <f>SUM(O13,-N13)</f>
        <v>26.1</v>
      </c>
      <c r="Q13" s="232" t="s">
        <v>149</v>
      </c>
      <c r="R13" s="166">
        <v>-26.1</v>
      </c>
      <c r="S13" s="165">
        <v>0</v>
      </c>
      <c r="T13" s="164">
        <f>SUM(S13,-R13)</f>
        <v>26.1</v>
      </c>
      <c r="U13" s="232" t="s">
        <v>149</v>
      </c>
      <c r="V13" s="166">
        <v>-26.1</v>
      </c>
      <c r="W13" s="165">
        <v>0</v>
      </c>
      <c r="X13" s="164">
        <f>SUM(W13,-V13)</f>
        <v>26.1</v>
      </c>
      <c r="Y13" s="285" t="s">
        <v>149</v>
      </c>
    </row>
    <row r="14" spans="2:25" ht="16">
      <c r="B14" s="281"/>
      <c r="C14" s="503"/>
      <c r="D14" s="442"/>
      <c r="E14" s="211" t="s">
        <v>124</v>
      </c>
      <c r="F14" s="166">
        <v>-26.1</v>
      </c>
      <c r="G14" s="165">
        <v>-26.1</v>
      </c>
      <c r="H14" s="164">
        <f t="shared" ref="H14:H20" si="5">SUM(G14,-F14)</f>
        <v>0</v>
      </c>
      <c r="I14" s="189"/>
      <c r="J14" s="166">
        <v>-26.1</v>
      </c>
      <c r="K14" s="165">
        <v>-26.1</v>
      </c>
      <c r="L14" s="164">
        <f t="shared" ref="L14:L20" si="6">SUM(K14,-J14)</f>
        <v>0</v>
      </c>
      <c r="M14" s="189"/>
      <c r="N14" s="166">
        <v>-26.1</v>
      </c>
      <c r="O14" s="165">
        <v>-26.1</v>
      </c>
      <c r="P14" s="164">
        <f t="shared" ref="P14:P20" si="7">SUM(O14,-N14)</f>
        <v>0</v>
      </c>
      <c r="Q14" s="232"/>
      <c r="R14" s="166">
        <v>-26.1</v>
      </c>
      <c r="S14" s="165">
        <v>-26.1</v>
      </c>
      <c r="T14" s="164">
        <f t="shared" ref="T14:T20" si="8">SUM(S14,-R14)</f>
        <v>0</v>
      </c>
      <c r="U14" s="232"/>
      <c r="V14" s="166">
        <v>-26.1</v>
      </c>
      <c r="W14" s="165">
        <v>-26.1</v>
      </c>
      <c r="X14" s="164">
        <f t="shared" ref="X14:X20" si="9">SUM(W14,-V14)</f>
        <v>0</v>
      </c>
      <c r="Y14" s="285"/>
    </row>
    <row r="15" spans="2:25" ht="16">
      <c r="B15" s="281"/>
      <c r="C15" s="50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5"/>
        <v>0</v>
      </c>
      <c r="I15" s="232"/>
      <c r="J15" s="166">
        <v>-32.5</v>
      </c>
      <c r="K15" s="165">
        <v>-32.5</v>
      </c>
      <c r="L15" s="164">
        <f t="shared" si="6"/>
        <v>0</v>
      </c>
      <c r="M15" s="232"/>
      <c r="N15" s="166">
        <v>-32.5</v>
      </c>
      <c r="O15" s="165">
        <v>-32.5</v>
      </c>
      <c r="P15" s="164">
        <f t="shared" si="7"/>
        <v>0</v>
      </c>
      <c r="Q15" s="232"/>
      <c r="R15" s="166">
        <v>-32.5</v>
      </c>
      <c r="S15" s="165">
        <v>-32.5</v>
      </c>
      <c r="T15" s="164">
        <f t="shared" si="8"/>
        <v>0</v>
      </c>
      <c r="U15" s="232"/>
      <c r="V15" s="166">
        <v>-32.5</v>
      </c>
      <c r="W15" s="165">
        <v>-32.5</v>
      </c>
      <c r="X15" s="164">
        <f t="shared" si="9"/>
        <v>0</v>
      </c>
      <c r="Y15" s="285"/>
    </row>
    <row r="16" spans="2:25" ht="16">
      <c r="B16" s="281"/>
      <c r="C16" s="503"/>
      <c r="D16" s="442"/>
      <c r="E16" s="211" t="s">
        <v>124</v>
      </c>
      <c r="F16" s="166">
        <v>-32.5</v>
      </c>
      <c r="G16" s="165">
        <v>-32.5</v>
      </c>
      <c r="H16" s="164">
        <f t="shared" si="5"/>
        <v>0</v>
      </c>
      <c r="I16" s="232"/>
      <c r="J16" s="166">
        <v>-32.5</v>
      </c>
      <c r="K16" s="165">
        <v>-32.5</v>
      </c>
      <c r="L16" s="164">
        <f t="shared" si="6"/>
        <v>0</v>
      </c>
      <c r="M16" s="232"/>
      <c r="N16" s="166">
        <v>-32.5</v>
      </c>
      <c r="O16" s="165">
        <v>-32.5</v>
      </c>
      <c r="P16" s="164">
        <f t="shared" si="7"/>
        <v>0</v>
      </c>
      <c r="Q16" s="232"/>
      <c r="R16" s="166">
        <v>-32.5</v>
      </c>
      <c r="S16" s="165">
        <v>-32.5</v>
      </c>
      <c r="T16" s="164">
        <f t="shared" si="8"/>
        <v>0</v>
      </c>
      <c r="U16" s="232"/>
      <c r="V16" s="166">
        <v>-32.5</v>
      </c>
      <c r="W16" s="165">
        <v>-32.5</v>
      </c>
      <c r="X16" s="164">
        <f t="shared" si="9"/>
        <v>0</v>
      </c>
      <c r="Y16" s="285"/>
    </row>
    <row r="17" spans="2:25" ht="16">
      <c r="B17" s="281"/>
      <c r="C17" s="50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5"/>
        <v>0</v>
      </c>
      <c r="I17" s="212"/>
      <c r="J17" s="166">
        <v>-34</v>
      </c>
      <c r="K17" s="165">
        <v>-34</v>
      </c>
      <c r="L17" s="164">
        <f t="shared" si="6"/>
        <v>0</v>
      </c>
      <c r="M17" s="232"/>
      <c r="N17" s="166">
        <v>-34</v>
      </c>
      <c r="O17" s="165">
        <v>-34</v>
      </c>
      <c r="P17" s="164">
        <f t="shared" si="7"/>
        <v>0</v>
      </c>
      <c r="Q17" s="212"/>
      <c r="R17" s="166">
        <v>-34</v>
      </c>
      <c r="S17" s="165">
        <v>-34</v>
      </c>
      <c r="T17" s="164">
        <f t="shared" si="8"/>
        <v>0</v>
      </c>
      <c r="U17" s="212"/>
      <c r="V17" s="166">
        <v>-34</v>
      </c>
      <c r="W17" s="165">
        <v>-34</v>
      </c>
      <c r="X17" s="164">
        <f t="shared" si="9"/>
        <v>0</v>
      </c>
      <c r="Y17" s="286"/>
    </row>
    <row r="18" spans="2:25" ht="16">
      <c r="B18" s="281"/>
      <c r="C18" s="503"/>
      <c r="D18" s="443"/>
      <c r="E18" s="211" t="s">
        <v>124</v>
      </c>
      <c r="F18" s="166">
        <v>-34</v>
      </c>
      <c r="G18" s="165">
        <v>-34</v>
      </c>
      <c r="H18" s="164">
        <f t="shared" si="5"/>
        <v>0</v>
      </c>
      <c r="I18" s="189"/>
      <c r="J18" s="166">
        <v>-34</v>
      </c>
      <c r="K18" s="165">
        <v>-34</v>
      </c>
      <c r="L18" s="164">
        <f t="shared" si="6"/>
        <v>0</v>
      </c>
      <c r="M18" s="232"/>
      <c r="N18" s="166">
        <v>-34</v>
      </c>
      <c r="O18" s="165">
        <v>-34</v>
      </c>
      <c r="P18" s="164">
        <f t="shared" si="7"/>
        <v>0</v>
      </c>
      <c r="Q18" s="189"/>
      <c r="R18" s="166">
        <v>-34</v>
      </c>
      <c r="S18" s="165">
        <v>-34</v>
      </c>
      <c r="T18" s="164">
        <f t="shared" si="8"/>
        <v>0</v>
      </c>
      <c r="U18" s="189"/>
      <c r="V18" s="166">
        <v>-34</v>
      </c>
      <c r="W18" s="165">
        <v>-34</v>
      </c>
      <c r="X18" s="164">
        <f t="shared" si="9"/>
        <v>0</v>
      </c>
      <c r="Y18" s="267"/>
    </row>
    <row r="19" spans="2:25" ht="16">
      <c r="B19" s="281"/>
      <c r="C19" s="503"/>
      <c r="D19" s="443"/>
      <c r="E19" s="211" t="s">
        <v>122</v>
      </c>
      <c r="F19" s="166">
        <v>-34</v>
      </c>
      <c r="G19" s="165">
        <v>-34</v>
      </c>
      <c r="H19" s="164">
        <f t="shared" si="5"/>
        <v>0</v>
      </c>
      <c r="I19" s="189"/>
      <c r="J19" s="166">
        <v>-34</v>
      </c>
      <c r="K19" s="165">
        <v>0</v>
      </c>
      <c r="L19" s="164">
        <f t="shared" si="6"/>
        <v>34</v>
      </c>
      <c r="M19" s="232" t="s">
        <v>149</v>
      </c>
      <c r="N19" s="166">
        <v>-34</v>
      </c>
      <c r="O19" s="165">
        <v>-34</v>
      </c>
      <c r="P19" s="164">
        <f t="shared" si="7"/>
        <v>0</v>
      </c>
      <c r="Q19" s="189"/>
      <c r="R19" s="166">
        <v>-34</v>
      </c>
      <c r="S19" s="165">
        <v>-34</v>
      </c>
      <c r="T19" s="164">
        <f t="shared" si="8"/>
        <v>0</v>
      </c>
      <c r="U19" s="189"/>
      <c r="V19" s="166">
        <v>-34</v>
      </c>
      <c r="W19" s="165">
        <v>-34</v>
      </c>
      <c r="X19" s="164">
        <f t="shared" si="9"/>
        <v>0</v>
      </c>
      <c r="Y19" s="267"/>
    </row>
    <row r="20" spans="2:25" ht="16">
      <c r="B20" s="281"/>
      <c r="C20" s="503"/>
      <c r="D20" s="442"/>
      <c r="E20" s="211" t="s">
        <v>121</v>
      </c>
      <c r="F20" s="166">
        <v>-34</v>
      </c>
      <c r="G20" s="165">
        <v>-34</v>
      </c>
      <c r="H20" s="164">
        <f t="shared" si="5"/>
        <v>0</v>
      </c>
      <c r="I20" s="189"/>
      <c r="J20" s="166">
        <v>-34</v>
      </c>
      <c r="K20" s="165">
        <v>0</v>
      </c>
      <c r="L20" s="164">
        <f t="shared" si="6"/>
        <v>34</v>
      </c>
      <c r="M20" s="232" t="s">
        <v>149</v>
      </c>
      <c r="N20" s="166">
        <v>-34</v>
      </c>
      <c r="O20" s="165">
        <v>-34</v>
      </c>
      <c r="P20" s="164">
        <f t="shared" si="7"/>
        <v>0</v>
      </c>
      <c r="Q20" s="189"/>
      <c r="R20" s="166">
        <v>-34</v>
      </c>
      <c r="S20" s="165">
        <v>-34</v>
      </c>
      <c r="T20" s="164">
        <f t="shared" si="8"/>
        <v>0</v>
      </c>
      <c r="U20" s="189"/>
      <c r="V20" s="166">
        <v>-34</v>
      </c>
      <c r="W20" s="165">
        <v>-34</v>
      </c>
      <c r="X20" s="164">
        <f t="shared" si="9"/>
        <v>0</v>
      </c>
      <c r="Y20" s="267"/>
    </row>
    <row r="21" spans="2:25" ht="16.5" thickBot="1">
      <c r="B21" s="281"/>
      <c r="C21" s="504"/>
      <c r="D21" s="427" t="s">
        <v>101</v>
      </c>
      <c r="E21" s="428"/>
      <c r="F21" s="188">
        <v>-253.2</v>
      </c>
      <c r="G21" s="187">
        <v>-227.1</v>
      </c>
      <c r="H21" s="187">
        <v>26.1</v>
      </c>
      <c r="I21" s="186" t="s">
        <v>81</v>
      </c>
      <c r="J21" s="188">
        <f t="shared" ref="J21:L21" si="10">SUM(J13:J20)</f>
        <v>-253.2</v>
      </c>
      <c r="K21" s="187">
        <f t="shared" si="10"/>
        <v>-159.1</v>
      </c>
      <c r="L21" s="187">
        <f t="shared" si="10"/>
        <v>94.1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268" t="s">
        <v>159</v>
      </c>
    </row>
    <row r="22" spans="2:25" ht="15.5" thickBot="1">
      <c r="B22" s="281"/>
      <c r="C22" s="174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266"/>
    </row>
    <row r="23" spans="2:25" ht="16.5" thickBot="1">
      <c r="B23" s="281"/>
      <c r="C23" s="430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282"/>
      <c r="W23" s="283"/>
      <c r="X23" s="283"/>
      <c r="Y23" s="284"/>
    </row>
    <row r="24" spans="2:25" ht="16">
      <c r="B24" s="281"/>
      <c r="C24" s="500" t="s">
        <v>175</v>
      </c>
      <c r="D24" s="445"/>
      <c r="E24" s="448" t="s">
        <v>118</v>
      </c>
      <c r="F24" s="210" t="s">
        <v>117</v>
      </c>
      <c r="G24" s="181" t="s">
        <v>86</v>
      </c>
      <c r="H24" s="180" t="s">
        <v>85</v>
      </c>
      <c r="I24" s="179" t="s">
        <v>92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262" t="s">
        <v>166</v>
      </c>
    </row>
    <row r="25" spans="2:25" ht="16.5" thickBot="1">
      <c r="B25" s="281"/>
      <c r="C25" s="501"/>
      <c r="D25" s="447"/>
      <c r="E25" s="449"/>
      <c r="F25" s="209">
        <v>-5</v>
      </c>
      <c r="G25" s="208">
        <f>[4]翌日!V24/10</f>
        <v>-4.5</v>
      </c>
      <c r="H25" s="207">
        <f t="shared" ref="H25" si="11">SUM(G25,-F25)</f>
        <v>0.5</v>
      </c>
      <c r="I25" s="206" t="s">
        <v>150</v>
      </c>
      <c r="J25" s="209">
        <v>-5</v>
      </c>
      <c r="K25" s="208">
        <v>-4.5</v>
      </c>
      <c r="L25" s="207">
        <f t="shared" ref="L25" si="12">SUM(K25,-J25)</f>
        <v>0.5</v>
      </c>
      <c r="M25" s="206" t="s">
        <v>150</v>
      </c>
      <c r="N25" s="209">
        <v>-5</v>
      </c>
      <c r="O25" s="208">
        <v>-4.5</v>
      </c>
      <c r="P25" s="207">
        <f t="shared" ref="P25" si="13">SUM(O25,-N25)</f>
        <v>0.5</v>
      </c>
      <c r="Q25" s="206" t="s">
        <v>150</v>
      </c>
      <c r="R25" s="209">
        <v>-5</v>
      </c>
      <c r="S25" s="208">
        <v>-4.5</v>
      </c>
      <c r="T25" s="207">
        <f t="shared" ref="T25" si="14">SUM(S25,-R25)</f>
        <v>0.5</v>
      </c>
      <c r="U25" s="206" t="s">
        <v>150</v>
      </c>
      <c r="V25" s="209">
        <v>-5</v>
      </c>
      <c r="W25" s="208">
        <v>-4.5</v>
      </c>
      <c r="X25" s="207">
        <f t="shared" ref="X25" si="15">SUM(W25,-V25)</f>
        <v>0.5</v>
      </c>
      <c r="Y25" s="269" t="s">
        <v>150</v>
      </c>
    </row>
    <row r="26" spans="2:25" ht="15.5" thickBot="1">
      <c r="B26" s="281"/>
      <c r="C26" s="174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266"/>
    </row>
    <row r="27" spans="2:25" ht="16.5" thickBot="1">
      <c r="B27" s="281"/>
      <c r="C27" s="430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282"/>
      <c r="W27" s="283"/>
      <c r="X27" s="283"/>
      <c r="Y27" s="284"/>
    </row>
    <row r="28" spans="2:25" ht="27" customHeight="1">
      <c r="B28" s="281"/>
      <c r="C28" s="505" t="s">
        <v>115</v>
      </c>
      <c r="D28" s="205" t="s">
        <v>114</v>
      </c>
      <c r="E28" s="204" t="s">
        <v>113</v>
      </c>
      <c r="F28" s="203" t="s">
        <v>112</v>
      </c>
      <c r="G28" s="181" t="s">
        <v>86</v>
      </c>
      <c r="H28" s="180" t="s">
        <v>85</v>
      </c>
      <c r="I28" s="179" t="s">
        <v>92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262" t="s">
        <v>166</v>
      </c>
    </row>
    <row r="29" spans="2:25" ht="16">
      <c r="B29" s="281"/>
      <c r="C29" s="506"/>
      <c r="D29" s="425" t="s">
        <v>111</v>
      </c>
      <c r="E29" s="453" t="s">
        <v>110</v>
      </c>
      <c r="F29" s="200">
        <v>0</v>
      </c>
      <c r="G29" s="455">
        <v>0</v>
      </c>
      <c r="H29" s="457">
        <f t="shared" ref="H29" si="16">SUM(G29,-F29)</f>
        <v>0</v>
      </c>
      <c r="I29" s="459"/>
      <c r="J29" s="200">
        <v>0</v>
      </c>
      <c r="K29" s="455">
        <v>0</v>
      </c>
      <c r="L29" s="457">
        <f t="shared" ref="L29" si="17">SUM(K29,-J29)</f>
        <v>0</v>
      </c>
      <c r="M29" s="459"/>
      <c r="N29" s="200">
        <v>0</v>
      </c>
      <c r="O29" s="455">
        <v>0</v>
      </c>
      <c r="P29" s="457">
        <f>SUM(O29,-N29)</f>
        <v>0</v>
      </c>
      <c r="Q29" s="459"/>
      <c r="R29" s="200">
        <v>0</v>
      </c>
      <c r="S29" s="455">
        <v>0</v>
      </c>
      <c r="T29" s="457">
        <f>SUM(S29,-R29)</f>
        <v>0</v>
      </c>
      <c r="U29" s="459"/>
      <c r="V29" s="200">
        <v>0</v>
      </c>
      <c r="W29" s="455">
        <v>0</v>
      </c>
      <c r="X29" s="457">
        <f>SUM(W29,-V29)</f>
        <v>0</v>
      </c>
      <c r="Y29" s="288"/>
    </row>
    <row r="30" spans="2:25" ht="16">
      <c r="B30" s="281"/>
      <c r="C30" s="506"/>
      <c r="D30" s="443"/>
      <c r="E30" s="454"/>
      <c r="F30" s="202">
        <v>0</v>
      </c>
      <c r="G30" s="456">
        <v>0</v>
      </c>
      <c r="H30" s="458"/>
      <c r="I30" s="460"/>
      <c r="J30" s="202">
        <v>0</v>
      </c>
      <c r="K30" s="456">
        <v>0</v>
      </c>
      <c r="L30" s="458"/>
      <c r="M30" s="460"/>
      <c r="N30" s="202">
        <v>0</v>
      </c>
      <c r="O30" s="456">
        <v>0</v>
      </c>
      <c r="P30" s="458"/>
      <c r="Q30" s="460"/>
      <c r="R30" s="202">
        <v>0</v>
      </c>
      <c r="S30" s="456">
        <v>0</v>
      </c>
      <c r="T30" s="458"/>
      <c r="U30" s="460"/>
      <c r="V30" s="202">
        <v>0</v>
      </c>
      <c r="W30" s="456">
        <v>0</v>
      </c>
      <c r="X30" s="458"/>
      <c r="Y30" s="291"/>
    </row>
    <row r="31" spans="2:25" ht="16">
      <c r="B31" s="281"/>
      <c r="C31" s="506"/>
      <c r="D31" s="443"/>
      <c r="E31" s="453" t="s">
        <v>109</v>
      </c>
      <c r="F31" s="200">
        <v>27.2</v>
      </c>
      <c r="G31" s="455">
        <v>27.2</v>
      </c>
      <c r="H31" s="457">
        <f t="shared" ref="H31" si="18">SUM(G31,-F31)</f>
        <v>0</v>
      </c>
      <c r="I31" s="459"/>
      <c r="J31" s="200">
        <v>27.2</v>
      </c>
      <c r="K31" s="455">
        <v>27.2</v>
      </c>
      <c r="L31" s="457">
        <f t="shared" ref="L31" si="19">SUM(K31,-J31)</f>
        <v>0</v>
      </c>
      <c r="M31" s="459"/>
      <c r="N31" s="200">
        <v>27.2</v>
      </c>
      <c r="O31" s="455">
        <v>27.2</v>
      </c>
      <c r="P31" s="457">
        <f t="shared" ref="P31" si="20">SUM(O31,-N31)</f>
        <v>0</v>
      </c>
      <c r="Q31" s="459"/>
      <c r="R31" s="200">
        <v>27.2</v>
      </c>
      <c r="S31" s="455">
        <v>27.2</v>
      </c>
      <c r="T31" s="457">
        <f t="shared" ref="T31" si="21">SUM(S31,-R31)</f>
        <v>0</v>
      </c>
      <c r="U31" s="459"/>
      <c r="V31" s="200">
        <v>27.2</v>
      </c>
      <c r="W31" s="455">
        <v>27.2</v>
      </c>
      <c r="X31" s="457">
        <f t="shared" ref="X31" si="22">SUM(W31,-V31)</f>
        <v>0</v>
      </c>
      <c r="Y31" s="288"/>
    </row>
    <row r="32" spans="2:25" ht="16">
      <c r="B32" s="281"/>
      <c r="C32" s="506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291"/>
    </row>
    <row r="33" spans="2:25" ht="16">
      <c r="B33" s="281"/>
      <c r="C33" s="506"/>
      <c r="D33" s="466" t="s">
        <v>107</v>
      </c>
      <c r="E33" s="201" t="s">
        <v>106</v>
      </c>
      <c r="F33" s="200">
        <v>21.6</v>
      </c>
      <c r="G33" s="199">
        <v>33</v>
      </c>
      <c r="H33" s="457">
        <f t="shared" ref="H33" si="23">SUM(G33,-F33)</f>
        <v>11.399999999999999</v>
      </c>
      <c r="I33" s="459" t="s">
        <v>154</v>
      </c>
      <c r="J33" s="200">
        <v>21.6</v>
      </c>
      <c r="K33" s="199">
        <v>43.7</v>
      </c>
      <c r="L33" s="457">
        <f t="shared" ref="L33" si="24">SUM(K33,-J33)</f>
        <v>22.1</v>
      </c>
      <c r="M33" s="459" t="s">
        <v>154</v>
      </c>
      <c r="N33" s="200">
        <v>21.6</v>
      </c>
      <c r="O33" s="199">
        <v>30.2</v>
      </c>
      <c r="P33" s="457">
        <f t="shared" ref="P33" si="25">SUM(O33,-N33)</f>
        <v>8.5999999999999979</v>
      </c>
      <c r="Q33" s="459" t="s">
        <v>148</v>
      </c>
      <c r="R33" s="200">
        <v>21.6</v>
      </c>
      <c r="S33" s="199">
        <v>35.200000000000003</v>
      </c>
      <c r="T33" s="457">
        <f t="shared" ref="T33" si="26">SUM(S33,-R33)</f>
        <v>13.600000000000001</v>
      </c>
      <c r="U33" s="459" t="s">
        <v>148</v>
      </c>
      <c r="V33" s="200">
        <v>21.6</v>
      </c>
      <c r="W33" s="199">
        <v>23</v>
      </c>
      <c r="X33" s="457">
        <f t="shared" ref="X33" si="27">SUM(W33,-V33)</f>
        <v>1.3999999999999986</v>
      </c>
      <c r="Y33" s="461" t="s">
        <v>148</v>
      </c>
    </row>
    <row r="34" spans="2:25" ht="16">
      <c r="B34" s="281"/>
      <c r="C34" s="506"/>
      <c r="D34" s="467"/>
      <c r="E34" s="463" t="s">
        <v>104</v>
      </c>
      <c r="F34" s="198">
        <v>0.18</v>
      </c>
      <c r="G34" s="197">
        <v>0.28000000000000003</v>
      </c>
      <c r="H34" s="458"/>
      <c r="I34" s="460"/>
      <c r="J34" s="198">
        <v>0.18</v>
      </c>
      <c r="K34" s="230">
        <v>37</v>
      </c>
      <c r="L34" s="458"/>
      <c r="M34" s="460"/>
      <c r="N34" s="198">
        <v>0.18</v>
      </c>
      <c r="O34" s="230">
        <v>26</v>
      </c>
      <c r="P34" s="458"/>
      <c r="Q34" s="460"/>
      <c r="R34" s="198">
        <v>0.18</v>
      </c>
      <c r="S34" s="230">
        <v>30</v>
      </c>
      <c r="T34" s="458"/>
      <c r="U34" s="460"/>
      <c r="V34" s="198">
        <v>0.18</v>
      </c>
      <c r="W34" s="230">
        <v>26</v>
      </c>
      <c r="X34" s="458"/>
      <c r="Y34" s="462"/>
    </row>
    <row r="35" spans="2:25" ht="13.5" customHeight="1">
      <c r="B35" s="281"/>
      <c r="C35" s="506"/>
      <c r="D35" s="468"/>
      <c r="E35" s="464"/>
      <c r="F35" s="196">
        <v>43.6</v>
      </c>
      <c r="G35" s="195"/>
      <c r="H35" s="195"/>
      <c r="I35" s="194"/>
      <c r="J35" s="196">
        <v>43.6</v>
      </c>
      <c r="K35" s="195"/>
      <c r="L35" s="195"/>
      <c r="M35" s="194"/>
      <c r="N35" s="196">
        <v>43.6</v>
      </c>
      <c r="O35" s="195"/>
      <c r="P35" s="195"/>
      <c r="Q35" s="194"/>
      <c r="R35" s="196">
        <v>43.6</v>
      </c>
      <c r="S35" s="195"/>
      <c r="T35" s="195"/>
      <c r="U35" s="194"/>
      <c r="V35" s="196">
        <v>43.6</v>
      </c>
      <c r="W35" s="195"/>
      <c r="X35" s="195"/>
      <c r="Y35" s="270"/>
    </row>
    <row r="36" spans="2:25" ht="16">
      <c r="B36" s="281"/>
      <c r="C36" s="506"/>
      <c r="D36" s="468"/>
      <c r="E36" s="465"/>
      <c r="F36" s="193">
        <v>0.24</v>
      </c>
      <c r="G36" s="192"/>
      <c r="H36" s="192"/>
      <c r="I36" s="191"/>
      <c r="J36" s="193">
        <v>0.24</v>
      </c>
      <c r="K36" s="192"/>
      <c r="L36" s="192"/>
      <c r="M36" s="191"/>
      <c r="N36" s="193">
        <v>0.24</v>
      </c>
      <c r="O36" s="192"/>
      <c r="P36" s="192"/>
      <c r="Q36" s="191"/>
      <c r="R36" s="193">
        <v>0.24</v>
      </c>
      <c r="S36" s="192"/>
      <c r="T36" s="192"/>
      <c r="U36" s="191"/>
      <c r="V36" s="193">
        <v>0.24</v>
      </c>
      <c r="W36" s="192"/>
      <c r="X36" s="192"/>
      <c r="Y36" s="271"/>
    </row>
    <row r="37" spans="2:25" ht="16">
      <c r="B37" s="281"/>
      <c r="C37" s="506"/>
      <c r="D37" s="467"/>
      <c r="E37" s="190" t="s">
        <v>103</v>
      </c>
      <c r="F37" s="166">
        <v>10</v>
      </c>
      <c r="G37" s="165">
        <v>2.4</v>
      </c>
      <c r="H37" s="164">
        <f t="shared" ref="H37" si="28">SUM(G37,-F37)</f>
        <v>-7.6</v>
      </c>
      <c r="I37" s="189" t="s">
        <v>147</v>
      </c>
      <c r="J37" s="166">
        <v>10</v>
      </c>
      <c r="K37" s="165">
        <v>0.5</v>
      </c>
      <c r="L37" s="164">
        <f t="shared" ref="L37" si="29">SUM(K37,-J37)</f>
        <v>-9.5</v>
      </c>
      <c r="M37" s="189" t="s">
        <v>147</v>
      </c>
      <c r="N37" s="166">
        <v>10</v>
      </c>
      <c r="O37" s="165">
        <v>0.5</v>
      </c>
      <c r="P37" s="164">
        <f t="shared" ref="P37" si="30">SUM(O37,-N37)</f>
        <v>-9.5</v>
      </c>
      <c r="Q37" s="189" t="s">
        <v>147</v>
      </c>
      <c r="R37" s="166">
        <v>10</v>
      </c>
      <c r="S37" s="165">
        <v>0.5</v>
      </c>
      <c r="T37" s="164">
        <f t="shared" ref="T37" si="31">SUM(S37,-R37)</f>
        <v>-9.5</v>
      </c>
      <c r="U37" s="189" t="s">
        <v>147</v>
      </c>
      <c r="V37" s="166">
        <v>10</v>
      </c>
      <c r="W37" s="165">
        <v>0.5</v>
      </c>
      <c r="X37" s="164">
        <f t="shared" ref="X37" si="32">SUM(W37,-V37)</f>
        <v>-9.5</v>
      </c>
      <c r="Y37" s="267" t="s">
        <v>147</v>
      </c>
    </row>
    <row r="38" spans="2:25" ht="16.5" thickBot="1">
      <c r="B38" s="281"/>
      <c r="C38" s="507"/>
      <c r="D38" s="427" t="s">
        <v>101</v>
      </c>
      <c r="E38" s="428"/>
      <c r="F38" s="188">
        <v>129.79999999999998</v>
      </c>
      <c r="G38" s="187">
        <v>136.99999999999997</v>
      </c>
      <c r="H38" s="187">
        <v>7.2</v>
      </c>
      <c r="I38" s="186"/>
      <c r="J38" s="188">
        <f t="shared" ref="J38" si="33">SUM(J29,J31,J33,J37)</f>
        <v>58.8</v>
      </c>
      <c r="K38" s="187">
        <f t="shared" ref="K38" si="34">SUM(K29:K33,K37)</f>
        <v>71.400000000000006</v>
      </c>
      <c r="L38" s="187">
        <f t="shared" ref="L38" si="35">SUM(L29:L34,L37)</f>
        <v>12.600000000000001</v>
      </c>
      <c r="M38" s="186"/>
      <c r="N38" s="188">
        <f>SUM(N29,N31,N33,N37)</f>
        <v>58.8</v>
      </c>
      <c r="O38" s="187">
        <f>SUM(O29:O33,O37)</f>
        <v>57.9</v>
      </c>
      <c r="P38" s="187">
        <f>SUM(P29:P34,P37)</f>
        <v>-0.90000000000000213</v>
      </c>
      <c r="Q38" s="186"/>
      <c r="R38" s="188">
        <f>SUM(R29,R31,R33,R37)</f>
        <v>58.8</v>
      </c>
      <c r="S38" s="187">
        <f>SUM(S29:S33,S37)</f>
        <v>62.900000000000006</v>
      </c>
      <c r="T38" s="187">
        <f>SUM(T29:T34,T37)</f>
        <v>4.1000000000000014</v>
      </c>
      <c r="U38" s="186"/>
      <c r="V38" s="188">
        <f>SUM(V29,V31,V33,V37)</f>
        <v>58.8</v>
      </c>
      <c r="W38" s="187">
        <f>SUM(W29:W33,W37)</f>
        <v>50.7</v>
      </c>
      <c r="X38" s="187">
        <f>SUM(X29:X34,X37)</f>
        <v>-8.1000000000000014</v>
      </c>
      <c r="Y38" s="268"/>
    </row>
    <row r="39" spans="2:25" ht="15.5" thickBot="1">
      <c r="B39" s="281"/>
      <c r="C39" s="174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266"/>
    </row>
    <row r="40" spans="2:25" ht="16.5" thickBot="1">
      <c r="B40" s="281"/>
      <c r="C40" s="430" t="s">
        <v>100</v>
      </c>
      <c r="D40" s="430"/>
      <c r="E40" s="431"/>
      <c r="F40" s="432"/>
      <c r="G40" s="433"/>
      <c r="H40" s="433"/>
      <c r="I40" s="434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292"/>
      <c r="W40" s="293"/>
      <c r="X40" s="293"/>
      <c r="Y40" s="294"/>
    </row>
    <row r="41" spans="2:25" ht="42" customHeight="1">
      <c r="B41" s="281"/>
      <c r="C41" s="508" t="s">
        <v>99</v>
      </c>
      <c r="D41" s="445"/>
      <c r="E41" s="185" t="s">
        <v>98</v>
      </c>
      <c r="F41" s="184" t="s">
        <v>97</v>
      </c>
      <c r="G41" s="181" t="s">
        <v>86</v>
      </c>
      <c r="H41" s="180" t="s">
        <v>85</v>
      </c>
      <c r="I41" s="179" t="s">
        <v>92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262" t="s">
        <v>166</v>
      </c>
    </row>
    <row r="42" spans="2:25" ht="16.5" customHeight="1">
      <c r="B42" s="281"/>
      <c r="C42" s="500"/>
      <c r="D42" s="445"/>
      <c r="E42" s="476" t="s">
        <v>96</v>
      </c>
      <c r="F42" s="178">
        <v>0</v>
      </c>
      <c r="G42" s="478">
        <v>0</v>
      </c>
      <c r="H42" s="457">
        <v>0</v>
      </c>
      <c r="I42" s="459"/>
      <c r="J42" s="178">
        <v>0</v>
      </c>
      <c r="K42" s="478">
        <v>0</v>
      </c>
      <c r="L42" s="457">
        <f t="shared" ref="L42" si="36"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61"/>
    </row>
    <row r="43" spans="2:25" ht="16.5" thickBot="1">
      <c r="B43" s="281"/>
      <c r="C43" s="475"/>
      <c r="D43" s="475"/>
      <c r="E43" s="477"/>
      <c r="F43" s="183">
        <v>142.6</v>
      </c>
      <c r="G43" s="479"/>
      <c r="H43" s="509"/>
      <c r="I43" s="481"/>
      <c r="J43" s="183">
        <v>142.6</v>
      </c>
      <c r="K43" s="479"/>
      <c r="L43" s="480"/>
      <c r="M43" s="481"/>
      <c r="N43" s="183">
        <v>142.6</v>
      </c>
      <c r="O43" s="479"/>
      <c r="P43" s="480"/>
      <c r="Q43" s="481"/>
      <c r="R43" s="183">
        <v>142.6</v>
      </c>
      <c r="S43" s="479"/>
      <c r="T43" s="480"/>
      <c r="U43" s="481"/>
      <c r="V43" s="183">
        <v>123</v>
      </c>
      <c r="W43" s="510"/>
      <c r="X43" s="511"/>
      <c r="Y43" s="512"/>
    </row>
    <row r="44" spans="2:25" ht="15.5" thickBot="1">
      <c r="B44" s="281"/>
      <c r="C44" s="174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266"/>
    </row>
    <row r="45" spans="2:25" ht="16.5" thickBot="1">
      <c r="B45" s="281"/>
      <c r="C45" s="430" t="s">
        <v>94</v>
      </c>
      <c r="D45" s="430"/>
      <c r="E45" s="431"/>
      <c r="F45" s="432"/>
      <c r="G45" s="433"/>
      <c r="H45" s="433"/>
      <c r="I45" s="434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292"/>
      <c r="W45" s="293"/>
      <c r="X45" s="293"/>
      <c r="Y45" s="294"/>
    </row>
    <row r="46" spans="2:25" ht="42.75" customHeight="1">
      <c r="B46" s="281"/>
      <c r="C46" s="500" t="s">
        <v>1</v>
      </c>
      <c r="D46" s="483"/>
      <c r="E46" s="182" t="s">
        <v>88</v>
      </c>
      <c r="F46" s="171" t="s">
        <v>93</v>
      </c>
      <c r="G46" s="181" t="s">
        <v>86</v>
      </c>
      <c r="H46" s="180" t="s">
        <v>85</v>
      </c>
      <c r="I46" s="179" t="s">
        <v>92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262" t="s">
        <v>166</v>
      </c>
    </row>
    <row r="47" spans="2:25" ht="16">
      <c r="B47" s="281"/>
      <c r="C47" s="500"/>
      <c r="D47" s="483"/>
      <c r="E47" s="488" t="s">
        <v>91</v>
      </c>
      <c r="F47" s="178">
        <v>36.817999999999998</v>
      </c>
      <c r="G47" s="478">
        <v>43.5</v>
      </c>
      <c r="H47" s="457">
        <f t="shared" ref="H47" si="37">SUM(G47,-F47)</f>
        <v>6.6820000000000022</v>
      </c>
      <c r="I47" s="459" t="s">
        <v>149</v>
      </c>
      <c r="J47" s="178">
        <v>36.817999999999998</v>
      </c>
      <c r="K47" s="478">
        <v>41.7</v>
      </c>
      <c r="L47" s="457">
        <f t="shared" ref="L47" si="38">SUM(K47,-J47)</f>
        <v>4.882000000000005</v>
      </c>
      <c r="M47" s="459" t="s">
        <v>149</v>
      </c>
      <c r="N47" s="178">
        <v>33.700000000000003</v>
      </c>
      <c r="O47" s="478">
        <v>34.6</v>
      </c>
      <c r="P47" s="457">
        <f>SUM(O47,-N47)</f>
        <v>0.89999999999999858</v>
      </c>
      <c r="Q47" s="459" t="s">
        <v>149</v>
      </c>
      <c r="R47" s="178">
        <v>33.4</v>
      </c>
      <c r="S47" s="478">
        <v>34.299999999999997</v>
      </c>
      <c r="T47" s="457">
        <f>SUM(S47,-R47)</f>
        <v>0.89999999999999858</v>
      </c>
      <c r="U47" s="459" t="s">
        <v>149</v>
      </c>
      <c r="V47" s="178">
        <v>33.357999999999997</v>
      </c>
      <c r="W47" s="478">
        <v>30.4</v>
      </c>
      <c r="X47" s="457">
        <f>SUM(W47,-V47)</f>
        <v>-2.9579999999999984</v>
      </c>
      <c r="Y47" s="461" t="s">
        <v>146</v>
      </c>
    </row>
    <row r="48" spans="2:25" ht="16.5" thickBot="1">
      <c r="B48" s="281"/>
      <c r="C48" s="447"/>
      <c r="D48" s="487"/>
      <c r="E48" s="489"/>
      <c r="F48" s="177">
        <v>0.58791217564870257</v>
      </c>
      <c r="G48" s="479"/>
      <c r="H48" s="480"/>
      <c r="I48" s="481"/>
      <c r="J48" s="177">
        <v>0.58791217564870257</v>
      </c>
      <c r="K48" s="479"/>
      <c r="L48" s="480"/>
      <c r="M48" s="481"/>
      <c r="N48" s="177">
        <v>0.60507890440776346</v>
      </c>
      <c r="O48" s="479"/>
      <c r="P48" s="480"/>
      <c r="Q48" s="481"/>
      <c r="R48" s="177">
        <v>0.61</v>
      </c>
      <c r="S48" s="479"/>
      <c r="T48" s="480"/>
      <c r="U48" s="481"/>
      <c r="V48" s="177">
        <v>0.60507890440776346</v>
      </c>
      <c r="W48" s="510"/>
      <c r="X48" s="511"/>
      <c r="Y48" s="512"/>
    </row>
    <row r="49" spans="1:25" ht="15.5" thickBot="1">
      <c r="B49" s="281"/>
      <c r="C49" s="174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266"/>
    </row>
    <row r="50" spans="1:25" ht="16.5" thickBot="1">
      <c r="B50" s="281"/>
      <c r="C50" s="430" t="s">
        <v>89</v>
      </c>
      <c r="D50" s="430"/>
      <c r="E50" s="431"/>
      <c r="F50" s="432"/>
      <c r="G50" s="433"/>
      <c r="H50" s="433"/>
      <c r="I50" s="434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292"/>
      <c r="W50" s="293"/>
      <c r="X50" s="293"/>
      <c r="Y50" s="294"/>
    </row>
    <row r="51" spans="1:25" ht="42.75" customHeight="1">
      <c r="B51" s="281"/>
      <c r="C51" s="500" t="s">
        <v>2</v>
      </c>
      <c r="D51" s="483"/>
      <c r="E51" s="172" t="s">
        <v>88</v>
      </c>
      <c r="F51" s="171" t="s">
        <v>87</v>
      </c>
      <c r="G51" s="170" t="s">
        <v>86</v>
      </c>
      <c r="H51" s="169" t="s">
        <v>85</v>
      </c>
      <c r="I51" s="168" t="s">
        <v>84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272" t="s">
        <v>160</v>
      </c>
    </row>
    <row r="52" spans="1:25" ht="16">
      <c r="B52" s="281"/>
      <c r="C52" s="500"/>
      <c r="D52" s="483"/>
      <c r="E52" s="167" t="s">
        <v>83</v>
      </c>
      <c r="F52" s="166">
        <v>0</v>
      </c>
      <c r="G52" s="165">
        <v>0</v>
      </c>
      <c r="H52" s="164">
        <v>0</v>
      </c>
      <c r="I52" s="163" t="s">
        <v>81</v>
      </c>
      <c r="J52" s="166">
        <v>0</v>
      </c>
      <c r="K52" s="165">
        <v>0</v>
      </c>
      <c r="L52" s="164">
        <f t="shared" ref="L52" si="39"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273" t="s">
        <v>159</v>
      </c>
    </row>
    <row r="53" spans="1:25" ht="16.5" thickBot="1">
      <c r="B53" s="281"/>
      <c r="C53" s="513"/>
      <c r="D53" s="485"/>
      <c r="E53" s="226" t="s">
        <v>82</v>
      </c>
      <c r="F53" s="225">
        <v>0</v>
      </c>
      <c r="G53" s="224">
        <v>24.9</v>
      </c>
      <c r="H53" s="223" t="s">
        <v>81</v>
      </c>
      <c r="I53" s="222" t="s">
        <v>213</v>
      </c>
      <c r="J53" s="225">
        <v>0</v>
      </c>
      <c r="K53" s="229">
        <v>12.4</v>
      </c>
      <c r="L53" s="223" t="s">
        <v>159</v>
      </c>
      <c r="M53" s="222" t="s">
        <v>213</v>
      </c>
      <c r="N53" s="225">
        <v>0</v>
      </c>
      <c r="O53" s="229">
        <v>25.2</v>
      </c>
      <c r="P53" s="223" t="s">
        <v>159</v>
      </c>
      <c r="Q53" s="222" t="s">
        <v>213</v>
      </c>
      <c r="R53" s="225">
        <v>0</v>
      </c>
      <c r="S53" s="229">
        <v>26.2</v>
      </c>
      <c r="T53" s="223" t="s">
        <v>159</v>
      </c>
      <c r="U53" s="222" t="s">
        <v>213</v>
      </c>
      <c r="V53" s="225">
        <v>0</v>
      </c>
      <c r="W53" s="229">
        <v>28.6</v>
      </c>
      <c r="X53" s="223" t="s">
        <v>159</v>
      </c>
      <c r="Y53" s="274" t="s">
        <v>213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27">
    <mergeCell ref="C50:E50"/>
    <mergeCell ref="F50:I50"/>
    <mergeCell ref="J50:M50"/>
    <mergeCell ref="N50:Q50"/>
    <mergeCell ref="R50:U50"/>
    <mergeCell ref="C51:D53"/>
    <mergeCell ref="S47:S48"/>
    <mergeCell ref="T47:T48"/>
    <mergeCell ref="U47:U48"/>
    <mergeCell ref="W47:W48"/>
    <mergeCell ref="X47:X48"/>
    <mergeCell ref="Y47:Y48"/>
    <mergeCell ref="K47:K48"/>
    <mergeCell ref="L47:L48"/>
    <mergeCell ref="M47:M48"/>
    <mergeCell ref="O47:O48"/>
    <mergeCell ref="P47:P48"/>
    <mergeCell ref="Q47:Q48"/>
    <mergeCell ref="C45:E45"/>
    <mergeCell ref="F45:I45"/>
    <mergeCell ref="J45:M45"/>
    <mergeCell ref="N45:Q45"/>
    <mergeCell ref="R45:U45"/>
    <mergeCell ref="C46:D48"/>
    <mergeCell ref="E47:E48"/>
    <mergeCell ref="G47:G48"/>
    <mergeCell ref="H47:H48"/>
    <mergeCell ref="I47:I48"/>
    <mergeCell ref="W42:W43"/>
    <mergeCell ref="X42:X43"/>
    <mergeCell ref="Y42:Y43"/>
    <mergeCell ref="K42:K43"/>
    <mergeCell ref="L42:L43"/>
    <mergeCell ref="M42:M43"/>
    <mergeCell ref="O42:O43"/>
    <mergeCell ref="P42:P43"/>
    <mergeCell ref="Q42:Q43"/>
    <mergeCell ref="E31:E32"/>
    <mergeCell ref="G31:G32"/>
    <mergeCell ref="C40:E40"/>
    <mergeCell ref="F40:I40"/>
    <mergeCell ref="J40:M40"/>
    <mergeCell ref="N40:Q40"/>
    <mergeCell ref="R40:U40"/>
    <mergeCell ref="C41:D43"/>
    <mergeCell ref="E42:E43"/>
    <mergeCell ref="G42:G43"/>
    <mergeCell ref="H42:H43"/>
    <mergeCell ref="I42:I43"/>
    <mergeCell ref="S42:S43"/>
    <mergeCell ref="T42:T43"/>
    <mergeCell ref="U42:U43"/>
    <mergeCell ref="U29:U30"/>
    <mergeCell ref="W29:W30"/>
    <mergeCell ref="T33:T34"/>
    <mergeCell ref="U33:U34"/>
    <mergeCell ref="X33:X34"/>
    <mergeCell ref="Y33:Y34"/>
    <mergeCell ref="E34:E36"/>
    <mergeCell ref="D38:E38"/>
    <mergeCell ref="U31:U32"/>
    <mergeCell ref="W31:W32"/>
    <mergeCell ref="X31:X32"/>
    <mergeCell ref="D33:D37"/>
    <mergeCell ref="H33:H34"/>
    <mergeCell ref="I33:I34"/>
    <mergeCell ref="L33:L34"/>
    <mergeCell ref="M33:M34"/>
    <mergeCell ref="P33:P34"/>
    <mergeCell ref="Q33:Q34"/>
    <mergeCell ref="M31:M32"/>
    <mergeCell ref="O31:O32"/>
    <mergeCell ref="P31:P32"/>
    <mergeCell ref="Q31:Q32"/>
    <mergeCell ref="S31:S32"/>
    <mergeCell ref="T31:T32"/>
    <mergeCell ref="X29:X30"/>
    <mergeCell ref="I29:I30"/>
    <mergeCell ref="K29:K30"/>
    <mergeCell ref="L29:L30"/>
    <mergeCell ref="M29:M30"/>
    <mergeCell ref="O29:O30"/>
    <mergeCell ref="P29:P30"/>
    <mergeCell ref="C27:E27"/>
    <mergeCell ref="F27:I27"/>
    <mergeCell ref="J27:M27"/>
    <mergeCell ref="N27:Q27"/>
    <mergeCell ref="R27:U27"/>
    <mergeCell ref="C28:C38"/>
    <mergeCell ref="D29:D32"/>
    <mergeCell ref="E29:E30"/>
    <mergeCell ref="G29:G30"/>
    <mergeCell ref="H29:H30"/>
    <mergeCell ref="H31:H32"/>
    <mergeCell ref="I31:I32"/>
    <mergeCell ref="K31:K32"/>
    <mergeCell ref="L31:L32"/>
    <mergeCell ref="Q29:Q30"/>
    <mergeCell ref="S29:S30"/>
    <mergeCell ref="T29:T30"/>
    <mergeCell ref="C23:E23"/>
    <mergeCell ref="F23:I23"/>
    <mergeCell ref="J23:M23"/>
    <mergeCell ref="N23:Q23"/>
    <mergeCell ref="R23:U23"/>
    <mergeCell ref="C24:D25"/>
    <mergeCell ref="E24:E25"/>
    <mergeCell ref="J11:M11"/>
    <mergeCell ref="N11:Q11"/>
    <mergeCell ref="R11:U11"/>
    <mergeCell ref="C12:C21"/>
    <mergeCell ref="D13:D14"/>
    <mergeCell ref="D15:D16"/>
    <mergeCell ref="D17:D20"/>
    <mergeCell ref="D21:E21"/>
    <mergeCell ref="N3:Q3"/>
    <mergeCell ref="R3:U3"/>
    <mergeCell ref="V3:Y3"/>
    <mergeCell ref="C4:C9"/>
    <mergeCell ref="D5:D6"/>
    <mergeCell ref="D7:D8"/>
    <mergeCell ref="D9:E9"/>
    <mergeCell ref="C11:E11"/>
    <mergeCell ref="F11:I11"/>
    <mergeCell ref="C3:E3"/>
    <mergeCell ref="F3:I3"/>
    <mergeCell ref="J3:M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&amp;"メイリオ,ボールド"&amp;22日別の優先給電ルールに基づく抑制、調整状況（2025年4月）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C80A-B487-4809-BC8A-F868B5E1E8CB}">
  <dimension ref="B1:O69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3" ht="15.5" thickBot="1">
      <c r="I1" s="32"/>
      <c r="M1" s="32" t="s">
        <v>24</v>
      </c>
    </row>
    <row r="2" spans="2:13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</row>
    <row r="3" spans="2:13" ht="16.5" thickBot="1">
      <c r="B3" s="3"/>
      <c r="C3" s="372" t="s">
        <v>3</v>
      </c>
      <c r="D3" s="373"/>
      <c r="E3" s="374"/>
      <c r="F3" s="25">
        <v>45578</v>
      </c>
      <c r="G3" s="26" t="s">
        <v>54</v>
      </c>
      <c r="H3" s="25">
        <v>45585</v>
      </c>
      <c r="I3" s="26" t="s">
        <v>50</v>
      </c>
      <c r="J3" s="25">
        <v>45592</v>
      </c>
      <c r="K3" s="26" t="s">
        <v>54</v>
      </c>
      <c r="L3" s="25">
        <v>45595</v>
      </c>
      <c r="M3" s="26" t="s">
        <v>50</v>
      </c>
    </row>
    <row r="4" spans="2:13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</row>
    <row r="5" spans="2:13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65.3</v>
      </c>
      <c r="G5" s="384" t="s">
        <v>45</v>
      </c>
      <c r="H5" s="9">
        <v>61.2</v>
      </c>
      <c r="I5" s="384" t="s">
        <v>45</v>
      </c>
      <c r="J5" s="9">
        <v>64.2</v>
      </c>
      <c r="K5" s="384" t="s">
        <v>45</v>
      </c>
      <c r="L5" s="9">
        <v>68.099999999999994</v>
      </c>
      <c r="M5" s="384" t="s">
        <v>45</v>
      </c>
    </row>
    <row r="6" spans="2:13" ht="16">
      <c r="B6" s="376"/>
      <c r="C6" s="379"/>
      <c r="D6" s="34" t="s">
        <v>12</v>
      </c>
      <c r="E6" s="89" t="s">
        <v>47</v>
      </c>
      <c r="F6" s="10">
        <v>77.7</v>
      </c>
      <c r="G6" s="385"/>
      <c r="H6" s="10">
        <v>87.2</v>
      </c>
      <c r="I6" s="385"/>
      <c r="J6" s="10">
        <v>115.3</v>
      </c>
      <c r="K6" s="385"/>
      <c r="L6" s="10">
        <v>147.80000000000001</v>
      </c>
      <c r="M6" s="385"/>
    </row>
    <row r="7" spans="2:13" ht="16">
      <c r="B7" s="376"/>
      <c r="C7" s="379"/>
      <c r="D7" s="35" t="s">
        <v>13</v>
      </c>
      <c r="E7" s="36" t="s">
        <v>5</v>
      </c>
      <c r="F7" s="28">
        <v>320.7</v>
      </c>
      <c r="G7" s="385"/>
      <c r="H7" s="28">
        <v>320.8</v>
      </c>
      <c r="I7" s="385"/>
      <c r="J7" s="28">
        <v>320.8</v>
      </c>
      <c r="K7" s="385"/>
      <c r="L7" s="28">
        <v>321</v>
      </c>
      <c r="M7" s="385"/>
    </row>
    <row r="8" spans="2:13" ht="16">
      <c r="B8" s="376"/>
      <c r="C8" s="379"/>
      <c r="D8" s="37" t="s">
        <v>14</v>
      </c>
      <c r="E8" s="38" t="s">
        <v>6</v>
      </c>
      <c r="F8" s="29">
        <v>40.5</v>
      </c>
      <c r="G8" s="385"/>
      <c r="H8" s="29">
        <v>31.5</v>
      </c>
      <c r="I8" s="385"/>
      <c r="J8" s="29">
        <v>50.5</v>
      </c>
      <c r="K8" s="385"/>
      <c r="L8" s="29">
        <v>45.900000000000091</v>
      </c>
      <c r="M8" s="385"/>
    </row>
    <row r="9" spans="2:13" ht="16">
      <c r="B9" s="376"/>
      <c r="C9" s="379"/>
      <c r="D9" s="39" t="s">
        <v>15</v>
      </c>
      <c r="E9" s="40" t="s">
        <v>7</v>
      </c>
      <c r="F9" s="30">
        <v>13.1</v>
      </c>
      <c r="G9" s="385"/>
      <c r="H9" s="30">
        <v>13</v>
      </c>
      <c r="I9" s="385"/>
      <c r="J9" s="30">
        <v>14.6</v>
      </c>
      <c r="K9" s="385"/>
      <c r="L9" s="30">
        <v>14.5</v>
      </c>
      <c r="M9" s="385"/>
    </row>
    <row r="10" spans="2:13" ht="16">
      <c r="B10" s="376"/>
      <c r="C10" s="379"/>
      <c r="D10" s="41" t="s">
        <v>17</v>
      </c>
      <c r="E10" s="42" t="s">
        <v>1</v>
      </c>
      <c r="F10" s="11">
        <v>34.9</v>
      </c>
      <c r="G10" s="385"/>
      <c r="H10" s="11">
        <v>33.700000000000003</v>
      </c>
      <c r="I10" s="385"/>
      <c r="J10" s="11">
        <v>29.1</v>
      </c>
      <c r="K10" s="385"/>
      <c r="L10" s="11">
        <v>24</v>
      </c>
      <c r="M10" s="385"/>
    </row>
    <row r="11" spans="2:13" ht="16">
      <c r="B11" s="376"/>
      <c r="C11" s="379"/>
      <c r="D11" s="43" t="s">
        <v>16</v>
      </c>
      <c r="E11" s="44" t="s">
        <v>2</v>
      </c>
      <c r="F11" s="12">
        <v>22.5</v>
      </c>
      <c r="G11" s="385"/>
      <c r="H11" s="12">
        <v>22.8</v>
      </c>
      <c r="I11" s="385"/>
      <c r="J11" s="12">
        <v>25</v>
      </c>
      <c r="K11" s="385"/>
      <c r="L11" s="12">
        <v>23.1</v>
      </c>
      <c r="M11" s="385"/>
    </row>
    <row r="12" spans="2:13" ht="16">
      <c r="B12" s="376"/>
      <c r="C12" s="379"/>
      <c r="D12" s="387" t="s">
        <v>18</v>
      </c>
      <c r="E12" s="45" t="s">
        <v>26</v>
      </c>
      <c r="F12" s="13">
        <v>819.9</v>
      </c>
      <c r="G12" s="385"/>
      <c r="H12" s="13">
        <v>711.5</v>
      </c>
      <c r="I12" s="385"/>
      <c r="J12" s="13">
        <v>548</v>
      </c>
      <c r="K12" s="385"/>
      <c r="L12" s="13">
        <v>630.6</v>
      </c>
      <c r="M12" s="385"/>
    </row>
    <row r="13" spans="2:13" ht="16">
      <c r="B13" s="376"/>
      <c r="C13" s="379"/>
      <c r="D13" s="388"/>
      <c r="E13" s="45" t="s">
        <v>27</v>
      </c>
      <c r="F13" s="13">
        <v>10.9</v>
      </c>
      <c r="G13" s="385"/>
      <c r="H13" s="13">
        <v>28.9</v>
      </c>
      <c r="I13" s="385"/>
      <c r="J13" s="13">
        <v>5.8</v>
      </c>
      <c r="K13" s="385"/>
      <c r="L13" s="13">
        <v>16</v>
      </c>
      <c r="M13" s="385"/>
    </row>
    <row r="14" spans="2:13" ht="16">
      <c r="B14" s="376"/>
      <c r="C14" s="379"/>
      <c r="D14" s="46" t="s">
        <v>19</v>
      </c>
      <c r="E14" s="47" t="s">
        <v>4</v>
      </c>
      <c r="F14" s="14">
        <v>110</v>
      </c>
      <c r="G14" s="385"/>
      <c r="H14" s="14">
        <v>174</v>
      </c>
      <c r="I14" s="385"/>
      <c r="J14" s="14">
        <v>252</v>
      </c>
      <c r="K14" s="385"/>
      <c r="L14" s="14">
        <v>174</v>
      </c>
      <c r="M14" s="385"/>
    </row>
    <row r="15" spans="2:13" ht="16.5" thickBot="1">
      <c r="B15" s="376"/>
      <c r="C15" s="380"/>
      <c r="D15" s="389" t="s">
        <v>28</v>
      </c>
      <c r="E15" s="390"/>
      <c r="F15" s="15">
        <v>1515.5</v>
      </c>
      <c r="G15" s="385"/>
      <c r="H15" s="15">
        <v>1484.6000000000001</v>
      </c>
      <c r="I15" s="385"/>
      <c r="J15" s="15">
        <v>1425.3</v>
      </c>
      <c r="K15" s="385"/>
      <c r="L15" s="15">
        <v>1465</v>
      </c>
      <c r="M15" s="385"/>
    </row>
    <row r="16" spans="2:13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783.8</v>
      </c>
      <c r="G16" s="385"/>
      <c r="H16" s="8">
        <v>765</v>
      </c>
      <c r="I16" s="385"/>
      <c r="J16" s="8">
        <v>770.1</v>
      </c>
      <c r="K16" s="385"/>
      <c r="L16" s="8">
        <v>965</v>
      </c>
      <c r="M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-167</v>
      </c>
      <c r="G17" s="385"/>
      <c r="H17" s="16">
        <v>-133</v>
      </c>
      <c r="I17" s="385"/>
      <c r="J17" s="16">
        <v>-167</v>
      </c>
      <c r="K17" s="385"/>
      <c r="L17" s="16">
        <v>-167</v>
      </c>
      <c r="M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-3.5</v>
      </c>
      <c r="M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-157.6</v>
      </c>
      <c r="G19" s="385"/>
      <c r="H19" s="18">
        <v>-183</v>
      </c>
      <c r="I19" s="385"/>
      <c r="J19" s="18">
        <v>-183</v>
      </c>
      <c r="K19" s="385"/>
      <c r="L19" s="18">
        <v>-235</v>
      </c>
      <c r="M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</row>
    <row r="21" spans="2:15" ht="16.5" thickBot="1">
      <c r="B21" s="377"/>
      <c r="C21" s="393"/>
      <c r="D21" s="398" t="s">
        <v>34</v>
      </c>
      <c r="E21" s="399"/>
      <c r="F21" s="27">
        <v>1112.8999999999999</v>
      </c>
      <c r="G21" s="386"/>
      <c r="H21" s="27">
        <v>1085.5</v>
      </c>
      <c r="I21" s="386"/>
      <c r="J21" s="27">
        <v>1124.5999999999999</v>
      </c>
      <c r="K21" s="386"/>
      <c r="L21" s="27">
        <v>1370.5</v>
      </c>
      <c r="M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1515.5</v>
      </c>
      <c r="G23" s="400"/>
      <c r="H23" s="20">
        <v>1484.6000000000001</v>
      </c>
      <c r="I23" s="400"/>
      <c r="J23" s="20">
        <v>1425.3</v>
      </c>
      <c r="K23" s="400"/>
      <c r="L23" s="20">
        <v>1465</v>
      </c>
      <c r="M23" s="400"/>
    </row>
    <row r="24" spans="2:15" ht="16">
      <c r="B24" s="409"/>
      <c r="C24" s="403" t="s">
        <v>37</v>
      </c>
      <c r="D24" s="404"/>
      <c r="E24" s="405"/>
      <c r="F24" s="21">
        <v>1112.8999999999999</v>
      </c>
      <c r="G24" s="401"/>
      <c r="H24" s="21">
        <v>1085.5</v>
      </c>
      <c r="I24" s="401"/>
      <c r="J24" s="21">
        <v>1124.5999999999999</v>
      </c>
      <c r="K24" s="401"/>
      <c r="L24" s="21">
        <v>1370.5</v>
      </c>
      <c r="M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402.60000000000014</v>
      </c>
      <c r="G25" s="402"/>
      <c r="H25" s="67">
        <v>399.10000000000014</v>
      </c>
      <c r="I25" s="402"/>
      <c r="J25" s="67">
        <v>300.70000000000005</v>
      </c>
      <c r="K25" s="402"/>
      <c r="L25" s="67">
        <v>94.5</v>
      </c>
      <c r="M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6">
    <mergeCell ref="C3:E3"/>
    <mergeCell ref="C2:E2"/>
    <mergeCell ref="F2:G2"/>
    <mergeCell ref="H2:I2"/>
    <mergeCell ref="J2:K2"/>
    <mergeCell ref="L2:M2"/>
    <mergeCell ref="B23:B25"/>
    <mergeCell ref="C23:E23"/>
    <mergeCell ref="G23:G25"/>
    <mergeCell ref="I23:I25"/>
    <mergeCell ref="B5:B21"/>
    <mergeCell ref="C5:C15"/>
    <mergeCell ref="G5:G21"/>
    <mergeCell ref="I5:I21"/>
    <mergeCell ref="D12:D13"/>
    <mergeCell ref="D15:E15"/>
    <mergeCell ref="C16:C21"/>
    <mergeCell ref="D17:D18"/>
    <mergeCell ref="K23:K25"/>
    <mergeCell ref="M23:M25"/>
    <mergeCell ref="C24:E24"/>
    <mergeCell ref="D25:E25"/>
    <mergeCell ref="D19:D20"/>
    <mergeCell ref="D21:E21"/>
    <mergeCell ref="K5:K21"/>
    <mergeCell ref="M5:M21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日別の需給状況・再エネ出力抑制の必要性（2024年10月）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0D29-3359-4E00-8592-EAD34AFFAC27}">
  <sheetPr>
    <pageSetUpPr fitToPage="1"/>
  </sheetPr>
  <dimension ref="A1:Y57"/>
  <sheetViews>
    <sheetView showGridLines="0" view="pageBreakPreview" zoomScale="70" zoomScaleNormal="70" zoomScaleSheetLayoutView="70" zoomScalePageLayoutView="4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45571</v>
      </c>
      <c r="G3" s="418"/>
      <c r="H3" s="418"/>
      <c r="I3" s="419"/>
      <c r="J3" s="417">
        <v>45574</v>
      </c>
      <c r="K3" s="418"/>
      <c r="L3" s="418"/>
      <c r="M3" s="419"/>
      <c r="N3" s="417">
        <v>45575</v>
      </c>
      <c r="O3" s="418"/>
      <c r="P3" s="418"/>
      <c r="Q3" s="419"/>
      <c r="R3" s="417">
        <v>45576</v>
      </c>
      <c r="S3" s="418"/>
      <c r="T3" s="418"/>
      <c r="U3" s="419"/>
      <c r="V3" s="417">
        <v>45577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8.6999999999999993</v>
      </c>
      <c r="G6" s="165">
        <v>8.6999999999999993</v>
      </c>
      <c r="H6" s="164">
        <f>SUM(G6,-F6)</f>
        <v>0</v>
      </c>
      <c r="I6" s="219"/>
      <c r="J6" s="166">
        <v>8.6999999999999993</v>
      </c>
      <c r="K6" s="165">
        <v>8.6999999999999993</v>
      </c>
      <c r="L6" s="164">
        <f>SUM(K6,-J6)</f>
        <v>0</v>
      </c>
      <c r="M6" s="219"/>
      <c r="N6" s="166">
        <v>8.6999999999999993</v>
      </c>
      <c r="O6" s="165">
        <v>8.6999999999999993</v>
      </c>
      <c r="P6" s="164">
        <f>SUM(O6,-N6)</f>
        <v>0</v>
      </c>
      <c r="Q6" s="219"/>
      <c r="R6" s="166">
        <v>0</v>
      </c>
      <c r="S6" s="165">
        <v>0</v>
      </c>
      <c r="T6" s="164">
        <f>SUM(S6,-R6)</f>
        <v>0</v>
      </c>
      <c r="U6" s="219"/>
      <c r="V6" s="166">
        <v>0</v>
      </c>
      <c r="W6" s="165">
        <v>0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54.1</v>
      </c>
      <c r="G8" s="216">
        <v>54.1</v>
      </c>
      <c r="H8" s="215">
        <f>SUM(G8,-F8)</f>
        <v>0</v>
      </c>
      <c r="I8" s="214"/>
      <c r="J8" s="217">
        <v>57.1</v>
      </c>
      <c r="K8" s="216">
        <v>57.1</v>
      </c>
      <c r="L8" s="215">
        <f>SUM(K8,-J8)</f>
        <v>0</v>
      </c>
      <c r="M8" s="214"/>
      <c r="N8" s="217">
        <v>57.2</v>
      </c>
      <c r="O8" s="216">
        <v>57.2</v>
      </c>
      <c r="P8" s="215">
        <f>SUM(O8,-N8)</f>
        <v>0</v>
      </c>
      <c r="Q8" s="214"/>
      <c r="R8" s="217">
        <v>57.2</v>
      </c>
      <c r="S8" s="216">
        <v>57.2</v>
      </c>
      <c r="T8" s="215">
        <f>SUM(S8,-R8)</f>
        <v>0</v>
      </c>
      <c r="U8" s="214"/>
      <c r="V8" s="217">
        <v>54.2</v>
      </c>
      <c r="W8" s="216">
        <v>54.2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75.2</v>
      </c>
      <c r="G9" s="187">
        <f>SUM(G5:G8)</f>
        <v>75.2</v>
      </c>
      <c r="H9" s="187">
        <f>SUM(H5:H8)</f>
        <v>0</v>
      </c>
      <c r="I9" s="213" t="s">
        <v>159</v>
      </c>
      <c r="J9" s="188">
        <f>SUM(J5:J8)</f>
        <v>78.2</v>
      </c>
      <c r="K9" s="187">
        <f>SUM(K5:K8)</f>
        <v>78.2</v>
      </c>
      <c r="L9" s="187">
        <f>SUM(L5:L8)</f>
        <v>0</v>
      </c>
      <c r="M9" s="213" t="s">
        <v>159</v>
      </c>
      <c r="N9" s="188">
        <f>SUM(N5:N8)</f>
        <v>78.300000000000011</v>
      </c>
      <c r="O9" s="187">
        <f>SUM(O5:O8)</f>
        <v>78.300000000000011</v>
      </c>
      <c r="P9" s="187">
        <f>SUM(P5:P8)</f>
        <v>0</v>
      </c>
      <c r="Q9" s="213" t="s">
        <v>159</v>
      </c>
      <c r="R9" s="188">
        <f>SUM(R5:R8)</f>
        <v>69.600000000000009</v>
      </c>
      <c r="S9" s="187">
        <f>SUM(S5:S8)</f>
        <v>69.600000000000009</v>
      </c>
      <c r="T9" s="187">
        <f>SUM(T5:T8)</f>
        <v>0</v>
      </c>
      <c r="U9" s="213" t="s">
        <v>159</v>
      </c>
      <c r="V9" s="188">
        <f>SUM(V5:V8)</f>
        <v>66.600000000000009</v>
      </c>
      <c r="W9" s="187">
        <f>SUM(W5:W8)</f>
        <v>66.600000000000009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0</v>
      </c>
      <c r="H14" s="164">
        <f t="shared" si="0"/>
        <v>26.1</v>
      </c>
      <c r="I14" s="232" t="s">
        <v>149</v>
      </c>
      <c r="J14" s="166">
        <v>-26.1</v>
      </c>
      <c r="K14" s="165">
        <v>0</v>
      </c>
      <c r="L14" s="164">
        <f t="shared" si="1"/>
        <v>26.1</v>
      </c>
      <c r="M14" s="189" t="s">
        <v>145</v>
      </c>
      <c r="N14" s="166">
        <v>-26.1</v>
      </c>
      <c r="O14" s="165">
        <v>0</v>
      </c>
      <c r="P14" s="164">
        <f t="shared" si="2"/>
        <v>26.1</v>
      </c>
      <c r="Q14" s="189" t="s">
        <v>149</v>
      </c>
      <c r="R14" s="166">
        <v>-26.1</v>
      </c>
      <c r="S14" s="165">
        <v>0</v>
      </c>
      <c r="T14" s="164">
        <f t="shared" si="3"/>
        <v>26.1</v>
      </c>
      <c r="U14" s="189" t="s">
        <v>145</v>
      </c>
      <c r="V14" s="166">
        <v>-26.1</v>
      </c>
      <c r="W14" s="165">
        <v>0</v>
      </c>
      <c r="X14" s="164">
        <f t="shared" si="4"/>
        <v>26.1</v>
      </c>
      <c r="Y14" s="189" t="s">
        <v>145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0</v>
      </c>
      <c r="L17" s="164">
        <f t="shared" si="1"/>
        <v>34</v>
      </c>
      <c r="M17" s="259" t="s">
        <v>149</v>
      </c>
      <c r="N17" s="166">
        <v>-34</v>
      </c>
      <c r="O17" s="165">
        <v>0</v>
      </c>
      <c r="P17" s="164">
        <f t="shared" si="2"/>
        <v>34</v>
      </c>
      <c r="Q17" s="189" t="s">
        <v>149</v>
      </c>
      <c r="R17" s="166">
        <v>-34</v>
      </c>
      <c r="S17" s="165">
        <v>0</v>
      </c>
      <c r="T17" s="164">
        <f t="shared" si="3"/>
        <v>34</v>
      </c>
      <c r="U17" s="189" t="s">
        <v>145</v>
      </c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0</v>
      </c>
      <c r="H18" s="164">
        <f t="shared" si="0"/>
        <v>34</v>
      </c>
      <c r="I18" s="232" t="s">
        <v>149</v>
      </c>
      <c r="J18" s="166">
        <v>-34</v>
      </c>
      <c r="K18" s="165">
        <v>0</v>
      </c>
      <c r="L18" s="164">
        <f t="shared" si="1"/>
        <v>34</v>
      </c>
      <c r="M18" s="189" t="s">
        <v>149</v>
      </c>
      <c r="N18" s="166">
        <v>-34</v>
      </c>
      <c r="O18" s="165">
        <v>0</v>
      </c>
      <c r="P18" s="164">
        <f t="shared" si="2"/>
        <v>34</v>
      </c>
      <c r="Q18" s="189" t="s">
        <v>149</v>
      </c>
      <c r="R18" s="166">
        <v>-34</v>
      </c>
      <c r="S18" s="165">
        <v>0</v>
      </c>
      <c r="T18" s="164">
        <f t="shared" si="3"/>
        <v>34</v>
      </c>
      <c r="U18" s="189" t="s">
        <v>145</v>
      </c>
      <c r="V18" s="166">
        <v>-34</v>
      </c>
      <c r="W18" s="165">
        <v>0</v>
      </c>
      <c r="X18" s="164">
        <f t="shared" si="4"/>
        <v>34</v>
      </c>
      <c r="Y18" s="189" t="s">
        <v>145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0</v>
      </c>
      <c r="P19" s="164">
        <f t="shared" si="2"/>
        <v>34</v>
      </c>
      <c r="Q19" s="189" t="s">
        <v>149</v>
      </c>
      <c r="R19" s="166">
        <v>-34</v>
      </c>
      <c r="S19" s="165">
        <v>0</v>
      </c>
      <c r="T19" s="164">
        <f t="shared" si="3"/>
        <v>34</v>
      </c>
      <c r="U19" s="189" t="s">
        <v>145</v>
      </c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0</v>
      </c>
      <c r="P20" s="164">
        <f t="shared" si="2"/>
        <v>34</v>
      </c>
      <c r="Q20" s="189" t="s">
        <v>149</v>
      </c>
      <c r="R20" s="166">
        <v>-34</v>
      </c>
      <c r="S20" s="165">
        <v>0</v>
      </c>
      <c r="T20" s="164">
        <f t="shared" si="3"/>
        <v>34</v>
      </c>
      <c r="U20" s="189" t="s">
        <v>145</v>
      </c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-167</v>
      </c>
      <c r="H21" s="187">
        <f>SUM(H13:H20)</f>
        <v>86.2</v>
      </c>
      <c r="I21" s="186" t="s">
        <v>159</v>
      </c>
      <c r="J21" s="188">
        <f>SUM(J13:J20)</f>
        <v>-253.2</v>
      </c>
      <c r="K21" s="187">
        <f>SUM(K13:K20)</f>
        <v>-133</v>
      </c>
      <c r="L21" s="187">
        <f>SUM(L13:L20)</f>
        <v>120.2</v>
      </c>
      <c r="M21" s="186" t="s">
        <v>159</v>
      </c>
      <c r="N21" s="188">
        <f>SUM(N13:N20)</f>
        <v>-253.2</v>
      </c>
      <c r="O21" s="187">
        <f>SUM(O13:O20)</f>
        <v>-65</v>
      </c>
      <c r="P21" s="187">
        <f>SUM(P13:P20)</f>
        <v>188.2</v>
      </c>
      <c r="Q21" s="186" t="s">
        <v>159</v>
      </c>
      <c r="R21" s="188">
        <f>SUM(R13:R20)</f>
        <v>-253.2</v>
      </c>
      <c r="S21" s="187">
        <f>SUM(S13:S20)</f>
        <v>-65</v>
      </c>
      <c r="T21" s="187">
        <f>SUM(T13:T20)</f>
        <v>188.2</v>
      </c>
      <c r="U21" s="186" t="s">
        <v>159</v>
      </c>
      <c r="V21" s="188">
        <v>-253.2</v>
      </c>
      <c r="W21" s="187">
        <f>SUM(W13:W20)</f>
        <v>-167</v>
      </c>
      <c r="X21" s="187">
        <f>SUM(X13:X20)</f>
        <v>86.2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-4.5</v>
      </c>
      <c r="H25" s="207">
        <f>SUM(G25,-F25)</f>
        <v>0.5</v>
      </c>
      <c r="I25" s="206" t="s">
        <v>150</v>
      </c>
      <c r="J25" s="209">
        <v>-5</v>
      </c>
      <c r="K25" s="208">
        <v>-4.5</v>
      </c>
      <c r="L25" s="207">
        <f>SUM(K25,-J25)</f>
        <v>0.5</v>
      </c>
      <c r="M25" s="206" t="s">
        <v>150</v>
      </c>
      <c r="N25" s="209">
        <v>-5</v>
      </c>
      <c r="O25" s="208">
        <v>-4.5</v>
      </c>
      <c r="P25" s="207">
        <f>SUM(O25,-N25)</f>
        <v>0.5</v>
      </c>
      <c r="Q25" s="206" t="s">
        <v>150</v>
      </c>
      <c r="R25" s="209">
        <v>-5</v>
      </c>
      <c r="S25" s="208">
        <v>-4.5</v>
      </c>
      <c r="T25" s="207">
        <f>SUM(S25,-R25)</f>
        <v>0.5</v>
      </c>
      <c r="U25" s="206" t="s">
        <v>150</v>
      </c>
      <c r="V25" s="209">
        <v>-5</v>
      </c>
      <c r="W25" s="208">
        <v>-4.5</v>
      </c>
      <c r="X25" s="207">
        <f>SUM(W25,-V25)</f>
        <v>0.5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64.099999999999994</v>
      </c>
      <c r="H31" s="457">
        <f>SUM(G31,-F31)</f>
        <v>9.6999999999999957</v>
      </c>
      <c r="I31" s="459" t="s">
        <v>149</v>
      </c>
      <c r="J31" s="200">
        <v>54.4</v>
      </c>
      <c r="K31" s="455">
        <v>64.099999999999994</v>
      </c>
      <c r="L31" s="457">
        <f>SUM(K31,-J31)</f>
        <v>9.6999999999999957</v>
      </c>
      <c r="M31" s="459" t="s">
        <v>149</v>
      </c>
      <c r="N31" s="200">
        <v>54.4</v>
      </c>
      <c r="O31" s="455">
        <v>64.099999999999994</v>
      </c>
      <c r="P31" s="457">
        <f>SUM(O31,-N31)</f>
        <v>9.6999999999999957</v>
      </c>
      <c r="Q31" s="459" t="s">
        <v>145</v>
      </c>
      <c r="R31" s="200">
        <v>27.2</v>
      </c>
      <c r="S31" s="455">
        <v>26.1</v>
      </c>
      <c r="T31" s="457">
        <f>SUM(S31,-R31)</f>
        <v>-1.0999999999999979</v>
      </c>
      <c r="U31" s="459" t="s">
        <v>145</v>
      </c>
      <c r="V31" s="200">
        <v>27.2</v>
      </c>
      <c r="W31" s="455">
        <v>16.399999999999999</v>
      </c>
      <c r="X31" s="457">
        <f>SUM(W31,-V31)</f>
        <v>-10.8</v>
      </c>
      <c r="Y31" s="459" t="s">
        <v>145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29.5</v>
      </c>
      <c r="G33" s="199">
        <v>16.600000000000001</v>
      </c>
      <c r="H33" s="457">
        <f>SUM(G33,-F33)</f>
        <v>-12.899999999999999</v>
      </c>
      <c r="I33" s="459" t="s">
        <v>146</v>
      </c>
      <c r="J33" s="200">
        <v>21.6</v>
      </c>
      <c r="K33" s="199">
        <v>30.4</v>
      </c>
      <c r="L33" s="457">
        <f>SUM(K33,-J33)</f>
        <v>8.7999999999999972</v>
      </c>
      <c r="M33" s="459" t="s">
        <v>149</v>
      </c>
      <c r="N33" s="200">
        <v>21.6</v>
      </c>
      <c r="O33" s="199">
        <v>30.7</v>
      </c>
      <c r="P33" s="457">
        <f>SUM(O33,-N33)</f>
        <v>9.0999999999999979</v>
      </c>
      <c r="Q33" s="459" t="s">
        <v>149</v>
      </c>
      <c r="R33" s="200">
        <v>25.5</v>
      </c>
      <c r="S33" s="199">
        <v>44.2</v>
      </c>
      <c r="T33" s="457">
        <f>SUM(S33,-R33)</f>
        <v>18.700000000000003</v>
      </c>
      <c r="U33" s="459" t="s">
        <v>145</v>
      </c>
      <c r="V33" s="200">
        <v>25.5</v>
      </c>
      <c r="W33" s="199">
        <v>17</v>
      </c>
      <c r="X33" s="457">
        <f>SUM(W33,-V33)</f>
        <v>-8.5</v>
      </c>
      <c r="Y33" s="459" t="s">
        <v>145</v>
      </c>
    </row>
    <row r="34" spans="3:25" ht="16">
      <c r="C34" s="451"/>
      <c r="D34" s="467"/>
      <c r="E34" s="463" t="s">
        <v>104</v>
      </c>
      <c r="F34" s="198">
        <v>0.22</v>
      </c>
      <c r="G34" s="230">
        <v>12</v>
      </c>
      <c r="H34" s="458"/>
      <c r="I34" s="460"/>
      <c r="J34" s="198">
        <v>0.18</v>
      </c>
      <c r="K34" s="230">
        <v>26</v>
      </c>
      <c r="L34" s="458"/>
      <c r="M34" s="460"/>
      <c r="N34" s="198">
        <v>0.18</v>
      </c>
      <c r="O34" s="230">
        <v>26</v>
      </c>
      <c r="P34" s="458"/>
      <c r="Q34" s="460"/>
      <c r="R34" s="198">
        <v>0.19</v>
      </c>
      <c r="S34" s="230">
        <v>33</v>
      </c>
      <c r="T34" s="458"/>
      <c r="U34" s="460"/>
      <c r="V34" s="198">
        <v>0.19</v>
      </c>
      <c r="W34" s="230">
        <v>13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</v>
      </c>
      <c r="H37" s="164">
        <f>SUM(G37,-F37)</f>
        <v>-10</v>
      </c>
      <c r="I37" s="189" t="s">
        <v>147</v>
      </c>
      <c r="J37" s="166">
        <v>10</v>
      </c>
      <c r="K37" s="165">
        <v>0</v>
      </c>
      <c r="L37" s="164">
        <f>SUM(K37,-J37)</f>
        <v>-10</v>
      </c>
      <c r="M37" s="189" t="s">
        <v>147</v>
      </c>
      <c r="N37" s="166">
        <v>10</v>
      </c>
      <c r="O37" s="165">
        <v>0</v>
      </c>
      <c r="P37" s="164">
        <f>SUM(O37,-N37)</f>
        <v>-10</v>
      </c>
      <c r="Q37" s="189" t="s">
        <v>147</v>
      </c>
      <c r="R37" s="166">
        <v>10</v>
      </c>
      <c r="S37" s="165">
        <v>0.2999999999999986</v>
      </c>
      <c r="T37" s="164">
        <f>SUM(S37,-R37)</f>
        <v>-9.7000000000000011</v>
      </c>
      <c r="U37" s="189" t="s">
        <v>170</v>
      </c>
      <c r="V37" s="166">
        <v>10</v>
      </c>
      <c r="W37" s="165">
        <v>0.7</v>
      </c>
      <c r="X37" s="164">
        <f>SUM(W37,-V37)</f>
        <v>-9.3000000000000007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137.69999999999999</v>
      </c>
      <c r="G38" s="187">
        <f>SUM(G29:G33,G37)</f>
        <v>124.5</v>
      </c>
      <c r="H38" s="187">
        <f>SUM(H29:H34,H37)</f>
        <v>-13.200000000000003</v>
      </c>
      <c r="I38" s="186"/>
      <c r="J38" s="188">
        <f>SUM(J29,J31,J33,J37)</f>
        <v>129.79999999999998</v>
      </c>
      <c r="K38" s="187">
        <f>SUM(K29:K33,K37)</f>
        <v>138.29999999999998</v>
      </c>
      <c r="L38" s="187">
        <f>SUM(L29:L34,L37)</f>
        <v>8.4999999999999929</v>
      </c>
      <c r="M38" s="186"/>
      <c r="N38" s="188">
        <f>SUM(N29,N31,N33,N37)</f>
        <v>129.79999999999998</v>
      </c>
      <c r="O38" s="187">
        <f>SUM(O29:O33,O37)</f>
        <v>138.6</v>
      </c>
      <c r="P38" s="187">
        <f>SUM(P29:P34,P37)</f>
        <v>8.7999999999999936</v>
      </c>
      <c r="Q38" s="186"/>
      <c r="R38" s="188">
        <f>SUM(R29,R31,R33,R37)</f>
        <v>106.5</v>
      </c>
      <c r="S38" s="187">
        <f>SUM(S29:S33,S37)</f>
        <v>114.4</v>
      </c>
      <c r="T38" s="187">
        <f>SUM(T29:T34,T37)</f>
        <v>7.9000000000000039</v>
      </c>
      <c r="U38" s="186"/>
      <c r="V38" s="188">
        <f>SUM(V29,V31,V33,V37)</f>
        <v>106.5</v>
      </c>
      <c r="W38" s="187">
        <f>SUM(W29:W33,W37)</f>
        <v>77.899999999999991</v>
      </c>
      <c r="X38" s="187">
        <f>SUM(X29:X34,X37)</f>
        <v>-28.6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34.4</v>
      </c>
      <c r="G42" s="478">
        <v>0</v>
      </c>
      <c r="H42" s="457">
        <f>SUM(G42,-F42)</f>
        <v>-34.4</v>
      </c>
      <c r="I42" s="459" t="s">
        <v>151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183</v>
      </c>
      <c r="G43" s="479"/>
      <c r="H43" s="480"/>
      <c r="I43" s="481"/>
      <c r="J43" s="183">
        <v>229</v>
      </c>
      <c r="K43" s="479"/>
      <c r="L43" s="480"/>
      <c r="M43" s="481"/>
      <c r="N43" s="183">
        <v>229</v>
      </c>
      <c r="O43" s="479"/>
      <c r="P43" s="480"/>
      <c r="Q43" s="481"/>
      <c r="R43" s="183">
        <v>205.6</v>
      </c>
      <c r="S43" s="479"/>
      <c r="T43" s="480"/>
      <c r="U43" s="481"/>
      <c r="V43" s="183">
        <v>182.9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37.4</v>
      </c>
      <c r="G47" s="478">
        <v>37.299999999999997</v>
      </c>
      <c r="H47" s="457">
        <f>SUM(G47,-F47)</f>
        <v>-0.10000000000000142</v>
      </c>
      <c r="I47" s="459" t="s">
        <v>149</v>
      </c>
      <c r="J47" s="178">
        <v>37.4</v>
      </c>
      <c r="K47" s="478">
        <v>37</v>
      </c>
      <c r="L47" s="457">
        <f>SUM(K47,-J47)</f>
        <v>-0.39999999999999858</v>
      </c>
      <c r="M47" s="459" t="s">
        <v>149</v>
      </c>
      <c r="N47" s="178">
        <v>37.4</v>
      </c>
      <c r="O47" s="478">
        <v>40.700000000000003</v>
      </c>
      <c r="P47" s="457">
        <f>SUM(O47,-N47)</f>
        <v>3.3000000000000043</v>
      </c>
      <c r="Q47" s="459" t="s">
        <v>181</v>
      </c>
      <c r="R47" s="178">
        <v>37.4</v>
      </c>
      <c r="S47" s="478">
        <v>39.4</v>
      </c>
      <c r="T47" s="457">
        <f>SUM(S47,-R47)</f>
        <v>2</v>
      </c>
      <c r="U47" s="459" t="s">
        <v>181</v>
      </c>
      <c r="V47" s="178">
        <v>32.9</v>
      </c>
      <c r="W47" s="478">
        <v>34.9</v>
      </c>
      <c r="X47" s="457">
        <f>SUM(W47,-V47)</f>
        <v>2</v>
      </c>
      <c r="Y47" s="459" t="s">
        <v>149</v>
      </c>
    </row>
    <row r="48" spans="3:25" ht="16.5" thickBot="1">
      <c r="C48" s="486"/>
      <c r="D48" s="487"/>
      <c r="E48" s="489"/>
      <c r="F48" s="177">
        <v>0.65</v>
      </c>
      <c r="G48" s="479"/>
      <c r="H48" s="480"/>
      <c r="I48" s="481"/>
      <c r="J48" s="177">
        <v>0.65</v>
      </c>
      <c r="K48" s="479"/>
      <c r="L48" s="480"/>
      <c r="M48" s="481"/>
      <c r="N48" s="177">
        <v>0.65</v>
      </c>
      <c r="O48" s="479"/>
      <c r="P48" s="480"/>
      <c r="Q48" s="481"/>
      <c r="R48" s="177">
        <v>0.65</v>
      </c>
      <c r="S48" s="479"/>
      <c r="T48" s="480"/>
      <c r="U48" s="481"/>
      <c r="V48" s="177">
        <v>0.62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25.2</v>
      </c>
      <c r="H53" s="223" t="s">
        <v>159</v>
      </c>
      <c r="I53" s="222" t="s">
        <v>180</v>
      </c>
      <c r="J53" s="225">
        <v>0</v>
      </c>
      <c r="K53" s="229">
        <v>23.8</v>
      </c>
      <c r="L53" s="223" t="s">
        <v>159</v>
      </c>
      <c r="M53" s="222" t="s">
        <v>180</v>
      </c>
      <c r="N53" s="225">
        <v>0</v>
      </c>
      <c r="O53" s="229">
        <v>23.3</v>
      </c>
      <c r="P53" s="223" t="s">
        <v>159</v>
      </c>
      <c r="Q53" s="222" t="s">
        <v>180</v>
      </c>
      <c r="R53" s="225">
        <v>0</v>
      </c>
      <c r="S53" s="229">
        <v>22.1</v>
      </c>
      <c r="T53" s="223" t="s">
        <v>159</v>
      </c>
      <c r="U53" s="222" t="s">
        <v>180</v>
      </c>
      <c r="V53" s="225">
        <v>0</v>
      </c>
      <c r="W53" s="229">
        <v>22.6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N11:Q11"/>
    <mergeCell ref="R11:U11"/>
    <mergeCell ref="V11:Y11"/>
    <mergeCell ref="C3:E3"/>
    <mergeCell ref="F3:I3"/>
    <mergeCell ref="J3:M3"/>
    <mergeCell ref="N3:Q3"/>
    <mergeCell ref="R3:U3"/>
    <mergeCell ref="V3:Y3"/>
    <mergeCell ref="C4:C9"/>
    <mergeCell ref="D5:D6"/>
    <mergeCell ref="D7:D8"/>
    <mergeCell ref="D9:E9"/>
    <mergeCell ref="C12:C21"/>
    <mergeCell ref="D13:D14"/>
    <mergeCell ref="D15:D16"/>
    <mergeCell ref="D17:D20"/>
    <mergeCell ref="D21:E21"/>
    <mergeCell ref="C11:E11"/>
    <mergeCell ref="C23:E23"/>
    <mergeCell ref="F23:I23"/>
    <mergeCell ref="J23:M23"/>
    <mergeCell ref="F11:I11"/>
    <mergeCell ref="J11:M11"/>
    <mergeCell ref="N23:Q23"/>
    <mergeCell ref="R23:U23"/>
    <mergeCell ref="V23:Y23"/>
    <mergeCell ref="C24:D25"/>
    <mergeCell ref="E24:E25"/>
    <mergeCell ref="C27:E27"/>
    <mergeCell ref="F27:I27"/>
    <mergeCell ref="J27:M27"/>
    <mergeCell ref="N27:Q27"/>
    <mergeCell ref="R27:U27"/>
    <mergeCell ref="V27:Y27"/>
    <mergeCell ref="Y29:Y30"/>
    <mergeCell ref="E31:E32"/>
    <mergeCell ref="G31:G32"/>
    <mergeCell ref="H31:H32"/>
    <mergeCell ref="I31:I32"/>
    <mergeCell ref="K31:K32"/>
    <mergeCell ref="L31:L32"/>
    <mergeCell ref="M29:M30"/>
    <mergeCell ref="O29:O30"/>
    <mergeCell ref="P29:P30"/>
    <mergeCell ref="W29:W30"/>
    <mergeCell ref="X29:X30"/>
    <mergeCell ref="Q29:Q30"/>
    <mergeCell ref="C28:C38"/>
    <mergeCell ref="D29:D32"/>
    <mergeCell ref="E29:E30"/>
    <mergeCell ref="G29:G30"/>
    <mergeCell ref="H29:H30"/>
    <mergeCell ref="I29:I30"/>
    <mergeCell ref="K29:K30"/>
    <mergeCell ref="L29:L30"/>
    <mergeCell ref="Y33:Y34"/>
    <mergeCell ref="E34:E36"/>
    <mergeCell ref="U31:U32"/>
    <mergeCell ref="W31:W32"/>
    <mergeCell ref="X31:X32"/>
    <mergeCell ref="Y31:Y32"/>
    <mergeCell ref="Q31:Q32"/>
    <mergeCell ref="S31:S32"/>
    <mergeCell ref="T31:T32"/>
    <mergeCell ref="M31:M32"/>
    <mergeCell ref="O31:O32"/>
    <mergeCell ref="P31:P32"/>
    <mergeCell ref="S29:S30"/>
    <mergeCell ref="T29:T30"/>
    <mergeCell ref="X33:X34"/>
    <mergeCell ref="U29:U30"/>
    <mergeCell ref="Q33:Q34"/>
    <mergeCell ref="T33:T34"/>
    <mergeCell ref="U33:U34"/>
    <mergeCell ref="D33:D37"/>
    <mergeCell ref="H33:H34"/>
    <mergeCell ref="I33:I34"/>
    <mergeCell ref="L33:L34"/>
    <mergeCell ref="M33:M34"/>
    <mergeCell ref="P33:P34"/>
    <mergeCell ref="X42:X43"/>
    <mergeCell ref="Y42:Y43"/>
    <mergeCell ref="D38:E38"/>
    <mergeCell ref="C40:E40"/>
    <mergeCell ref="F40:I40"/>
    <mergeCell ref="J40:M40"/>
    <mergeCell ref="N40:Q40"/>
    <mergeCell ref="R40:U40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P42:P43"/>
    <mergeCell ref="Q42:Q43"/>
    <mergeCell ref="S42:S43"/>
    <mergeCell ref="T42:T43"/>
    <mergeCell ref="U42:U43"/>
    <mergeCell ref="W42:W43"/>
    <mergeCell ref="C45:E45"/>
    <mergeCell ref="F45:I45"/>
    <mergeCell ref="J45:M45"/>
    <mergeCell ref="N45:Q45"/>
    <mergeCell ref="R45:U45"/>
    <mergeCell ref="V45:Y45"/>
    <mergeCell ref="C46:D48"/>
    <mergeCell ref="E47:E48"/>
    <mergeCell ref="G47:G48"/>
    <mergeCell ref="H47:H48"/>
    <mergeCell ref="I47:I48"/>
    <mergeCell ref="K47:K48"/>
    <mergeCell ref="C51:D53"/>
    <mergeCell ref="T47:T48"/>
    <mergeCell ref="U47:U48"/>
    <mergeCell ref="W47:W48"/>
    <mergeCell ref="X47:X48"/>
    <mergeCell ref="Y47:Y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V50:Y50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&amp;"メイリオ,ボールド"&amp;22日別の優先給電ルールに基づく抑制、調整状況（2024年10月）</oddHeader>
    <oddFooter>&amp;R&amp;"メイリオ,レギュラー"&amp;14九州電力送配電株式会社</oddFooter>
  </headerFooter>
  <colBreaks count="1" manualBreakCount="1">
    <brk id="25" max="1048575" man="1"/>
  </colBreaks>
  <legacy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6CAA-CDFC-40A1-AD1C-CEFE8AE3CF57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U2" s="220" t="s">
        <v>143</v>
      </c>
      <c r="Y2" s="220"/>
    </row>
    <row r="3" spans="3:25" ht="16.5" thickBot="1">
      <c r="C3" s="514" t="s">
        <v>142</v>
      </c>
      <c r="D3" s="430"/>
      <c r="E3" s="431"/>
      <c r="F3" s="515">
        <v>45578</v>
      </c>
      <c r="G3" s="516"/>
      <c r="H3" s="516"/>
      <c r="I3" s="517"/>
      <c r="J3" s="515">
        <v>45585</v>
      </c>
      <c r="K3" s="516"/>
      <c r="L3" s="516"/>
      <c r="M3" s="517"/>
      <c r="N3" s="515">
        <v>45592</v>
      </c>
      <c r="O3" s="516"/>
      <c r="P3" s="516"/>
      <c r="Q3" s="517"/>
      <c r="R3" s="515">
        <v>45595</v>
      </c>
      <c r="S3" s="516"/>
      <c r="T3" s="516"/>
      <c r="U3" s="517"/>
      <c r="Y3" s="1"/>
    </row>
    <row r="4" spans="3:25" ht="16">
      <c r="C4" s="518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Y4" s="1"/>
    </row>
    <row r="5" spans="3:25" ht="16">
      <c r="C5" s="519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0</v>
      </c>
      <c r="K5" s="165">
        <v>0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Y5" s="1"/>
    </row>
    <row r="6" spans="3:25" ht="16">
      <c r="C6" s="519"/>
      <c r="D6" s="426"/>
      <c r="E6" s="211" t="s">
        <v>136</v>
      </c>
      <c r="F6" s="166">
        <v>0</v>
      </c>
      <c r="G6" s="165">
        <v>0</v>
      </c>
      <c r="H6" s="164">
        <f>SUM(G6,-F6)</f>
        <v>0</v>
      </c>
      <c r="I6" s="219"/>
      <c r="J6" s="166">
        <v>8.6999999999999993</v>
      </c>
      <c r="K6" s="165">
        <v>8.6999999999999993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Y6" s="1"/>
    </row>
    <row r="7" spans="3:25" ht="16">
      <c r="C7" s="519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Y7" s="1"/>
    </row>
    <row r="8" spans="3:25" ht="16">
      <c r="C8" s="520"/>
      <c r="D8" s="426"/>
      <c r="E8" s="218" t="s">
        <v>133</v>
      </c>
      <c r="F8" s="217">
        <v>52.900000000000006</v>
      </c>
      <c r="G8" s="216">
        <v>52.900000000000006</v>
      </c>
      <c r="H8" s="215">
        <f>SUM(G8,-F8)</f>
        <v>0</v>
      </c>
      <c r="I8" s="214"/>
      <c r="J8" s="217">
        <v>52.5</v>
      </c>
      <c r="K8" s="216">
        <v>52.5</v>
      </c>
      <c r="L8" s="215">
        <f>SUM(K8,-J8)</f>
        <v>0</v>
      </c>
      <c r="M8" s="214"/>
      <c r="N8" s="217">
        <v>34.299999999999997</v>
      </c>
      <c r="O8" s="216">
        <v>34.299999999999997</v>
      </c>
      <c r="P8" s="215">
        <f>SUM(O8,-N8)</f>
        <v>0</v>
      </c>
      <c r="Q8" s="214"/>
      <c r="R8" s="217">
        <v>38.200000000000003</v>
      </c>
      <c r="S8" s="216">
        <v>38.200000000000003</v>
      </c>
      <c r="T8" s="215">
        <f>SUM(S8,-R8)</f>
        <v>0</v>
      </c>
      <c r="U8" s="214"/>
      <c r="Y8" s="1"/>
    </row>
    <row r="9" spans="3:25" ht="16.5" thickBot="1">
      <c r="C9" s="521"/>
      <c r="D9" s="427" t="s">
        <v>101</v>
      </c>
      <c r="E9" s="428"/>
      <c r="F9" s="188">
        <f>SUM(F5:F8)</f>
        <v>65.300000000000011</v>
      </c>
      <c r="G9" s="187">
        <f>SUM(G5:G8)</f>
        <v>65.300000000000011</v>
      </c>
      <c r="H9" s="187">
        <f>SUM(H5:H8)</f>
        <v>0</v>
      </c>
      <c r="I9" s="213" t="s">
        <v>159</v>
      </c>
      <c r="J9" s="188">
        <v>61.2</v>
      </c>
      <c r="K9" s="187">
        <v>61.2</v>
      </c>
      <c r="L9" s="187">
        <f>SUM(L5:L8)</f>
        <v>0</v>
      </c>
      <c r="M9" s="213" t="s">
        <v>159</v>
      </c>
      <c r="N9" s="188">
        <f>SUM(N5:N8)</f>
        <v>64.199999999999989</v>
      </c>
      <c r="O9" s="187">
        <f>SUM(O5:O8)</f>
        <v>64.199999999999989</v>
      </c>
      <c r="P9" s="187">
        <f>SUM(P5:P8)</f>
        <v>0</v>
      </c>
      <c r="Q9" s="213" t="s">
        <v>159</v>
      </c>
      <c r="R9" s="188">
        <f>SUM(R5:R8)</f>
        <v>68.099999999999994</v>
      </c>
      <c r="S9" s="187">
        <f>SUM(S5:S8)</f>
        <v>68.099999999999994</v>
      </c>
      <c r="T9" s="187">
        <f>SUM(T5:T8)</f>
        <v>0</v>
      </c>
      <c r="U9" s="213" t="s">
        <v>159</v>
      </c>
      <c r="Y9" s="1"/>
    </row>
    <row r="10" spans="3:25" ht="15.5" thickBot="1">
      <c r="C10" s="176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3"/>
      <c r="Y10" s="1"/>
    </row>
    <row r="11" spans="3:25" ht="16.5" thickBot="1">
      <c r="C11" s="514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Y11" s="1"/>
    </row>
    <row r="12" spans="3:25" ht="16">
      <c r="C12" s="522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Y12" s="1"/>
    </row>
    <row r="13" spans="3:25" ht="16">
      <c r="C13" s="523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189" t="s">
        <v>145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145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Y13" s="1"/>
    </row>
    <row r="14" spans="3:25" ht="16">
      <c r="C14" s="523"/>
      <c r="D14" s="442"/>
      <c r="E14" s="211" t="s">
        <v>124</v>
      </c>
      <c r="F14" s="166">
        <v>-26.1</v>
      </c>
      <c r="G14" s="165">
        <v>0</v>
      </c>
      <c r="H14" s="164">
        <f t="shared" si="0"/>
        <v>26.1</v>
      </c>
      <c r="I14" s="189" t="s">
        <v>145</v>
      </c>
      <c r="J14" s="166">
        <v>-26.1</v>
      </c>
      <c r="K14" s="165">
        <v>0</v>
      </c>
      <c r="L14" s="164">
        <f t="shared" si="1"/>
        <v>26.1</v>
      </c>
      <c r="M14" s="189" t="s">
        <v>145</v>
      </c>
      <c r="N14" s="166">
        <v>-26.1</v>
      </c>
      <c r="O14" s="165">
        <v>0</v>
      </c>
      <c r="P14" s="164">
        <f t="shared" si="2"/>
        <v>26.1</v>
      </c>
      <c r="Q14" s="189" t="s">
        <v>145</v>
      </c>
      <c r="R14" s="166">
        <v>-26.1</v>
      </c>
      <c r="S14" s="165">
        <v>0</v>
      </c>
      <c r="T14" s="164">
        <f t="shared" si="3"/>
        <v>26.1</v>
      </c>
      <c r="U14" s="189" t="s">
        <v>145</v>
      </c>
      <c r="Y14" s="1"/>
    </row>
    <row r="15" spans="3:25" ht="16">
      <c r="C15" s="523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189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Y15" s="1"/>
    </row>
    <row r="16" spans="3:25" ht="16">
      <c r="C16" s="523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189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Y16" s="1"/>
    </row>
    <row r="17" spans="3:25" ht="16">
      <c r="C17" s="523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12"/>
      <c r="J17" s="166">
        <v>-34</v>
      </c>
      <c r="K17" s="165">
        <v>-34</v>
      </c>
      <c r="L17" s="164">
        <f t="shared" si="1"/>
        <v>0</v>
      </c>
      <c r="M17" s="212"/>
      <c r="N17" s="166">
        <v>-34</v>
      </c>
      <c r="O17" s="165">
        <v>-34</v>
      </c>
      <c r="P17" s="164">
        <f t="shared" si="2"/>
        <v>0</v>
      </c>
      <c r="Q17" s="212"/>
      <c r="R17" s="166">
        <v>-34</v>
      </c>
      <c r="S17" s="165">
        <v>-34</v>
      </c>
      <c r="T17" s="164">
        <f t="shared" si="3"/>
        <v>0</v>
      </c>
      <c r="U17" s="212"/>
      <c r="Y17" s="1"/>
    </row>
    <row r="18" spans="3:25" ht="16">
      <c r="C18" s="523"/>
      <c r="D18" s="443"/>
      <c r="E18" s="211" t="s">
        <v>124</v>
      </c>
      <c r="F18" s="166">
        <v>-34</v>
      </c>
      <c r="G18" s="165">
        <v>0</v>
      </c>
      <c r="H18" s="164">
        <f t="shared" si="0"/>
        <v>34</v>
      </c>
      <c r="I18" s="189" t="s">
        <v>145</v>
      </c>
      <c r="J18" s="166">
        <v>-34</v>
      </c>
      <c r="K18" s="165">
        <v>0</v>
      </c>
      <c r="L18" s="164">
        <f t="shared" si="1"/>
        <v>34</v>
      </c>
      <c r="M18" s="189" t="s">
        <v>145</v>
      </c>
      <c r="N18" s="166">
        <v>-34</v>
      </c>
      <c r="O18" s="165">
        <v>0</v>
      </c>
      <c r="P18" s="164">
        <f t="shared" si="2"/>
        <v>34</v>
      </c>
      <c r="Q18" s="189" t="s">
        <v>145</v>
      </c>
      <c r="R18" s="166">
        <v>-34</v>
      </c>
      <c r="S18" s="165">
        <v>0</v>
      </c>
      <c r="T18" s="164">
        <f t="shared" si="3"/>
        <v>34</v>
      </c>
      <c r="U18" s="189" t="s">
        <v>145</v>
      </c>
      <c r="Y18" s="1"/>
    </row>
    <row r="19" spans="3:25" ht="16">
      <c r="C19" s="523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189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Y19" s="1"/>
    </row>
    <row r="20" spans="3:25" ht="16">
      <c r="C20" s="523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189"/>
      <c r="J20" s="166">
        <v>-34</v>
      </c>
      <c r="K20" s="165">
        <v>0</v>
      </c>
      <c r="L20" s="164">
        <f t="shared" si="1"/>
        <v>34</v>
      </c>
      <c r="M20" s="189" t="s">
        <v>145</v>
      </c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Y20" s="1"/>
    </row>
    <row r="21" spans="3:25" ht="16.5" thickBot="1">
      <c r="C21" s="524"/>
      <c r="D21" s="427" t="s">
        <v>101</v>
      </c>
      <c r="E21" s="428"/>
      <c r="F21" s="188">
        <f>SUM(F13:F20)</f>
        <v>-253.2</v>
      </c>
      <c r="G21" s="187">
        <f>SUM(G13:G20)</f>
        <v>-167</v>
      </c>
      <c r="H21" s="187">
        <f>SUM(H13:H20)</f>
        <v>86.2</v>
      </c>
      <c r="I21" s="186" t="s">
        <v>159</v>
      </c>
      <c r="J21" s="188">
        <f>SUM(J13:J20)</f>
        <v>-253.2</v>
      </c>
      <c r="K21" s="187">
        <f>SUM(K13:K20)</f>
        <v>-133</v>
      </c>
      <c r="L21" s="187">
        <f>SUM(L13:L20)</f>
        <v>120.2</v>
      </c>
      <c r="M21" s="186" t="s">
        <v>159</v>
      </c>
      <c r="N21" s="188">
        <f>SUM(N13:N20)</f>
        <v>-253.2</v>
      </c>
      <c r="O21" s="187">
        <f>SUM(O13:O20)</f>
        <v>-167</v>
      </c>
      <c r="P21" s="187">
        <f>SUM(P13:P20)</f>
        <v>86.2</v>
      </c>
      <c r="Q21" s="186" t="s">
        <v>159</v>
      </c>
      <c r="R21" s="188">
        <f>SUM(R13:R20)</f>
        <v>-253.2</v>
      </c>
      <c r="S21" s="187">
        <f>SUM(S13:S20)</f>
        <v>-167</v>
      </c>
      <c r="T21" s="187">
        <f>SUM(T13:T20)</f>
        <v>86.2</v>
      </c>
      <c r="U21" s="186" t="s">
        <v>159</v>
      </c>
      <c r="Y21" s="1"/>
    </row>
    <row r="22" spans="3:25" ht="15.5" thickBot="1">
      <c r="C22" s="176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3"/>
      <c r="Y22" s="1"/>
    </row>
    <row r="23" spans="3:25" ht="16.5" thickBot="1">
      <c r="C23" s="514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Y23" s="1"/>
    </row>
    <row r="24" spans="3:25" ht="16">
      <c r="C24" s="525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Y24" s="1"/>
    </row>
    <row r="25" spans="3:25" ht="16.5" thickBot="1">
      <c r="C25" s="526"/>
      <c r="D25" s="447"/>
      <c r="E25" s="449"/>
      <c r="F25" s="209">
        <v>-5</v>
      </c>
      <c r="G25" s="208">
        <v>-4.5</v>
      </c>
      <c r="H25" s="207">
        <f>SUM(G25,-F25)</f>
        <v>0.5</v>
      </c>
      <c r="I25" s="206" t="s">
        <v>173</v>
      </c>
      <c r="J25" s="209">
        <v>-5</v>
      </c>
      <c r="K25" s="208">
        <v>-4.5</v>
      </c>
      <c r="L25" s="207">
        <f>SUM(K25,-J25)</f>
        <v>0.5</v>
      </c>
      <c r="M25" s="206" t="s">
        <v>173</v>
      </c>
      <c r="N25" s="209">
        <v>-5</v>
      </c>
      <c r="O25" s="208">
        <v>-4.5</v>
      </c>
      <c r="P25" s="207">
        <f>SUM(O25,-N25)</f>
        <v>0.5</v>
      </c>
      <c r="Q25" s="206" t="s">
        <v>173</v>
      </c>
      <c r="R25" s="209">
        <v>-5</v>
      </c>
      <c r="S25" s="208">
        <v>-3.5</v>
      </c>
      <c r="T25" s="207">
        <f>SUM(S25,-R25)</f>
        <v>1.5</v>
      </c>
      <c r="U25" s="206" t="s">
        <v>173</v>
      </c>
      <c r="Y25" s="1"/>
    </row>
    <row r="26" spans="3:25" ht="15.5" thickBot="1">
      <c r="C26" s="176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3"/>
      <c r="Y26" s="1"/>
    </row>
    <row r="27" spans="3:25" ht="16.5" thickBot="1">
      <c r="C27" s="514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Y27" s="1"/>
    </row>
    <row r="28" spans="3:25" ht="27" customHeight="1">
      <c r="C28" s="527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Y28" s="1"/>
    </row>
    <row r="29" spans="3:25" ht="16">
      <c r="C29" s="528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Y29" s="1"/>
    </row>
    <row r="30" spans="3:25" ht="16">
      <c r="C30" s="528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Y30" s="1"/>
    </row>
    <row r="31" spans="3:25" ht="16">
      <c r="C31" s="528"/>
      <c r="D31" s="443"/>
      <c r="E31" s="453" t="s">
        <v>109</v>
      </c>
      <c r="F31" s="200">
        <v>27.2</v>
      </c>
      <c r="G31" s="455">
        <v>16.399999999999999</v>
      </c>
      <c r="H31" s="457">
        <f>SUM(G31,-F31)</f>
        <v>-10.8</v>
      </c>
      <c r="I31" s="459" t="s">
        <v>145</v>
      </c>
      <c r="J31" s="200">
        <v>27.2</v>
      </c>
      <c r="K31" s="455">
        <v>26.1</v>
      </c>
      <c r="L31" s="457">
        <f>SUM(K31,-J31)</f>
        <v>-1.0999999999999979</v>
      </c>
      <c r="M31" s="459" t="s">
        <v>145</v>
      </c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62.2</v>
      </c>
      <c r="T31" s="457">
        <f>SUM(S31,-R31)</f>
        <v>7.8000000000000043</v>
      </c>
      <c r="U31" s="459" t="s">
        <v>151</v>
      </c>
      <c r="Y31" s="1"/>
    </row>
    <row r="32" spans="3:25" ht="16">
      <c r="C32" s="528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Y32" s="1"/>
    </row>
    <row r="33" spans="3:25" ht="16">
      <c r="C33" s="528"/>
      <c r="D33" s="466" t="s">
        <v>107</v>
      </c>
      <c r="E33" s="201" t="s">
        <v>106</v>
      </c>
      <c r="F33" s="200">
        <v>25.5</v>
      </c>
      <c r="G33" s="199">
        <v>17</v>
      </c>
      <c r="H33" s="457">
        <f>SUM(G33,-F33)</f>
        <v>-8.5</v>
      </c>
      <c r="I33" s="459" t="s">
        <v>145</v>
      </c>
      <c r="J33" s="200">
        <v>25.5</v>
      </c>
      <c r="K33" s="199">
        <v>17</v>
      </c>
      <c r="L33" s="457">
        <f>SUM(K33,-J33)</f>
        <v>-8.5</v>
      </c>
      <c r="M33" s="459" t="s">
        <v>145</v>
      </c>
      <c r="N33" s="200">
        <v>25.5</v>
      </c>
      <c r="O33" s="199">
        <v>16.600000000000001</v>
      </c>
      <c r="P33" s="457">
        <f>SUM(O33,-N33)</f>
        <v>-8.8999999999999986</v>
      </c>
      <c r="Q33" s="459" t="s">
        <v>145</v>
      </c>
      <c r="R33" s="200">
        <v>25.5</v>
      </c>
      <c r="S33" s="199">
        <v>41.3</v>
      </c>
      <c r="T33" s="457">
        <f>SUM(S33,-R33)</f>
        <v>15.799999999999997</v>
      </c>
      <c r="U33" s="459" t="s">
        <v>145</v>
      </c>
      <c r="Y33" s="1"/>
    </row>
    <row r="34" spans="3:25" ht="16">
      <c r="C34" s="528"/>
      <c r="D34" s="467"/>
      <c r="E34" s="463" t="s">
        <v>104</v>
      </c>
      <c r="F34" s="198">
        <v>0.19</v>
      </c>
      <c r="G34" s="230">
        <v>13</v>
      </c>
      <c r="H34" s="458"/>
      <c r="I34" s="460"/>
      <c r="J34" s="198">
        <v>0.19</v>
      </c>
      <c r="K34" s="230">
        <v>13</v>
      </c>
      <c r="L34" s="458"/>
      <c r="M34" s="460"/>
      <c r="N34" s="198">
        <v>0.19</v>
      </c>
      <c r="O34" s="230">
        <v>13</v>
      </c>
      <c r="P34" s="458"/>
      <c r="Q34" s="460"/>
      <c r="R34" s="198">
        <v>0.19</v>
      </c>
      <c r="S34" s="230">
        <v>31</v>
      </c>
      <c r="T34" s="458"/>
      <c r="U34" s="460"/>
      <c r="Y34" s="1"/>
    </row>
    <row r="35" spans="3:25" ht="13.5" customHeight="1">
      <c r="C35" s="528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Y35" s="1"/>
    </row>
    <row r="36" spans="3:25" ht="16">
      <c r="C36" s="528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Y36" s="1"/>
    </row>
    <row r="37" spans="3:25" ht="16">
      <c r="C37" s="528"/>
      <c r="D37" s="467"/>
      <c r="E37" s="190" t="s">
        <v>103</v>
      </c>
      <c r="F37" s="166">
        <v>10</v>
      </c>
      <c r="G37" s="165">
        <v>0.5</v>
      </c>
      <c r="H37" s="164">
        <f>SUM(G37,-F37)</f>
        <v>-9.5</v>
      </c>
      <c r="I37" s="189" t="s">
        <v>147</v>
      </c>
      <c r="J37" s="166">
        <v>10</v>
      </c>
      <c r="K37" s="165">
        <v>0.30000000000000215</v>
      </c>
      <c r="L37" s="164">
        <f>SUM(K37,-J37)</f>
        <v>-9.6999999999999975</v>
      </c>
      <c r="M37" s="189" t="s">
        <v>147</v>
      </c>
      <c r="N37" s="166">
        <v>10</v>
      </c>
      <c r="O37" s="165">
        <v>0.49999999999999856</v>
      </c>
      <c r="P37" s="164">
        <f>SUM(O37,-N37)</f>
        <v>-9.5000000000000018</v>
      </c>
      <c r="Q37" s="189" t="s">
        <v>170</v>
      </c>
      <c r="R37" s="166">
        <v>10</v>
      </c>
      <c r="S37" s="165">
        <v>0.5</v>
      </c>
      <c r="T37" s="164">
        <f>SUM(S37,-R37)</f>
        <v>-9.5</v>
      </c>
      <c r="U37" s="189" t="s">
        <v>147</v>
      </c>
      <c r="Y37" s="1"/>
    </row>
    <row r="38" spans="3:25" ht="16.5" thickBot="1">
      <c r="C38" s="529"/>
      <c r="D38" s="427" t="s">
        <v>101</v>
      </c>
      <c r="E38" s="428"/>
      <c r="F38" s="188">
        <f>SUM(F29,F31,F33,F37)</f>
        <v>106.5</v>
      </c>
      <c r="G38" s="187">
        <f>SUM(G29:G33,G37)</f>
        <v>77.699999999999989</v>
      </c>
      <c r="H38" s="187">
        <f>SUM(H29:H34,H37)</f>
        <v>-28.8</v>
      </c>
      <c r="I38" s="186"/>
      <c r="J38" s="188">
        <f>SUM(J29,J31,J33,J37)</f>
        <v>106.5</v>
      </c>
      <c r="K38" s="187">
        <f>SUM(K29:K33,K37)</f>
        <v>87.2</v>
      </c>
      <c r="L38" s="187">
        <f>SUM(L29:L34,L37)</f>
        <v>-19.299999999999997</v>
      </c>
      <c r="M38" s="186"/>
      <c r="N38" s="188">
        <f>SUM(N29,N31,N33,N37)</f>
        <v>133.69999999999999</v>
      </c>
      <c r="O38" s="187">
        <f>SUM(O29:O33,O37)</f>
        <v>115.29999999999998</v>
      </c>
      <c r="P38" s="187">
        <f>SUM(P29:P34,P37)</f>
        <v>-18.399999999999999</v>
      </c>
      <c r="Q38" s="186"/>
      <c r="R38" s="188">
        <f>SUM(R29,R31,R33,R37)</f>
        <v>133.69999999999999</v>
      </c>
      <c r="S38" s="187">
        <f>SUM(S29:S33,S37)</f>
        <v>147.80000000000001</v>
      </c>
      <c r="T38" s="187">
        <f>SUM(T29:T34,T37)</f>
        <v>14.100000000000001</v>
      </c>
      <c r="U38" s="186"/>
      <c r="Y38" s="1"/>
    </row>
    <row r="39" spans="3:25" ht="15.5" thickBot="1">
      <c r="C39" s="176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3"/>
      <c r="Y39" s="1"/>
    </row>
    <row r="40" spans="3:25" ht="16.5" thickBot="1">
      <c r="C40" s="514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Y40" s="1"/>
    </row>
    <row r="41" spans="3:25" ht="42" customHeight="1">
      <c r="C41" s="530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Y41" s="1"/>
    </row>
    <row r="42" spans="3:25" ht="16.5" customHeight="1">
      <c r="C42" s="525"/>
      <c r="D42" s="445"/>
      <c r="E42" s="476" t="s">
        <v>96</v>
      </c>
      <c r="F42" s="178">
        <v>24.3</v>
      </c>
      <c r="G42" s="478">
        <v>0</v>
      </c>
      <c r="H42" s="457">
        <f>SUM(G42,-F42)</f>
        <v>-24.3</v>
      </c>
      <c r="I42" s="565" t="s">
        <v>151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Y42" s="1"/>
    </row>
    <row r="43" spans="3:25" ht="16.5" thickBot="1">
      <c r="C43" s="531"/>
      <c r="D43" s="475"/>
      <c r="E43" s="477"/>
      <c r="F43" s="183">
        <v>181.9</v>
      </c>
      <c r="G43" s="479"/>
      <c r="H43" s="480"/>
      <c r="I43" s="566"/>
      <c r="J43" s="183">
        <v>183</v>
      </c>
      <c r="K43" s="479"/>
      <c r="L43" s="480"/>
      <c r="M43" s="481"/>
      <c r="N43" s="183">
        <v>183</v>
      </c>
      <c r="O43" s="479"/>
      <c r="P43" s="480"/>
      <c r="Q43" s="481"/>
      <c r="R43" s="183">
        <v>235</v>
      </c>
      <c r="S43" s="479"/>
      <c r="T43" s="480"/>
      <c r="U43" s="481"/>
      <c r="Y43" s="1"/>
    </row>
    <row r="44" spans="3:25" ht="15.5" thickBot="1">
      <c r="C44" s="176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3"/>
      <c r="Y44" s="1"/>
    </row>
    <row r="45" spans="3:25" ht="16.5" thickBot="1">
      <c r="C45" s="514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Y45" s="1"/>
    </row>
    <row r="46" spans="3:25" ht="42.75" customHeight="1">
      <c r="C46" s="525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Y46" s="1"/>
    </row>
    <row r="47" spans="3:25" ht="16">
      <c r="C47" s="525"/>
      <c r="D47" s="483"/>
      <c r="E47" s="488" t="s">
        <v>91</v>
      </c>
      <c r="F47" s="178">
        <v>32.9</v>
      </c>
      <c r="G47" s="478">
        <v>34.9</v>
      </c>
      <c r="H47" s="457">
        <f>SUM(G47,-F47)</f>
        <v>2</v>
      </c>
      <c r="I47" s="459" t="s">
        <v>145</v>
      </c>
      <c r="J47" s="178">
        <v>31.7</v>
      </c>
      <c r="K47" s="478">
        <v>33.700000000000003</v>
      </c>
      <c r="L47" s="457">
        <f>SUM(K47,-J47)</f>
        <v>2.0000000000000036</v>
      </c>
      <c r="M47" s="459" t="s">
        <v>145</v>
      </c>
      <c r="N47" s="178">
        <v>28.4</v>
      </c>
      <c r="O47" s="478">
        <v>29.1</v>
      </c>
      <c r="P47" s="457">
        <f>SUM(O47,-N47)</f>
        <v>0.70000000000000284</v>
      </c>
      <c r="Q47" s="459" t="s">
        <v>145</v>
      </c>
      <c r="R47" s="178">
        <v>31.9</v>
      </c>
      <c r="S47" s="478">
        <v>24</v>
      </c>
      <c r="T47" s="457">
        <f>SUM(S47,-R47)</f>
        <v>-7.8999999999999986</v>
      </c>
      <c r="U47" s="459" t="s">
        <v>145</v>
      </c>
      <c r="Y47" s="1"/>
    </row>
    <row r="48" spans="3:25" ht="16.5" thickBot="1">
      <c r="C48" s="533"/>
      <c r="D48" s="487"/>
      <c r="E48" s="489"/>
      <c r="F48" s="177">
        <v>0.62</v>
      </c>
      <c r="G48" s="479"/>
      <c r="H48" s="480"/>
      <c r="I48" s="481"/>
      <c r="J48" s="177">
        <v>0.63</v>
      </c>
      <c r="K48" s="479"/>
      <c r="L48" s="480"/>
      <c r="M48" s="481"/>
      <c r="N48" s="177">
        <v>0.67</v>
      </c>
      <c r="O48" s="479"/>
      <c r="P48" s="480"/>
      <c r="Q48" s="481"/>
      <c r="R48" s="177">
        <v>0.64</v>
      </c>
      <c r="S48" s="479"/>
      <c r="T48" s="480"/>
      <c r="U48" s="481"/>
      <c r="Y48" s="1"/>
    </row>
    <row r="49" spans="1:25" ht="15.5" thickBot="1">
      <c r="C49" s="176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3"/>
      <c r="Y49" s="1"/>
    </row>
    <row r="50" spans="1:25" ht="16.5" thickBot="1">
      <c r="C50" s="514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Y50" s="1"/>
    </row>
    <row r="51" spans="1:25" ht="42.75" customHeight="1">
      <c r="C51" s="525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Y51" s="1"/>
    </row>
    <row r="52" spans="1:25" ht="16">
      <c r="C52" s="525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Y52" s="1"/>
    </row>
    <row r="53" spans="1:25" ht="16.5" thickBot="1">
      <c r="C53" s="533"/>
      <c r="D53" s="487"/>
      <c r="E53" s="162" t="s">
        <v>82</v>
      </c>
      <c r="F53" s="161">
        <v>0</v>
      </c>
      <c r="G53" s="236">
        <v>22.5</v>
      </c>
      <c r="H53" s="159" t="s">
        <v>159</v>
      </c>
      <c r="I53" s="158" t="s">
        <v>182</v>
      </c>
      <c r="J53" s="161">
        <v>0</v>
      </c>
      <c r="K53" s="236">
        <v>22.8</v>
      </c>
      <c r="L53" s="159" t="s">
        <v>159</v>
      </c>
      <c r="M53" s="158" t="s">
        <v>180</v>
      </c>
      <c r="N53" s="161">
        <v>0</v>
      </c>
      <c r="O53" s="236">
        <v>25</v>
      </c>
      <c r="P53" s="159" t="s">
        <v>159</v>
      </c>
      <c r="Q53" s="158" t="s">
        <v>180</v>
      </c>
      <c r="R53" s="161">
        <v>0</v>
      </c>
      <c r="S53" s="236">
        <v>23.1</v>
      </c>
      <c r="T53" s="159" t="s">
        <v>159</v>
      </c>
      <c r="U53" s="158" t="s">
        <v>180</v>
      </c>
      <c r="Y53" s="1"/>
    </row>
    <row r="54" spans="1:25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14">
    <mergeCell ref="C3:E3"/>
    <mergeCell ref="F3:I3"/>
    <mergeCell ref="J3:M3"/>
    <mergeCell ref="N3:Q3"/>
    <mergeCell ref="R3:U3"/>
    <mergeCell ref="C4:C9"/>
    <mergeCell ref="D5:D6"/>
    <mergeCell ref="D7:D8"/>
    <mergeCell ref="D9:E9"/>
    <mergeCell ref="U29:U30"/>
    <mergeCell ref="E31:E32"/>
    <mergeCell ref="G31:G32"/>
    <mergeCell ref="H31:H32"/>
    <mergeCell ref="I31:I32"/>
    <mergeCell ref="C11:E11"/>
    <mergeCell ref="F11:I11"/>
    <mergeCell ref="J11:M11"/>
    <mergeCell ref="N11:Q11"/>
    <mergeCell ref="R11:U11"/>
    <mergeCell ref="C12:C21"/>
    <mergeCell ref="D13:D14"/>
    <mergeCell ref="D15:D16"/>
    <mergeCell ref="D17:D20"/>
    <mergeCell ref="D21:E21"/>
    <mergeCell ref="U33:U34"/>
    <mergeCell ref="O29:O30"/>
    <mergeCell ref="P29:P30"/>
    <mergeCell ref="E34:E36"/>
    <mergeCell ref="D38:E38"/>
    <mergeCell ref="N23:Q23"/>
    <mergeCell ref="O31:O32"/>
    <mergeCell ref="P31:P32"/>
    <mergeCell ref="Q31:Q32"/>
    <mergeCell ref="R23:U23"/>
    <mergeCell ref="C24:D25"/>
    <mergeCell ref="E24:E25"/>
    <mergeCell ref="L31:L32"/>
    <mergeCell ref="I29:I30"/>
    <mergeCell ref="K29:K30"/>
    <mergeCell ref="L29:L30"/>
    <mergeCell ref="M29:M30"/>
    <mergeCell ref="C23:E23"/>
    <mergeCell ref="F23:I23"/>
    <mergeCell ref="J23:M23"/>
    <mergeCell ref="H29:H30"/>
    <mergeCell ref="Q29:Q30"/>
    <mergeCell ref="S29:S30"/>
    <mergeCell ref="T29:T30"/>
    <mergeCell ref="M31:M32"/>
    <mergeCell ref="G29:G30"/>
    <mergeCell ref="P42:P43"/>
    <mergeCell ref="Q42:Q43"/>
    <mergeCell ref="K31:K32"/>
    <mergeCell ref="S31:S32"/>
    <mergeCell ref="T31:T32"/>
    <mergeCell ref="C27:E27"/>
    <mergeCell ref="F27:I27"/>
    <mergeCell ref="J27:M27"/>
    <mergeCell ref="N27:Q27"/>
    <mergeCell ref="R27:U27"/>
    <mergeCell ref="C28:C38"/>
    <mergeCell ref="D29:D32"/>
    <mergeCell ref="E29:E30"/>
    <mergeCell ref="U31:U32"/>
    <mergeCell ref="D33:D37"/>
    <mergeCell ref="H33:H34"/>
    <mergeCell ref="I33:I34"/>
    <mergeCell ref="L33:L34"/>
    <mergeCell ref="M33:M34"/>
    <mergeCell ref="P33:P34"/>
    <mergeCell ref="Q33:Q34"/>
    <mergeCell ref="T33:T34"/>
    <mergeCell ref="S42:S43"/>
    <mergeCell ref="T42:T43"/>
    <mergeCell ref="U42:U43"/>
    <mergeCell ref="C45:E45"/>
    <mergeCell ref="F45:I45"/>
    <mergeCell ref="J45:M45"/>
    <mergeCell ref="N45:Q45"/>
    <mergeCell ref="R45:U45"/>
    <mergeCell ref="R40:U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C40:E40"/>
    <mergeCell ref="F40:I40"/>
    <mergeCell ref="J40:M40"/>
    <mergeCell ref="N40:Q40"/>
    <mergeCell ref="C51:D53"/>
    <mergeCell ref="T47:T48"/>
    <mergeCell ref="U47:U48"/>
    <mergeCell ref="C50:E50"/>
    <mergeCell ref="F50:I50"/>
    <mergeCell ref="J50:M50"/>
    <mergeCell ref="N50:Q50"/>
    <mergeCell ref="R50:U50"/>
    <mergeCell ref="L47:L48"/>
    <mergeCell ref="M47:M48"/>
    <mergeCell ref="O47:O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&amp;"メイリオ,ボールド"&amp;22日別の優先給電ルールに基づく抑制、調整状況（2024年10月）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2600-DA55-450C-AC3A-8E589BF0129C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45599</v>
      </c>
      <c r="G3" s="96" t="s">
        <v>62</v>
      </c>
      <c r="H3" s="25">
        <v>45600</v>
      </c>
      <c r="I3" s="26" t="s">
        <v>66</v>
      </c>
      <c r="J3" s="25">
        <v>45601</v>
      </c>
      <c r="K3" s="26" t="s">
        <v>48</v>
      </c>
      <c r="L3" s="25">
        <v>45602</v>
      </c>
      <c r="M3" s="26" t="s">
        <v>48</v>
      </c>
      <c r="N3" s="25">
        <v>45603</v>
      </c>
      <c r="O3" s="26" t="s">
        <v>67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54.4</v>
      </c>
      <c r="G5" s="381" t="s">
        <v>45</v>
      </c>
      <c r="H5" s="9">
        <v>56</v>
      </c>
      <c r="I5" s="384" t="s">
        <v>68</v>
      </c>
      <c r="J5" s="9">
        <v>57.4</v>
      </c>
      <c r="K5" s="384" t="s">
        <v>45</v>
      </c>
      <c r="L5" s="9">
        <v>57.2</v>
      </c>
      <c r="M5" s="384" t="s">
        <v>45</v>
      </c>
      <c r="N5" s="9">
        <v>71.5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140.69999999999999</v>
      </c>
      <c r="G6" s="382"/>
      <c r="H6" s="10">
        <v>147.9</v>
      </c>
      <c r="I6" s="385"/>
      <c r="J6" s="10">
        <v>163.19999999999999</v>
      </c>
      <c r="K6" s="385"/>
      <c r="L6" s="10">
        <v>169.5</v>
      </c>
      <c r="M6" s="385"/>
      <c r="N6" s="10">
        <v>168.2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321.2</v>
      </c>
      <c r="G7" s="382"/>
      <c r="H7" s="28">
        <v>321.2</v>
      </c>
      <c r="I7" s="385"/>
      <c r="J7" s="28">
        <v>321.2</v>
      </c>
      <c r="K7" s="385"/>
      <c r="L7" s="28">
        <v>321.10000000000002</v>
      </c>
      <c r="M7" s="385"/>
      <c r="N7" s="28">
        <v>321.2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42.2</v>
      </c>
      <c r="G8" s="382"/>
      <c r="H8" s="29">
        <v>52.400000000000034</v>
      </c>
      <c r="I8" s="385"/>
      <c r="J8" s="29">
        <v>44.7</v>
      </c>
      <c r="K8" s="385"/>
      <c r="L8" s="29">
        <v>37.5</v>
      </c>
      <c r="M8" s="385"/>
      <c r="N8" s="29">
        <v>37.5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14.6</v>
      </c>
      <c r="G9" s="382"/>
      <c r="H9" s="30">
        <v>14.6</v>
      </c>
      <c r="I9" s="385"/>
      <c r="J9" s="30">
        <v>15.3</v>
      </c>
      <c r="K9" s="385"/>
      <c r="L9" s="30">
        <v>16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23.4</v>
      </c>
      <c r="G10" s="382"/>
      <c r="H10" s="11">
        <v>23.4</v>
      </c>
      <c r="I10" s="385"/>
      <c r="J10" s="11">
        <v>23.4</v>
      </c>
      <c r="K10" s="385"/>
      <c r="L10" s="11">
        <v>23.4</v>
      </c>
      <c r="M10" s="385"/>
      <c r="N10" s="11">
        <v>25.6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22.8</v>
      </c>
      <c r="G11" s="382"/>
      <c r="H11" s="12">
        <v>22.9</v>
      </c>
      <c r="I11" s="385"/>
      <c r="J11" s="12">
        <v>25.1</v>
      </c>
      <c r="K11" s="385"/>
      <c r="L11" s="12">
        <v>24.4</v>
      </c>
      <c r="M11" s="385"/>
      <c r="N11" s="12">
        <v>24.7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804.1</v>
      </c>
      <c r="G12" s="382"/>
      <c r="H12" s="13">
        <v>729.8</v>
      </c>
      <c r="I12" s="385"/>
      <c r="J12" s="13">
        <v>661.6</v>
      </c>
      <c r="K12" s="385"/>
      <c r="L12" s="13">
        <v>766.8</v>
      </c>
      <c r="M12" s="385"/>
      <c r="N12" s="13">
        <v>742.5</v>
      </c>
      <c r="O12" s="385"/>
    </row>
    <row r="13" spans="2:15" ht="16">
      <c r="B13" s="376"/>
      <c r="C13" s="379"/>
      <c r="D13" s="388"/>
      <c r="E13" s="45" t="s">
        <v>27</v>
      </c>
      <c r="F13" s="106">
        <v>17.7</v>
      </c>
      <c r="G13" s="382"/>
      <c r="H13" s="13">
        <v>2.2000000000000002</v>
      </c>
      <c r="I13" s="385"/>
      <c r="J13" s="13">
        <v>6.4</v>
      </c>
      <c r="K13" s="385"/>
      <c r="L13" s="13">
        <v>18.7</v>
      </c>
      <c r="M13" s="385"/>
      <c r="N13" s="13">
        <v>12.5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55</v>
      </c>
      <c r="G14" s="382"/>
      <c r="H14" s="14">
        <v>144</v>
      </c>
      <c r="I14" s="385"/>
      <c r="J14" s="14">
        <v>144</v>
      </c>
      <c r="K14" s="385"/>
      <c r="L14" s="14">
        <v>55</v>
      </c>
      <c r="M14" s="385"/>
      <c r="N14" s="14">
        <v>144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1496.1000000000001</v>
      </c>
      <c r="G15" s="382"/>
      <c r="H15" s="15">
        <v>1514.3999999999999</v>
      </c>
      <c r="I15" s="385"/>
      <c r="J15" s="15">
        <v>1462.3000000000002</v>
      </c>
      <c r="K15" s="385"/>
      <c r="L15" s="15">
        <v>1489.6</v>
      </c>
      <c r="M15" s="385"/>
      <c r="N15" s="15">
        <v>1564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716.3</v>
      </c>
      <c r="G16" s="382"/>
      <c r="H16" s="8">
        <v>795</v>
      </c>
      <c r="I16" s="385"/>
      <c r="J16" s="8">
        <v>865</v>
      </c>
      <c r="K16" s="385"/>
      <c r="L16" s="8">
        <v>855</v>
      </c>
      <c r="M16" s="385"/>
      <c r="N16" s="8">
        <v>875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-201</v>
      </c>
      <c r="G17" s="382"/>
      <c r="H17" s="16">
        <v>-201</v>
      </c>
      <c r="I17" s="385"/>
      <c r="J17" s="16">
        <v>-201</v>
      </c>
      <c r="K17" s="385"/>
      <c r="L17" s="16">
        <v>-201</v>
      </c>
      <c r="M17" s="385"/>
      <c r="N17" s="16">
        <v>-201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-4.2</v>
      </c>
      <c r="G18" s="382"/>
      <c r="H18" s="17">
        <v>-4.2</v>
      </c>
      <c r="I18" s="385"/>
      <c r="J18" s="17">
        <v>-4.2</v>
      </c>
      <c r="K18" s="385"/>
      <c r="L18" s="17">
        <v>-4.2</v>
      </c>
      <c r="M18" s="385"/>
      <c r="N18" s="17">
        <v>-4.2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-180.5</v>
      </c>
      <c r="G19" s="382"/>
      <c r="H19" s="18">
        <v>-186</v>
      </c>
      <c r="I19" s="385"/>
      <c r="J19" s="18">
        <v>-235</v>
      </c>
      <c r="K19" s="385"/>
      <c r="L19" s="18">
        <v>-235</v>
      </c>
      <c r="M19" s="385"/>
      <c r="N19" s="18">
        <v>-235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0</v>
      </c>
      <c r="G20" s="382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1102</v>
      </c>
      <c r="G21" s="383"/>
      <c r="H21" s="27">
        <v>1186.2</v>
      </c>
      <c r="I21" s="386"/>
      <c r="J21" s="27">
        <v>1305.2</v>
      </c>
      <c r="K21" s="386"/>
      <c r="L21" s="27">
        <v>1295.2</v>
      </c>
      <c r="M21" s="386"/>
      <c r="N21" s="27">
        <v>1315.2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61</v>
      </c>
      <c r="M22" s="7"/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1496.1000000000001</v>
      </c>
      <c r="G23" s="414"/>
      <c r="H23" s="20">
        <v>1514.3999999999999</v>
      </c>
      <c r="I23" s="400"/>
      <c r="J23" s="20">
        <v>1462.3000000000002</v>
      </c>
      <c r="K23" s="400"/>
      <c r="L23" s="20">
        <v>1489.6</v>
      </c>
      <c r="M23" s="400"/>
      <c r="N23" s="20">
        <v>1564</v>
      </c>
      <c r="O23" s="400"/>
    </row>
    <row r="24" spans="2:15" ht="16">
      <c r="B24" s="409"/>
      <c r="C24" s="403" t="s">
        <v>37</v>
      </c>
      <c r="D24" s="404"/>
      <c r="E24" s="405"/>
      <c r="F24" s="21">
        <v>1102</v>
      </c>
      <c r="G24" s="415"/>
      <c r="H24" s="21">
        <v>1186.2</v>
      </c>
      <c r="I24" s="401"/>
      <c r="J24" s="21">
        <v>1305.2</v>
      </c>
      <c r="K24" s="401"/>
      <c r="L24" s="21">
        <v>1295.2</v>
      </c>
      <c r="M24" s="401"/>
      <c r="N24" s="21">
        <v>1315.2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394.10000000000014</v>
      </c>
      <c r="G25" s="416"/>
      <c r="H25" s="67">
        <v>328.19999999999982</v>
      </c>
      <c r="I25" s="402"/>
      <c r="J25" s="67">
        <v>157.10000000000014</v>
      </c>
      <c r="K25" s="402"/>
      <c r="L25" s="67">
        <v>194.39999999999986</v>
      </c>
      <c r="M25" s="402"/>
      <c r="N25" s="67">
        <v>248.79999999999995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BF5D-2443-49C0-9FC9-0CFABB2BFDCA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45604</v>
      </c>
      <c r="G3" s="26" t="s">
        <v>48</v>
      </c>
      <c r="H3" s="25">
        <v>45607</v>
      </c>
      <c r="I3" s="26" t="s">
        <v>48</v>
      </c>
      <c r="J3" s="25">
        <v>45608</v>
      </c>
      <c r="K3" s="26" t="s">
        <v>48</v>
      </c>
      <c r="L3" s="25">
        <v>45609</v>
      </c>
      <c r="M3" s="26" t="s">
        <v>48</v>
      </c>
      <c r="N3" s="25">
        <v>45610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57.4</v>
      </c>
      <c r="G5" s="384" t="s">
        <v>45</v>
      </c>
      <c r="H5" s="9">
        <v>76.599999999999994</v>
      </c>
      <c r="I5" s="384" t="s">
        <v>45</v>
      </c>
      <c r="J5" s="9">
        <v>84.8</v>
      </c>
      <c r="K5" s="384" t="s">
        <v>45</v>
      </c>
      <c r="L5" s="9">
        <v>84.8</v>
      </c>
      <c r="M5" s="384" t="s">
        <v>45</v>
      </c>
      <c r="N5" s="9">
        <v>85.4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170.8</v>
      </c>
      <c r="G6" s="385"/>
      <c r="H6" s="10">
        <v>139.80000000000001</v>
      </c>
      <c r="I6" s="385"/>
      <c r="J6" s="10">
        <v>132.5</v>
      </c>
      <c r="K6" s="385"/>
      <c r="L6" s="10">
        <v>141.69999999999999</v>
      </c>
      <c r="M6" s="385"/>
      <c r="N6" s="10">
        <v>133.19999999999999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321.39999999999998</v>
      </c>
      <c r="G7" s="385"/>
      <c r="H7" s="28">
        <v>321.3</v>
      </c>
      <c r="I7" s="385"/>
      <c r="J7" s="28">
        <v>321.39999999999998</v>
      </c>
      <c r="K7" s="385"/>
      <c r="L7" s="28">
        <v>318.60000000000002</v>
      </c>
      <c r="M7" s="385"/>
      <c r="N7" s="28">
        <v>321.3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35.4</v>
      </c>
      <c r="G8" s="385"/>
      <c r="H8" s="29">
        <v>32.1</v>
      </c>
      <c r="I8" s="385"/>
      <c r="J8" s="29">
        <v>44.699999999999854</v>
      </c>
      <c r="K8" s="385"/>
      <c r="L8" s="29">
        <v>41.700000000000067</v>
      </c>
      <c r="M8" s="385"/>
      <c r="N8" s="29">
        <v>34.500000000000149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16.3</v>
      </c>
      <c r="G9" s="385"/>
      <c r="H9" s="30">
        <v>16.399999999999999</v>
      </c>
      <c r="I9" s="385"/>
      <c r="J9" s="30">
        <v>16.399999999999999</v>
      </c>
      <c r="K9" s="385"/>
      <c r="L9" s="30">
        <v>16.3</v>
      </c>
      <c r="M9" s="385"/>
      <c r="N9" s="30">
        <v>16.3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23.4</v>
      </c>
      <c r="G10" s="385"/>
      <c r="H10" s="11">
        <v>30.1</v>
      </c>
      <c r="I10" s="385"/>
      <c r="J10" s="11">
        <v>30.1</v>
      </c>
      <c r="K10" s="385"/>
      <c r="L10" s="11">
        <v>30.9</v>
      </c>
      <c r="M10" s="385"/>
      <c r="N10" s="11">
        <v>30.8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25</v>
      </c>
      <c r="G11" s="385"/>
      <c r="H11" s="12">
        <v>22.8</v>
      </c>
      <c r="I11" s="385"/>
      <c r="J11" s="12">
        <v>23.2</v>
      </c>
      <c r="K11" s="385"/>
      <c r="L11" s="12">
        <v>23</v>
      </c>
      <c r="M11" s="385"/>
      <c r="N11" s="12">
        <v>22.9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648.79999999999995</v>
      </c>
      <c r="G12" s="385"/>
      <c r="H12" s="13">
        <v>671.5</v>
      </c>
      <c r="I12" s="385"/>
      <c r="J12" s="13">
        <v>743.5</v>
      </c>
      <c r="K12" s="385"/>
      <c r="L12" s="13">
        <v>709.5</v>
      </c>
      <c r="M12" s="385"/>
      <c r="N12" s="13">
        <v>590.20000000000005</v>
      </c>
      <c r="O12" s="385"/>
    </row>
    <row r="13" spans="2:15" ht="16">
      <c r="B13" s="376"/>
      <c r="C13" s="379"/>
      <c r="D13" s="388"/>
      <c r="E13" s="45" t="s">
        <v>27</v>
      </c>
      <c r="F13" s="13">
        <v>15.7</v>
      </c>
      <c r="G13" s="385"/>
      <c r="H13" s="13">
        <v>13</v>
      </c>
      <c r="I13" s="385"/>
      <c r="J13" s="13">
        <v>6.7</v>
      </c>
      <c r="K13" s="385"/>
      <c r="L13" s="13">
        <v>9.1999999999999993</v>
      </c>
      <c r="M13" s="385"/>
      <c r="N13" s="13">
        <v>6.3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144</v>
      </c>
      <c r="G14" s="385"/>
      <c r="H14" s="14">
        <v>144</v>
      </c>
      <c r="I14" s="385"/>
      <c r="J14" s="14">
        <v>144</v>
      </c>
      <c r="K14" s="385"/>
      <c r="L14" s="14">
        <v>144</v>
      </c>
      <c r="M14" s="385"/>
      <c r="N14" s="14">
        <v>144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1458.2</v>
      </c>
      <c r="G15" s="385"/>
      <c r="H15" s="15">
        <v>1467.6</v>
      </c>
      <c r="I15" s="385"/>
      <c r="J15" s="15">
        <v>1547.3</v>
      </c>
      <c r="K15" s="385"/>
      <c r="L15" s="15">
        <v>1519.7</v>
      </c>
      <c r="M15" s="385"/>
      <c r="N15" s="15">
        <v>1384.8999999999999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865</v>
      </c>
      <c r="G16" s="385"/>
      <c r="H16" s="8">
        <v>885</v>
      </c>
      <c r="I16" s="385"/>
      <c r="J16" s="8">
        <v>885</v>
      </c>
      <c r="K16" s="385"/>
      <c r="L16" s="8">
        <v>885</v>
      </c>
      <c r="M16" s="385"/>
      <c r="N16" s="8">
        <v>915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-201</v>
      </c>
      <c r="G17" s="385"/>
      <c r="H17" s="16">
        <v>-91.1</v>
      </c>
      <c r="I17" s="385"/>
      <c r="J17" s="16">
        <v>-91.1</v>
      </c>
      <c r="K17" s="385"/>
      <c r="L17" s="16">
        <v>-91.1</v>
      </c>
      <c r="M17" s="385"/>
      <c r="N17" s="16">
        <v>-91.1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-4.2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-235</v>
      </c>
      <c r="G19" s="385"/>
      <c r="H19" s="18">
        <v>-235</v>
      </c>
      <c r="I19" s="385"/>
      <c r="J19" s="18">
        <v>-232</v>
      </c>
      <c r="K19" s="385"/>
      <c r="L19" s="18">
        <v>-235</v>
      </c>
      <c r="M19" s="385"/>
      <c r="N19" s="18">
        <v>-235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1305.2</v>
      </c>
      <c r="G21" s="386"/>
      <c r="H21" s="27">
        <v>1215.5999999999999</v>
      </c>
      <c r="I21" s="386"/>
      <c r="J21" s="27">
        <v>1212.5999999999999</v>
      </c>
      <c r="K21" s="386"/>
      <c r="L21" s="27">
        <v>1215.5999999999999</v>
      </c>
      <c r="M21" s="386"/>
      <c r="N21" s="27">
        <v>1245.5999999999999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1458.2</v>
      </c>
      <c r="G23" s="400"/>
      <c r="H23" s="20">
        <v>1467.6</v>
      </c>
      <c r="I23" s="400"/>
      <c r="J23" s="20">
        <v>1547.3</v>
      </c>
      <c r="K23" s="400"/>
      <c r="L23" s="20">
        <v>1519.7</v>
      </c>
      <c r="M23" s="400"/>
      <c r="N23" s="20">
        <v>1384.8999999999999</v>
      </c>
      <c r="O23" s="400"/>
    </row>
    <row r="24" spans="2:15" ht="16">
      <c r="B24" s="409"/>
      <c r="C24" s="403" t="s">
        <v>37</v>
      </c>
      <c r="D24" s="404"/>
      <c r="E24" s="405"/>
      <c r="F24" s="21">
        <v>1305.2</v>
      </c>
      <c r="G24" s="401"/>
      <c r="H24" s="21">
        <v>1215.5999999999999</v>
      </c>
      <c r="I24" s="401"/>
      <c r="J24" s="21">
        <v>1212.5999999999999</v>
      </c>
      <c r="K24" s="401"/>
      <c r="L24" s="21">
        <v>1215.5999999999999</v>
      </c>
      <c r="M24" s="401"/>
      <c r="N24" s="21">
        <v>1245.5999999999999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153</v>
      </c>
      <c r="G25" s="402"/>
      <c r="H25" s="67">
        <v>252</v>
      </c>
      <c r="I25" s="402"/>
      <c r="J25" s="67">
        <v>334.70000000000005</v>
      </c>
      <c r="K25" s="402"/>
      <c r="L25" s="67">
        <v>304.10000000000014</v>
      </c>
      <c r="M25" s="402"/>
      <c r="N25" s="67">
        <v>139.29999999999995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6B01-8C89-47F8-A4AD-193CB90EE2CC}">
  <dimension ref="B1:O69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65" t="s">
        <v>42</v>
      </c>
      <c r="G2" s="366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25">
        <v>45616</v>
      </c>
      <c r="G3" s="26" t="s">
        <v>48</v>
      </c>
      <c r="H3" s="25">
        <v>45618</v>
      </c>
      <c r="I3" s="26" t="s">
        <v>48</v>
      </c>
      <c r="J3" s="25">
        <v>45619</v>
      </c>
      <c r="K3" s="26" t="s">
        <v>48</v>
      </c>
      <c r="L3" s="25">
        <v>45620</v>
      </c>
      <c r="M3" s="26" t="s">
        <v>50</v>
      </c>
      <c r="N3" s="25">
        <v>45621</v>
      </c>
      <c r="O3" s="26" t="s">
        <v>48</v>
      </c>
    </row>
    <row r="4" spans="2:15" ht="16.5" thickBot="1">
      <c r="B4" s="31"/>
      <c r="C4" s="4"/>
      <c r="D4" s="4"/>
      <c r="E4" s="4"/>
      <c r="F4" s="5" t="s">
        <v>43</v>
      </c>
      <c r="G4" s="7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 t="s">
        <v>44</v>
      </c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">
        <v>84.8</v>
      </c>
      <c r="G5" s="384" t="s">
        <v>45</v>
      </c>
      <c r="H5" s="9">
        <v>85</v>
      </c>
      <c r="I5" s="384" t="s">
        <v>45</v>
      </c>
      <c r="J5" s="9">
        <v>87.2</v>
      </c>
      <c r="K5" s="384" t="s">
        <v>45</v>
      </c>
      <c r="L5" s="9">
        <v>82.9</v>
      </c>
      <c r="M5" s="384" t="s">
        <v>45</v>
      </c>
      <c r="N5" s="9">
        <v>137.9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">
        <v>143.1</v>
      </c>
      <c r="G6" s="385"/>
      <c r="H6" s="10">
        <v>199.5</v>
      </c>
      <c r="I6" s="385"/>
      <c r="J6" s="10">
        <v>88.8</v>
      </c>
      <c r="K6" s="385"/>
      <c r="L6" s="10">
        <v>90.6</v>
      </c>
      <c r="M6" s="385"/>
      <c r="N6" s="10">
        <v>116.4</v>
      </c>
      <c r="O6" s="385"/>
    </row>
    <row r="7" spans="2:15" ht="16">
      <c r="B7" s="376"/>
      <c r="C7" s="379"/>
      <c r="D7" s="35" t="s">
        <v>13</v>
      </c>
      <c r="E7" s="36" t="s">
        <v>5</v>
      </c>
      <c r="F7" s="28">
        <v>321.2</v>
      </c>
      <c r="G7" s="385"/>
      <c r="H7" s="28">
        <v>321.2</v>
      </c>
      <c r="I7" s="385"/>
      <c r="J7" s="28">
        <v>321.39999999999998</v>
      </c>
      <c r="K7" s="385"/>
      <c r="L7" s="28">
        <v>321.39999999999998</v>
      </c>
      <c r="M7" s="385"/>
      <c r="N7" s="28">
        <v>319.10000000000002</v>
      </c>
      <c r="O7" s="385"/>
    </row>
    <row r="8" spans="2:15" ht="16">
      <c r="B8" s="376"/>
      <c r="C8" s="379"/>
      <c r="D8" s="37" t="s">
        <v>14</v>
      </c>
      <c r="E8" s="38" t="s">
        <v>6</v>
      </c>
      <c r="F8" s="29">
        <v>19.699999999999815</v>
      </c>
      <c r="G8" s="385"/>
      <c r="H8" s="29">
        <v>20.599999999999724</v>
      </c>
      <c r="I8" s="385"/>
      <c r="J8" s="29">
        <v>16.899999999999824</v>
      </c>
      <c r="K8" s="385"/>
      <c r="L8" s="29">
        <v>24.700000000000138</v>
      </c>
      <c r="M8" s="385"/>
      <c r="N8" s="29">
        <v>23.699999999999598</v>
      </c>
      <c r="O8" s="385"/>
    </row>
    <row r="9" spans="2:15" ht="16">
      <c r="B9" s="376"/>
      <c r="C9" s="379"/>
      <c r="D9" s="39" t="s">
        <v>15</v>
      </c>
      <c r="E9" s="40" t="s">
        <v>7</v>
      </c>
      <c r="F9" s="30">
        <v>15.6</v>
      </c>
      <c r="G9" s="385"/>
      <c r="H9" s="30">
        <v>15.8</v>
      </c>
      <c r="I9" s="385"/>
      <c r="J9" s="30">
        <v>15.8</v>
      </c>
      <c r="K9" s="385"/>
      <c r="L9" s="30">
        <v>15.8</v>
      </c>
      <c r="M9" s="385"/>
      <c r="N9" s="30">
        <v>15.8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1">
        <v>30.2</v>
      </c>
      <c r="G10" s="385"/>
      <c r="H10" s="11">
        <v>30.2</v>
      </c>
      <c r="I10" s="385"/>
      <c r="J10" s="11">
        <v>30.2</v>
      </c>
      <c r="K10" s="385"/>
      <c r="L10" s="11">
        <v>30.2</v>
      </c>
      <c r="M10" s="385"/>
      <c r="N10" s="11">
        <v>30.2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2">
        <v>22.6</v>
      </c>
      <c r="G11" s="385"/>
      <c r="H11" s="12">
        <v>21.6</v>
      </c>
      <c r="I11" s="385"/>
      <c r="J11" s="12">
        <v>23.4</v>
      </c>
      <c r="K11" s="385"/>
      <c r="L11" s="12">
        <v>22.7</v>
      </c>
      <c r="M11" s="385"/>
      <c r="N11" s="12">
        <v>22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3">
        <v>648.4</v>
      </c>
      <c r="G12" s="385"/>
      <c r="H12" s="13">
        <v>613.1</v>
      </c>
      <c r="I12" s="385"/>
      <c r="J12" s="13">
        <v>541.4</v>
      </c>
      <c r="K12" s="385"/>
      <c r="L12" s="13">
        <v>676.7</v>
      </c>
      <c r="M12" s="385"/>
      <c r="N12" s="13">
        <v>734.1</v>
      </c>
      <c r="O12" s="385"/>
    </row>
    <row r="13" spans="2:15" ht="16">
      <c r="B13" s="376"/>
      <c r="C13" s="379"/>
      <c r="D13" s="388"/>
      <c r="E13" s="45" t="s">
        <v>27</v>
      </c>
      <c r="F13" s="13">
        <v>3.9</v>
      </c>
      <c r="G13" s="385"/>
      <c r="H13" s="13">
        <v>14.4</v>
      </c>
      <c r="I13" s="385"/>
      <c r="J13" s="13">
        <v>7.4</v>
      </c>
      <c r="K13" s="385"/>
      <c r="L13" s="13">
        <v>5.8</v>
      </c>
      <c r="M13" s="385"/>
      <c r="N13" s="13">
        <v>9.9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4">
        <v>121</v>
      </c>
      <c r="G14" s="385"/>
      <c r="H14" s="14">
        <v>121</v>
      </c>
      <c r="I14" s="385"/>
      <c r="J14" s="14">
        <v>207</v>
      </c>
      <c r="K14" s="385"/>
      <c r="L14" s="14">
        <v>121</v>
      </c>
      <c r="M14" s="385"/>
      <c r="N14" s="14">
        <v>21</v>
      </c>
      <c r="O14" s="385"/>
    </row>
    <row r="15" spans="2:15" ht="16.5" thickBot="1">
      <c r="B15" s="376"/>
      <c r="C15" s="380"/>
      <c r="D15" s="389" t="s">
        <v>28</v>
      </c>
      <c r="E15" s="390"/>
      <c r="F15" s="15">
        <v>1410.5</v>
      </c>
      <c r="G15" s="385"/>
      <c r="H15" s="15">
        <v>1442.3999999999999</v>
      </c>
      <c r="I15" s="385"/>
      <c r="J15" s="15">
        <v>1339.5</v>
      </c>
      <c r="K15" s="385"/>
      <c r="L15" s="15">
        <v>1391.8000000000002</v>
      </c>
      <c r="M15" s="385"/>
      <c r="N15" s="15">
        <v>1430.1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8">
        <v>885</v>
      </c>
      <c r="G16" s="385"/>
      <c r="H16" s="8">
        <v>895</v>
      </c>
      <c r="I16" s="385"/>
      <c r="J16" s="8">
        <v>825</v>
      </c>
      <c r="K16" s="385"/>
      <c r="L16" s="8">
        <v>788.2</v>
      </c>
      <c r="M16" s="385"/>
      <c r="N16" s="8">
        <v>905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6">
        <v>-227.1</v>
      </c>
      <c r="G17" s="385"/>
      <c r="H17" s="16">
        <v>-227.1</v>
      </c>
      <c r="I17" s="385"/>
      <c r="J17" s="16">
        <v>-227.1</v>
      </c>
      <c r="K17" s="385"/>
      <c r="L17" s="16">
        <v>-227.1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7">
        <v>-4.5</v>
      </c>
      <c r="G18" s="385"/>
      <c r="H18" s="17">
        <v>-4.5</v>
      </c>
      <c r="I18" s="385"/>
      <c r="J18" s="17">
        <v>-4.5</v>
      </c>
      <c r="K18" s="385"/>
      <c r="L18" s="17">
        <v>-4.5</v>
      </c>
      <c r="M18" s="385"/>
      <c r="N18" s="17">
        <v>-4.5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8">
        <v>-225.1</v>
      </c>
      <c r="G19" s="385"/>
      <c r="H19" s="18">
        <v>-236</v>
      </c>
      <c r="I19" s="385"/>
      <c r="J19" s="18">
        <v>-188</v>
      </c>
      <c r="K19" s="385"/>
      <c r="L19" s="18">
        <v>-190</v>
      </c>
      <c r="M19" s="385"/>
      <c r="N19" s="18">
        <v>-207.6</v>
      </c>
      <c r="O19" s="385"/>
    </row>
    <row r="20" spans="2:15" ht="16.5" thickBot="1">
      <c r="B20" s="376"/>
      <c r="C20" s="392"/>
      <c r="D20" s="397"/>
      <c r="E20" s="53" t="s">
        <v>33</v>
      </c>
      <c r="F20" s="19">
        <v>0</v>
      </c>
      <c r="G20" s="385"/>
      <c r="H20" s="19">
        <v>0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1341.6999999999998</v>
      </c>
      <c r="G21" s="386"/>
      <c r="H21" s="27">
        <v>1362.6</v>
      </c>
      <c r="I21" s="386"/>
      <c r="J21" s="27">
        <v>1244.5999999999999</v>
      </c>
      <c r="K21" s="386"/>
      <c r="L21" s="27">
        <v>1209.8000000000002</v>
      </c>
      <c r="M21" s="386"/>
      <c r="N21" s="27">
        <v>1344.1999999999998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7" t="s">
        <v>44</v>
      </c>
      <c r="H22" s="6" t="s">
        <v>43</v>
      </c>
      <c r="I22" s="7" t="s">
        <v>44</v>
      </c>
      <c r="J22" s="6" t="s">
        <v>43</v>
      </c>
      <c r="K22" s="7" t="s">
        <v>44</v>
      </c>
      <c r="L22" s="6" t="s">
        <v>43</v>
      </c>
      <c r="M22" s="7" t="s">
        <v>44</v>
      </c>
      <c r="N22" s="6" t="s">
        <v>43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1410.5</v>
      </c>
      <c r="G23" s="400"/>
      <c r="H23" s="20">
        <v>1442.3999999999999</v>
      </c>
      <c r="I23" s="400"/>
      <c r="J23" s="20">
        <v>1339.5</v>
      </c>
      <c r="K23" s="400"/>
      <c r="L23" s="20">
        <v>1391.8000000000002</v>
      </c>
      <c r="M23" s="400"/>
      <c r="N23" s="20">
        <v>1430.1</v>
      </c>
      <c r="O23" s="400"/>
    </row>
    <row r="24" spans="2:15" ht="16">
      <c r="B24" s="409"/>
      <c r="C24" s="403" t="s">
        <v>37</v>
      </c>
      <c r="D24" s="404"/>
      <c r="E24" s="405"/>
      <c r="F24" s="21">
        <v>1341.6999999999998</v>
      </c>
      <c r="G24" s="401"/>
      <c r="H24" s="21">
        <v>1362.6</v>
      </c>
      <c r="I24" s="401"/>
      <c r="J24" s="21">
        <v>1244.5999999999999</v>
      </c>
      <c r="K24" s="401"/>
      <c r="L24" s="21">
        <v>1209.8000000000002</v>
      </c>
      <c r="M24" s="401"/>
      <c r="N24" s="21">
        <v>1344.1999999999998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68.800000000000182</v>
      </c>
      <c r="G25" s="402"/>
      <c r="H25" s="67">
        <v>79.799999999999955</v>
      </c>
      <c r="I25" s="402"/>
      <c r="J25" s="67">
        <v>94.900000000000091</v>
      </c>
      <c r="K25" s="402"/>
      <c r="L25" s="67">
        <v>182</v>
      </c>
      <c r="M25" s="402"/>
      <c r="N25" s="67">
        <v>85.900000000000091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0" t="s">
        <v>53</v>
      </c>
      <c r="E55" s="91"/>
      <c r="F55" s="91"/>
      <c r="G55" s="91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C3:E3"/>
    <mergeCell ref="B5:B21"/>
    <mergeCell ref="C5:C15"/>
    <mergeCell ref="G5:G21"/>
    <mergeCell ref="I5:I21"/>
    <mergeCell ref="N2:O2"/>
    <mergeCell ref="C2:E2"/>
    <mergeCell ref="F2:G2"/>
    <mergeCell ref="H2:I2"/>
    <mergeCell ref="J2:K2"/>
    <mergeCell ref="L2:M2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日別の需給状況・再エネ出力抑制の必要性（2024年11月）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9031-DA69-4C32-A678-30135A437649}">
  <sheetPr>
    <pageSetUpPr fitToPage="1"/>
  </sheetPr>
  <dimension ref="A1:Y57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45599</v>
      </c>
      <c r="G3" s="418"/>
      <c r="H3" s="418"/>
      <c r="I3" s="419"/>
      <c r="J3" s="417">
        <v>45600</v>
      </c>
      <c r="K3" s="418"/>
      <c r="L3" s="418"/>
      <c r="M3" s="419"/>
      <c r="N3" s="417">
        <v>45601</v>
      </c>
      <c r="O3" s="418"/>
      <c r="P3" s="418"/>
      <c r="Q3" s="419"/>
      <c r="R3" s="417">
        <v>45602</v>
      </c>
      <c r="S3" s="418"/>
      <c r="T3" s="418"/>
      <c r="U3" s="419"/>
      <c r="V3" s="417">
        <v>45603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26.3</v>
      </c>
      <c r="X5" s="164">
        <f>SUM(W5,-V5)</f>
        <v>13.9</v>
      </c>
      <c r="Y5" s="219" t="s">
        <v>148</v>
      </c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>SUM(G6,-F6)</f>
        <v>0</v>
      </c>
      <c r="I6" s="219"/>
      <c r="J6" s="166">
        <v>8.8000000000000007</v>
      </c>
      <c r="K6" s="165">
        <v>8.8000000000000007</v>
      </c>
      <c r="L6" s="164">
        <f>SUM(K6,-J6)</f>
        <v>0</v>
      </c>
      <c r="M6" s="219"/>
      <c r="N6" s="166">
        <v>8.8000000000000007</v>
      </c>
      <c r="O6" s="165">
        <v>8.8000000000000007</v>
      </c>
      <c r="P6" s="164">
        <f>SUM(O6,-N6)</f>
        <v>0</v>
      </c>
      <c r="Q6" s="219"/>
      <c r="R6" s="166">
        <v>8.8000000000000007</v>
      </c>
      <c r="S6" s="165">
        <v>8.8000000000000007</v>
      </c>
      <c r="T6" s="164">
        <f>SUM(S6,-R6)</f>
        <v>0</v>
      </c>
      <c r="U6" s="219"/>
      <c r="V6" s="166">
        <v>8.8000000000000007</v>
      </c>
      <c r="W6" s="165">
        <v>8.8000000000000007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33.200000000000003</v>
      </c>
      <c r="G8" s="216">
        <v>33.200000000000003</v>
      </c>
      <c r="H8" s="215">
        <f>SUM(G8,-F8)</f>
        <v>0</v>
      </c>
      <c r="I8" s="214"/>
      <c r="J8" s="217">
        <v>34.799999999999997</v>
      </c>
      <c r="K8" s="216">
        <v>34.799999999999997</v>
      </c>
      <c r="L8" s="215">
        <f>SUM(K8,-J8)</f>
        <v>0</v>
      </c>
      <c r="M8" s="214"/>
      <c r="N8" s="217">
        <v>36.200000000000003</v>
      </c>
      <c r="O8" s="216">
        <v>36.200000000000003</v>
      </c>
      <c r="P8" s="215">
        <f>SUM(O8,-N8)</f>
        <v>0</v>
      </c>
      <c r="Q8" s="214"/>
      <c r="R8" s="217">
        <v>36</v>
      </c>
      <c r="S8" s="216">
        <v>36</v>
      </c>
      <c r="T8" s="215">
        <f>SUM(S8,-R8)</f>
        <v>0</v>
      </c>
      <c r="U8" s="214"/>
      <c r="V8" s="217">
        <v>36.4</v>
      </c>
      <c r="W8" s="216">
        <v>36.4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54.400000000000006</v>
      </c>
      <c r="G9" s="187">
        <f>SUM(G5:G8)</f>
        <v>54.400000000000006</v>
      </c>
      <c r="H9" s="187">
        <f>SUM(H5:H8)</f>
        <v>0</v>
      </c>
      <c r="I9" s="213" t="s">
        <v>159</v>
      </c>
      <c r="J9" s="188">
        <f>SUM(J5:J8)</f>
        <v>56</v>
      </c>
      <c r="K9" s="187">
        <f>SUM(K5:K8)</f>
        <v>56</v>
      </c>
      <c r="L9" s="187">
        <f>SUM(L5:L8)</f>
        <v>0</v>
      </c>
      <c r="M9" s="213" t="s">
        <v>159</v>
      </c>
      <c r="N9" s="188">
        <f>SUM(N5:N8)</f>
        <v>57.400000000000006</v>
      </c>
      <c r="O9" s="187">
        <f>SUM(O5:O8)</f>
        <v>57.400000000000006</v>
      </c>
      <c r="P9" s="187">
        <f>SUM(P5:P8)</f>
        <v>0</v>
      </c>
      <c r="Q9" s="213" t="s">
        <v>159</v>
      </c>
      <c r="R9" s="188">
        <f>SUM(R5:R8)</f>
        <v>57.2</v>
      </c>
      <c r="S9" s="187">
        <f>SUM(S5:S8)</f>
        <v>57.2</v>
      </c>
      <c r="T9" s="187">
        <f>SUM(T5:T8)</f>
        <v>0</v>
      </c>
      <c r="U9" s="213" t="s">
        <v>159</v>
      </c>
      <c r="V9" s="188">
        <f>SUM(V5:V8)</f>
        <v>57.6</v>
      </c>
      <c r="W9" s="187">
        <f>SUM(W5:W8)</f>
        <v>71.5</v>
      </c>
      <c r="X9" s="187">
        <f>SUM(X5:X8)</f>
        <v>13.9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0</v>
      </c>
      <c r="H14" s="164">
        <f t="shared" si="0"/>
        <v>26.1</v>
      </c>
      <c r="I14" s="232" t="s">
        <v>149</v>
      </c>
      <c r="J14" s="166">
        <v>-26.1</v>
      </c>
      <c r="K14" s="165">
        <v>0</v>
      </c>
      <c r="L14" s="164">
        <f t="shared" si="1"/>
        <v>26.1</v>
      </c>
      <c r="M14" s="189" t="s">
        <v>145</v>
      </c>
      <c r="N14" s="166">
        <v>-26.1</v>
      </c>
      <c r="O14" s="165">
        <v>0</v>
      </c>
      <c r="P14" s="164">
        <f t="shared" si="2"/>
        <v>26.1</v>
      </c>
      <c r="Q14" s="189" t="s">
        <v>149</v>
      </c>
      <c r="R14" s="166">
        <v>-26.1</v>
      </c>
      <c r="S14" s="165">
        <v>0</v>
      </c>
      <c r="T14" s="164">
        <f t="shared" si="3"/>
        <v>26.1</v>
      </c>
      <c r="U14" s="189" t="s">
        <v>145</v>
      </c>
      <c r="V14" s="166">
        <v>-26.1</v>
      </c>
      <c r="W14" s="165">
        <v>0</v>
      </c>
      <c r="X14" s="164">
        <f t="shared" si="4"/>
        <v>26.1</v>
      </c>
      <c r="Y14" s="189" t="s">
        <v>145</v>
      </c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-34</v>
      </c>
      <c r="L17" s="164">
        <f t="shared" si="1"/>
        <v>0</v>
      </c>
      <c r="M17" s="259"/>
      <c r="N17" s="166">
        <v>-34</v>
      </c>
      <c r="O17" s="165">
        <v>-34</v>
      </c>
      <c r="P17" s="164">
        <f t="shared" si="2"/>
        <v>0</v>
      </c>
      <c r="Q17" s="189"/>
      <c r="R17" s="166">
        <v>-34</v>
      </c>
      <c r="S17" s="165">
        <v>-34</v>
      </c>
      <c r="T17" s="164">
        <f t="shared" si="3"/>
        <v>0</v>
      </c>
      <c r="U17" s="189"/>
      <c r="V17" s="166">
        <v>-34</v>
      </c>
      <c r="W17" s="165">
        <v>-34</v>
      </c>
      <c r="X17" s="164">
        <f t="shared" si="4"/>
        <v>0</v>
      </c>
      <c r="Y17" s="189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-201</v>
      </c>
      <c r="H21" s="187">
        <f>SUM(H13:H20)</f>
        <v>52.2</v>
      </c>
      <c r="I21" s="186" t="s">
        <v>159</v>
      </c>
      <c r="J21" s="188">
        <f>SUM(J13:J20)</f>
        <v>-253.2</v>
      </c>
      <c r="K21" s="187">
        <f>SUM(K13:K20)</f>
        <v>-201</v>
      </c>
      <c r="L21" s="187">
        <f>SUM(L13:L20)</f>
        <v>52.2</v>
      </c>
      <c r="M21" s="186" t="s">
        <v>159</v>
      </c>
      <c r="N21" s="188">
        <f>SUM(N13:N20)</f>
        <v>-253.2</v>
      </c>
      <c r="O21" s="187">
        <f>SUM(O13:O20)</f>
        <v>-201</v>
      </c>
      <c r="P21" s="187">
        <f>SUM(P13:P20)</f>
        <v>52.2</v>
      </c>
      <c r="Q21" s="186" t="s">
        <v>159</v>
      </c>
      <c r="R21" s="188">
        <f>SUM(R13:R20)</f>
        <v>-253.2</v>
      </c>
      <c r="S21" s="187">
        <f>SUM(S13:S20)</f>
        <v>-201</v>
      </c>
      <c r="T21" s="187">
        <f>SUM(T13:T20)</f>
        <v>52.2</v>
      </c>
      <c r="U21" s="186" t="s">
        <v>159</v>
      </c>
      <c r="V21" s="188">
        <v>-253.2</v>
      </c>
      <c r="W21" s="187">
        <f>SUM(W13:W20)</f>
        <v>-201</v>
      </c>
      <c r="X21" s="187">
        <f>SUM(X13:X20)</f>
        <v>52.2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-4.2</v>
      </c>
      <c r="H25" s="207">
        <f>SUM(G25,-F25)</f>
        <v>0.79999999999999982</v>
      </c>
      <c r="I25" s="206" t="s">
        <v>150</v>
      </c>
      <c r="J25" s="209">
        <v>-5</v>
      </c>
      <c r="K25" s="208">
        <v>-4.2</v>
      </c>
      <c r="L25" s="207">
        <f>SUM(K25,-J25)</f>
        <v>0.79999999999999982</v>
      </c>
      <c r="M25" s="206" t="s">
        <v>150</v>
      </c>
      <c r="N25" s="209">
        <v>-5</v>
      </c>
      <c r="O25" s="208">
        <v>-4.2</v>
      </c>
      <c r="P25" s="207">
        <f>SUM(O25,-N25)</f>
        <v>0.79999999999999982</v>
      </c>
      <c r="Q25" s="206" t="s">
        <v>150</v>
      </c>
      <c r="R25" s="209">
        <v>-5</v>
      </c>
      <c r="S25" s="208">
        <v>-4.2</v>
      </c>
      <c r="T25" s="207">
        <f>SUM(S25,-R25)</f>
        <v>0.79999999999999982</v>
      </c>
      <c r="U25" s="206" t="s">
        <v>150</v>
      </c>
      <c r="V25" s="209">
        <v>-5</v>
      </c>
      <c r="W25" s="208">
        <v>-4.2</v>
      </c>
      <c r="X25" s="207">
        <f>SUM(W25,-V25)</f>
        <v>0.79999999999999982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68.900000000000006</v>
      </c>
      <c r="H29" s="457">
        <f>SUM(G29,-F29)</f>
        <v>25.100000000000009</v>
      </c>
      <c r="I29" s="459" t="s">
        <v>150</v>
      </c>
      <c r="J29" s="200">
        <v>43.8</v>
      </c>
      <c r="K29" s="455">
        <v>68.900000000000006</v>
      </c>
      <c r="L29" s="457">
        <f>SUM(K29,-J29)</f>
        <v>25.100000000000009</v>
      </c>
      <c r="M29" s="459" t="s">
        <v>150</v>
      </c>
      <c r="N29" s="200">
        <v>43.8</v>
      </c>
      <c r="O29" s="455">
        <v>68.900000000000006</v>
      </c>
      <c r="P29" s="457">
        <f>SUM(O29,-N29)</f>
        <v>25.100000000000009</v>
      </c>
      <c r="Q29" s="459" t="s">
        <v>150</v>
      </c>
      <c r="R29" s="200">
        <v>43.8</v>
      </c>
      <c r="S29" s="455">
        <v>68.900000000000006</v>
      </c>
      <c r="T29" s="457">
        <f>SUM(S29,-R29)</f>
        <v>25.100000000000009</v>
      </c>
      <c r="U29" s="459" t="s">
        <v>173</v>
      </c>
      <c r="V29" s="200">
        <v>43.8</v>
      </c>
      <c r="W29" s="455">
        <v>68.900000000000006</v>
      </c>
      <c r="X29" s="457">
        <f>SUM(W29,-V29)</f>
        <v>25.100000000000009</v>
      </c>
      <c r="Y29" s="459" t="s">
        <v>150</v>
      </c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54.4</v>
      </c>
      <c r="T31" s="457">
        <f>SUM(S31,-R31)</f>
        <v>0</v>
      </c>
      <c r="U31" s="459"/>
      <c r="V31" s="200">
        <v>54.4</v>
      </c>
      <c r="W31" s="455">
        <v>54.4</v>
      </c>
      <c r="X31" s="457">
        <f>SUM(W31,-V31)</f>
        <v>0</v>
      </c>
      <c r="Y31" s="459"/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17.2</v>
      </c>
      <c r="H33" s="457">
        <f>SUM(G33,-F33)</f>
        <v>-8.3000000000000007</v>
      </c>
      <c r="I33" s="459" t="s">
        <v>145</v>
      </c>
      <c r="J33" s="200">
        <v>25.5</v>
      </c>
      <c r="K33" s="199">
        <v>24.4</v>
      </c>
      <c r="L33" s="457">
        <f>SUM(K33,-J33)</f>
        <v>-1.1000000000000014</v>
      </c>
      <c r="M33" s="459" t="s">
        <v>149</v>
      </c>
      <c r="N33" s="200">
        <v>33.4</v>
      </c>
      <c r="O33" s="199">
        <v>39.700000000000003</v>
      </c>
      <c r="P33" s="457">
        <f>SUM(O33,-N33)</f>
        <v>6.3000000000000043</v>
      </c>
      <c r="Q33" s="459" t="s">
        <v>149</v>
      </c>
      <c r="R33" s="200">
        <v>33.4</v>
      </c>
      <c r="S33" s="199">
        <v>46.1</v>
      </c>
      <c r="T33" s="457">
        <f>SUM(S33,-R33)</f>
        <v>12.700000000000003</v>
      </c>
      <c r="U33" s="459" t="s">
        <v>145</v>
      </c>
      <c r="V33" s="200">
        <v>33.4</v>
      </c>
      <c r="W33" s="199">
        <v>44.7</v>
      </c>
      <c r="X33" s="457">
        <f>SUM(W33,-V33)</f>
        <v>11.300000000000004</v>
      </c>
      <c r="Y33" s="459" t="s">
        <v>145</v>
      </c>
    </row>
    <row r="34" spans="3:25" ht="16">
      <c r="C34" s="451"/>
      <c r="D34" s="467"/>
      <c r="E34" s="463" t="s">
        <v>104</v>
      </c>
      <c r="F34" s="198">
        <v>0.19</v>
      </c>
      <c r="G34" s="230">
        <v>13</v>
      </c>
      <c r="H34" s="458"/>
      <c r="I34" s="460"/>
      <c r="J34" s="198">
        <v>0.19</v>
      </c>
      <c r="K34" s="230">
        <v>18</v>
      </c>
      <c r="L34" s="458"/>
      <c r="M34" s="460"/>
      <c r="N34" s="198">
        <v>0.23</v>
      </c>
      <c r="O34" s="230">
        <v>27</v>
      </c>
      <c r="P34" s="458"/>
      <c r="Q34" s="460"/>
      <c r="R34" s="198">
        <v>0.23</v>
      </c>
      <c r="S34" s="230">
        <v>31</v>
      </c>
      <c r="T34" s="458"/>
      <c r="U34" s="460"/>
      <c r="V34" s="198">
        <v>0.23</v>
      </c>
      <c r="W34" s="230">
        <v>30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0.2</v>
      </c>
      <c r="H37" s="164">
        <f>SUM(G37,-F37)</f>
        <v>-9.8000000000000007</v>
      </c>
      <c r="I37" s="189" t="s">
        <v>147</v>
      </c>
      <c r="J37" s="166">
        <v>10</v>
      </c>
      <c r="K37" s="165">
        <v>0.2</v>
      </c>
      <c r="L37" s="164">
        <f>SUM(K37,-J37)</f>
        <v>-9.8000000000000007</v>
      </c>
      <c r="M37" s="189" t="s">
        <v>147</v>
      </c>
      <c r="N37" s="166">
        <v>10</v>
      </c>
      <c r="O37" s="165">
        <v>0.2</v>
      </c>
      <c r="P37" s="164">
        <f>SUM(O37,-N37)</f>
        <v>-9.8000000000000007</v>
      </c>
      <c r="Q37" s="189" t="s">
        <v>147</v>
      </c>
      <c r="R37" s="166">
        <v>10</v>
      </c>
      <c r="S37" s="165">
        <v>0.2</v>
      </c>
      <c r="T37" s="164">
        <f>SUM(S37,-R37)</f>
        <v>-9.8000000000000007</v>
      </c>
      <c r="U37" s="189" t="s">
        <v>170</v>
      </c>
      <c r="V37" s="166">
        <v>10</v>
      </c>
      <c r="W37" s="165">
        <v>0.2</v>
      </c>
      <c r="X37" s="164">
        <f>SUM(W37,-V37)</f>
        <v>-9.8000000000000007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133.69999999999999</v>
      </c>
      <c r="G38" s="187">
        <f>SUM(G29:G33,G37)</f>
        <v>140.69999999999999</v>
      </c>
      <c r="H38" s="187">
        <f>SUM(H29:H34,H37)</f>
        <v>7.0000000000000071</v>
      </c>
      <c r="I38" s="186"/>
      <c r="J38" s="188">
        <f>SUM(J29,J31,J33,J37)</f>
        <v>133.69999999999999</v>
      </c>
      <c r="K38" s="187">
        <f>SUM(K29:K33,K37)</f>
        <v>147.9</v>
      </c>
      <c r="L38" s="187">
        <f>SUM(L29:L34,L37)</f>
        <v>14.200000000000006</v>
      </c>
      <c r="M38" s="186"/>
      <c r="N38" s="188">
        <f>SUM(N29,N31,N33,N37)</f>
        <v>141.6</v>
      </c>
      <c r="O38" s="187">
        <f>SUM(O29:O33,O37)</f>
        <v>163.19999999999999</v>
      </c>
      <c r="P38" s="187">
        <f>SUM(P29:P34,P37)</f>
        <v>21.600000000000012</v>
      </c>
      <c r="Q38" s="186"/>
      <c r="R38" s="188">
        <f>SUM(R29,R31,R33,R37)</f>
        <v>141.6</v>
      </c>
      <c r="S38" s="187">
        <f>SUM(S29:S33,S37)</f>
        <v>169.6</v>
      </c>
      <c r="T38" s="187">
        <f>SUM(T29:T34,T37)</f>
        <v>28.000000000000011</v>
      </c>
      <c r="U38" s="186"/>
      <c r="V38" s="188">
        <f>SUM(V29,V31,V33,V37)</f>
        <v>141.6</v>
      </c>
      <c r="W38" s="187">
        <f>SUM(W29:W33,W37)</f>
        <v>168.2</v>
      </c>
      <c r="X38" s="187">
        <f>SUM(X29:X34,X37)</f>
        <v>26.600000000000012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6.6</v>
      </c>
      <c r="G42" s="478">
        <v>0</v>
      </c>
      <c r="H42" s="457">
        <f>SUM(G42,-F42)</f>
        <v>-6.6</v>
      </c>
      <c r="I42" s="459" t="s">
        <v>151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187</v>
      </c>
      <c r="G43" s="479"/>
      <c r="H43" s="480"/>
      <c r="I43" s="481"/>
      <c r="J43" s="183">
        <v>186</v>
      </c>
      <c r="K43" s="479"/>
      <c r="L43" s="480"/>
      <c r="M43" s="481"/>
      <c r="N43" s="183">
        <v>235</v>
      </c>
      <c r="O43" s="479"/>
      <c r="P43" s="480"/>
      <c r="Q43" s="481"/>
      <c r="R43" s="183">
        <v>235</v>
      </c>
      <c r="S43" s="479"/>
      <c r="T43" s="480"/>
      <c r="U43" s="481"/>
      <c r="V43" s="183">
        <v>235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23.5</v>
      </c>
      <c r="G47" s="478">
        <v>23.4</v>
      </c>
      <c r="H47" s="457">
        <f>SUM(G47,-F47)</f>
        <v>-0.10000000000000142</v>
      </c>
      <c r="I47" s="459" t="s">
        <v>149</v>
      </c>
      <c r="J47" s="178">
        <v>23.5</v>
      </c>
      <c r="K47" s="478">
        <v>23.4</v>
      </c>
      <c r="L47" s="457">
        <f>SUM(K47,-J47)</f>
        <v>-0.10000000000000142</v>
      </c>
      <c r="M47" s="459" t="s">
        <v>149</v>
      </c>
      <c r="N47" s="178">
        <v>23.5</v>
      </c>
      <c r="O47" s="478">
        <v>23.4</v>
      </c>
      <c r="P47" s="457">
        <f>SUM(O47,-N47)</f>
        <v>-0.10000000000000142</v>
      </c>
      <c r="Q47" s="459" t="s">
        <v>181</v>
      </c>
      <c r="R47" s="178">
        <v>23.5</v>
      </c>
      <c r="S47" s="478">
        <v>23.4</v>
      </c>
      <c r="T47" s="457">
        <f>SUM(S47,-R47)</f>
        <v>-0.10000000000000142</v>
      </c>
      <c r="U47" s="459" t="s">
        <v>181</v>
      </c>
      <c r="V47" s="178">
        <v>23.5</v>
      </c>
      <c r="W47" s="478">
        <v>25.6</v>
      </c>
      <c r="X47" s="457">
        <f>SUM(W47,-V47)</f>
        <v>2.1000000000000014</v>
      </c>
      <c r="Y47" s="459" t="s">
        <v>149</v>
      </c>
    </row>
    <row r="48" spans="3:25" ht="16.5" thickBot="1">
      <c r="C48" s="486"/>
      <c r="D48" s="487"/>
      <c r="E48" s="489"/>
      <c r="F48" s="177">
        <v>0.62</v>
      </c>
      <c r="G48" s="479"/>
      <c r="H48" s="480"/>
      <c r="I48" s="481"/>
      <c r="J48" s="177">
        <v>0.62</v>
      </c>
      <c r="K48" s="479"/>
      <c r="L48" s="480"/>
      <c r="M48" s="481"/>
      <c r="N48" s="177">
        <v>0.62</v>
      </c>
      <c r="O48" s="479"/>
      <c r="P48" s="480"/>
      <c r="Q48" s="481"/>
      <c r="R48" s="177">
        <v>0.62</v>
      </c>
      <c r="S48" s="479"/>
      <c r="T48" s="480"/>
      <c r="U48" s="481"/>
      <c r="V48" s="177">
        <v>0.62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22.8</v>
      </c>
      <c r="H53" s="223" t="s">
        <v>159</v>
      </c>
      <c r="I53" s="260" t="s">
        <v>180</v>
      </c>
      <c r="J53" s="225">
        <v>0</v>
      </c>
      <c r="K53" s="229">
        <v>22.9</v>
      </c>
      <c r="L53" s="223" t="s">
        <v>159</v>
      </c>
      <c r="M53" s="222" t="s">
        <v>180</v>
      </c>
      <c r="N53" s="225">
        <v>0</v>
      </c>
      <c r="O53" s="229">
        <v>25.1</v>
      </c>
      <c r="P53" s="223" t="s">
        <v>159</v>
      </c>
      <c r="Q53" s="222" t="s">
        <v>180</v>
      </c>
      <c r="R53" s="225">
        <v>0</v>
      </c>
      <c r="S53" s="229">
        <v>24.4</v>
      </c>
      <c r="T53" s="223" t="s">
        <v>159</v>
      </c>
      <c r="U53" s="222" t="s">
        <v>180</v>
      </c>
      <c r="V53" s="225">
        <v>0</v>
      </c>
      <c r="W53" s="229">
        <v>24.7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DD7C-B74D-4933-A8C9-4D447BE76E9D}">
  <sheetPr>
    <pageSetUpPr fitToPage="1"/>
  </sheetPr>
  <dimension ref="A1:Y57"/>
  <sheetViews>
    <sheetView showGridLines="0" view="pageBreakPreview" zoomScale="70" zoomScaleNormal="70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45604</v>
      </c>
      <c r="G3" s="418"/>
      <c r="H3" s="418"/>
      <c r="I3" s="419"/>
      <c r="J3" s="417">
        <v>45607</v>
      </c>
      <c r="K3" s="418"/>
      <c r="L3" s="418"/>
      <c r="M3" s="419"/>
      <c r="N3" s="417">
        <v>45608</v>
      </c>
      <c r="O3" s="418"/>
      <c r="P3" s="418"/>
      <c r="Q3" s="419"/>
      <c r="R3" s="417">
        <v>45609</v>
      </c>
      <c r="S3" s="418"/>
      <c r="T3" s="418"/>
      <c r="U3" s="419"/>
      <c r="V3" s="417">
        <v>45610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177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12.4</v>
      </c>
      <c r="W5" s="165">
        <v>12.4</v>
      </c>
      <c r="X5" s="164">
        <f>SUM(W5,-V5)</f>
        <v>0</v>
      </c>
      <c r="Y5" s="219"/>
    </row>
    <row r="6" spans="3:25" ht="16">
      <c r="C6" s="422"/>
      <c r="D6" s="426"/>
      <c r="E6" s="211" t="s">
        <v>136</v>
      </c>
      <c r="F6" s="166">
        <v>8.8000000000000007</v>
      </c>
      <c r="G6" s="165">
        <v>8.8000000000000007</v>
      </c>
      <c r="H6" s="164">
        <f>SUM(G6,-F6)</f>
        <v>0</v>
      </c>
      <c r="I6" s="219"/>
      <c r="J6" s="166">
        <v>17.5</v>
      </c>
      <c r="K6" s="165">
        <v>10.9</v>
      </c>
      <c r="L6" s="164">
        <f>SUM(K6,-J6)</f>
        <v>-6.6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36.200000000000003</v>
      </c>
      <c r="G8" s="216">
        <v>36.200000000000003</v>
      </c>
      <c r="H8" s="215">
        <f>SUM(G8,-F8)</f>
        <v>0</v>
      </c>
      <c r="I8" s="214"/>
      <c r="J8" s="217">
        <v>53.3</v>
      </c>
      <c r="K8" s="216">
        <v>53.3</v>
      </c>
      <c r="L8" s="215">
        <f>SUM(K8,-J8)</f>
        <v>0</v>
      </c>
      <c r="M8" s="214"/>
      <c r="N8" s="217">
        <v>54.900000000000006</v>
      </c>
      <c r="O8" s="216">
        <v>54.900000000000006</v>
      </c>
      <c r="P8" s="215">
        <f>SUM(O8,-N8)</f>
        <v>0</v>
      </c>
      <c r="Q8" s="214"/>
      <c r="R8" s="217">
        <v>54.900000000000006</v>
      </c>
      <c r="S8" s="216">
        <v>54.900000000000006</v>
      </c>
      <c r="T8" s="215">
        <f>SUM(S8,-R8)</f>
        <v>0</v>
      </c>
      <c r="U8" s="214"/>
      <c r="V8" s="217">
        <v>55.5</v>
      </c>
      <c r="W8" s="216">
        <v>55.5</v>
      </c>
      <c r="X8" s="215">
        <f>SUM(W8,-V8)</f>
        <v>0</v>
      </c>
      <c r="Y8" s="214"/>
    </row>
    <row r="9" spans="3:25" ht="16.5" thickBot="1">
      <c r="C9" s="424"/>
      <c r="D9" s="427" t="s">
        <v>101</v>
      </c>
      <c r="E9" s="428"/>
      <c r="F9" s="188">
        <f>SUM(F5:F8)</f>
        <v>57.400000000000006</v>
      </c>
      <c r="G9" s="187">
        <f>SUM(G5:G8)</f>
        <v>57.400000000000006</v>
      </c>
      <c r="H9" s="187">
        <f>SUM(H5:H8)</f>
        <v>0</v>
      </c>
      <c r="I9" s="213" t="s">
        <v>159</v>
      </c>
      <c r="J9" s="188">
        <f>SUM(J5:J8)</f>
        <v>83.199999999999989</v>
      </c>
      <c r="K9" s="187">
        <f>SUM(K5:K8)</f>
        <v>76.599999999999994</v>
      </c>
      <c r="L9" s="187">
        <f>SUM(L5:L8)</f>
        <v>-6.6</v>
      </c>
      <c r="M9" s="213" t="s">
        <v>159</v>
      </c>
      <c r="N9" s="188">
        <f>SUM(N5:N8)</f>
        <v>84.800000000000011</v>
      </c>
      <c r="O9" s="187">
        <f>SUM(O5:O8)</f>
        <v>84.800000000000011</v>
      </c>
      <c r="P9" s="187">
        <f>SUM(P5:P8)</f>
        <v>0</v>
      </c>
      <c r="Q9" s="213" t="s">
        <v>159</v>
      </c>
      <c r="R9" s="188">
        <f>SUM(R5:R8)</f>
        <v>84.800000000000011</v>
      </c>
      <c r="S9" s="187">
        <f>SUM(S5:S8)</f>
        <v>84.800000000000011</v>
      </c>
      <c r="T9" s="187">
        <f>SUM(T5:T8)</f>
        <v>0</v>
      </c>
      <c r="U9" s="213" t="s">
        <v>159</v>
      </c>
      <c r="V9" s="188">
        <f>SUM(V5:V8)</f>
        <v>85.4</v>
      </c>
      <c r="W9" s="187">
        <f>SUM(W5:W8)</f>
        <v>85.4</v>
      </c>
      <c r="X9" s="187">
        <f>SUM(X5:X8)</f>
        <v>0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177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189" t="s">
        <v>145</v>
      </c>
      <c r="N13" s="166">
        <v>-26.1</v>
      </c>
      <c r="O13" s="165">
        <v>0</v>
      </c>
      <c r="P13" s="164">
        <f t="shared" ref="P13:P20" si="2">SUM(O13,-N13)</f>
        <v>26.1</v>
      </c>
      <c r="Q13" s="189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189" t="s">
        <v>145</v>
      </c>
      <c r="V13" s="166">
        <v>-26.1</v>
      </c>
      <c r="W13" s="165">
        <v>0</v>
      </c>
      <c r="X13" s="164">
        <f t="shared" ref="X13:X20" si="4">SUM(W13,-V13)</f>
        <v>26.1</v>
      </c>
      <c r="Y13" s="189" t="s">
        <v>145</v>
      </c>
    </row>
    <row r="14" spans="3:25" ht="16">
      <c r="C14" s="440"/>
      <c r="D14" s="442"/>
      <c r="E14" s="211" t="s">
        <v>124</v>
      </c>
      <c r="F14" s="166">
        <v>-26.1</v>
      </c>
      <c r="G14" s="165">
        <v>0</v>
      </c>
      <c r="H14" s="164">
        <f t="shared" si="0"/>
        <v>26.1</v>
      </c>
      <c r="I14" s="232" t="s">
        <v>149</v>
      </c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231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231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32"/>
      <c r="J17" s="166">
        <v>-34</v>
      </c>
      <c r="K17" s="165">
        <v>0</v>
      </c>
      <c r="L17" s="164">
        <f t="shared" si="1"/>
        <v>34</v>
      </c>
      <c r="M17" s="259" t="s">
        <v>145</v>
      </c>
      <c r="N17" s="166">
        <v>-34</v>
      </c>
      <c r="O17" s="165">
        <v>0</v>
      </c>
      <c r="P17" s="164">
        <f t="shared" si="2"/>
        <v>34</v>
      </c>
      <c r="Q17" s="189" t="s">
        <v>149</v>
      </c>
      <c r="R17" s="166">
        <v>-34</v>
      </c>
      <c r="S17" s="165">
        <v>0</v>
      </c>
      <c r="T17" s="164">
        <f t="shared" si="3"/>
        <v>34</v>
      </c>
      <c r="U17" s="189" t="s">
        <v>145</v>
      </c>
      <c r="V17" s="166">
        <v>-34</v>
      </c>
      <c r="W17" s="165">
        <v>0</v>
      </c>
      <c r="X17" s="164">
        <f t="shared" si="4"/>
        <v>34</v>
      </c>
      <c r="Y17" s="189" t="s">
        <v>145</v>
      </c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232"/>
      <c r="J18" s="166">
        <v>-34</v>
      </c>
      <c r="K18" s="165">
        <v>0</v>
      </c>
      <c r="L18" s="164">
        <f t="shared" si="1"/>
        <v>34</v>
      </c>
      <c r="M18" s="189" t="s">
        <v>145</v>
      </c>
      <c r="N18" s="166">
        <v>-34</v>
      </c>
      <c r="O18" s="165">
        <v>0</v>
      </c>
      <c r="P18" s="164">
        <f t="shared" si="2"/>
        <v>34</v>
      </c>
      <c r="Q18" s="189" t="s">
        <v>149</v>
      </c>
      <c r="R18" s="166">
        <v>-34</v>
      </c>
      <c r="S18" s="165">
        <v>0</v>
      </c>
      <c r="T18" s="164">
        <f t="shared" si="3"/>
        <v>34</v>
      </c>
      <c r="U18" s="189" t="s">
        <v>145</v>
      </c>
      <c r="V18" s="166">
        <v>-34</v>
      </c>
      <c r="W18" s="165">
        <v>0</v>
      </c>
      <c r="X18" s="164">
        <f t="shared" si="4"/>
        <v>34</v>
      </c>
      <c r="Y18" s="189" t="s">
        <v>145</v>
      </c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231"/>
      <c r="J19" s="166">
        <v>-34</v>
      </c>
      <c r="K19" s="165">
        <v>0</v>
      </c>
      <c r="L19" s="164">
        <f t="shared" si="1"/>
        <v>34</v>
      </c>
      <c r="M19" s="189" t="s">
        <v>145</v>
      </c>
      <c r="N19" s="166">
        <v>-34</v>
      </c>
      <c r="O19" s="165">
        <v>0</v>
      </c>
      <c r="P19" s="164">
        <f t="shared" si="2"/>
        <v>34</v>
      </c>
      <c r="Q19" s="189" t="s">
        <v>149</v>
      </c>
      <c r="R19" s="166">
        <v>-34</v>
      </c>
      <c r="S19" s="165">
        <v>0</v>
      </c>
      <c r="T19" s="164">
        <f t="shared" si="3"/>
        <v>34</v>
      </c>
      <c r="U19" s="189" t="s">
        <v>145</v>
      </c>
      <c r="V19" s="166">
        <v>-34</v>
      </c>
      <c r="W19" s="165">
        <v>0</v>
      </c>
      <c r="X19" s="164">
        <f t="shared" si="4"/>
        <v>34</v>
      </c>
      <c r="Y19" s="189" t="s">
        <v>145</v>
      </c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231"/>
      <c r="J20" s="166">
        <v>-34</v>
      </c>
      <c r="K20" s="165">
        <v>0</v>
      </c>
      <c r="L20" s="164">
        <f t="shared" si="1"/>
        <v>34</v>
      </c>
      <c r="M20" s="189" t="s">
        <v>145</v>
      </c>
      <c r="N20" s="166">
        <v>-34</v>
      </c>
      <c r="O20" s="165">
        <v>0</v>
      </c>
      <c r="P20" s="164">
        <f t="shared" si="2"/>
        <v>34</v>
      </c>
      <c r="Q20" s="189" t="s">
        <v>149</v>
      </c>
      <c r="R20" s="166">
        <v>-34</v>
      </c>
      <c r="S20" s="165">
        <v>0</v>
      </c>
      <c r="T20" s="164">
        <f t="shared" si="3"/>
        <v>34</v>
      </c>
      <c r="U20" s="189" t="s">
        <v>145</v>
      </c>
      <c r="V20" s="166">
        <v>-34</v>
      </c>
      <c r="W20" s="165">
        <v>0</v>
      </c>
      <c r="X20" s="164">
        <f t="shared" si="4"/>
        <v>34</v>
      </c>
      <c r="Y20" s="189" t="s">
        <v>145</v>
      </c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-201</v>
      </c>
      <c r="H21" s="187">
        <f>SUM(H13:H20)</f>
        <v>52.2</v>
      </c>
      <c r="I21" s="186" t="s">
        <v>159</v>
      </c>
      <c r="J21" s="188">
        <f>SUM(J13:J20)</f>
        <v>-253.2</v>
      </c>
      <c r="K21" s="187">
        <f>SUM(K13:K20)</f>
        <v>-91.1</v>
      </c>
      <c r="L21" s="187">
        <f>SUM(L13:L20)</f>
        <v>162.1</v>
      </c>
      <c r="M21" s="186" t="s">
        <v>159</v>
      </c>
      <c r="N21" s="188">
        <f>SUM(N13:N20)</f>
        <v>-253.2</v>
      </c>
      <c r="O21" s="187">
        <f>SUM(O13:O20)</f>
        <v>-91.1</v>
      </c>
      <c r="P21" s="187">
        <f>SUM(P13:P20)</f>
        <v>162.1</v>
      </c>
      <c r="Q21" s="186" t="s">
        <v>159</v>
      </c>
      <c r="R21" s="188">
        <f>SUM(R13:R20)</f>
        <v>-253.2</v>
      </c>
      <c r="S21" s="187">
        <f>SUM(S13:S20)</f>
        <v>-91.1</v>
      </c>
      <c r="T21" s="187">
        <f>SUM(T13:T20)</f>
        <v>162.1</v>
      </c>
      <c r="U21" s="186" t="s">
        <v>159</v>
      </c>
      <c r="V21" s="188">
        <v>-253.2</v>
      </c>
      <c r="W21" s="187">
        <f>SUM(W13:W20)</f>
        <v>-91.1</v>
      </c>
      <c r="X21" s="187">
        <f>SUM(X13:X20)</f>
        <v>162.1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164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-4.2</v>
      </c>
      <c r="H25" s="207">
        <f>SUM(G25,-F25)</f>
        <v>0.79999999999999982</v>
      </c>
      <c r="I25" s="206" t="s">
        <v>150</v>
      </c>
      <c r="J25" s="209">
        <v>-5</v>
      </c>
      <c r="K25" s="208">
        <v>-4.5</v>
      </c>
      <c r="L25" s="207">
        <f>SUM(K25,-J25)</f>
        <v>0.5</v>
      </c>
      <c r="M25" s="206" t="s">
        <v>150</v>
      </c>
      <c r="N25" s="209">
        <v>-5</v>
      </c>
      <c r="O25" s="208">
        <v>-4.5</v>
      </c>
      <c r="P25" s="207">
        <f>SUM(O25,-N25)</f>
        <v>0.5</v>
      </c>
      <c r="Q25" s="206" t="s">
        <v>150</v>
      </c>
      <c r="R25" s="209">
        <v>-5</v>
      </c>
      <c r="S25" s="208">
        <v>-4.5</v>
      </c>
      <c r="T25" s="207">
        <f>SUM(S25,-R25)</f>
        <v>0.5</v>
      </c>
      <c r="U25" s="206" t="s">
        <v>150</v>
      </c>
      <c r="V25" s="209">
        <v>-5</v>
      </c>
      <c r="W25" s="208">
        <v>-4.5</v>
      </c>
      <c r="X25" s="207">
        <f>SUM(W25,-V25)</f>
        <v>0.5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164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68.900000000000006</v>
      </c>
      <c r="H29" s="457">
        <f>SUM(G29,-F29)</f>
        <v>25.100000000000009</v>
      </c>
      <c r="I29" s="459" t="s">
        <v>150</v>
      </c>
      <c r="J29" s="200">
        <v>43.8</v>
      </c>
      <c r="K29" s="455">
        <v>46.9</v>
      </c>
      <c r="L29" s="457">
        <f>SUM(K29,-J29)</f>
        <v>3.1000000000000014</v>
      </c>
      <c r="M29" s="459" t="s">
        <v>151</v>
      </c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54.4</v>
      </c>
      <c r="H31" s="457">
        <f>SUM(G31,-F31)</f>
        <v>0</v>
      </c>
      <c r="I31" s="459"/>
      <c r="J31" s="200">
        <v>54.4</v>
      </c>
      <c r="K31" s="455">
        <v>54.4</v>
      </c>
      <c r="L31" s="457">
        <f>SUM(K31,-J31)</f>
        <v>0</v>
      </c>
      <c r="M31" s="459"/>
      <c r="N31" s="200">
        <v>54.4</v>
      </c>
      <c r="O31" s="455">
        <v>54.4</v>
      </c>
      <c r="P31" s="457">
        <f>SUM(O31,-N31)</f>
        <v>0</v>
      </c>
      <c r="Q31" s="459"/>
      <c r="R31" s="200">
        <v>54.4</v>
      </c>
      <c r="S31" s="455">
        <v>62.5</v>
      </c>
      <c r="T31" s="457">
        <f>SUM(S31,-R31)</f>
        <v>8.1000000000000014</v>
      </c>
      <c r="U31" s="459" t="s">
        <v>151</v>
      </c>
      <c r="V31" s="200">
        <v>54.4</v>
      </c>
      <c r="W31" s="455">
        <v>54.5</v>
      </c>
      <c r="X31" s="457">
        <f>SUM(W31,-V31)</f>
        <v>0.10000000000000142</v>
      </c>
      <c r="Y31" s="459" t="s">
        <v>151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33.4</v>
      </c>
      <c r="G33" s="199">
        <v>47.3</v>
      </c>
      <c r="H33" s="457">
        <f>SUM(G33,-F33)</f>
        <v>13.899999999999999</v>
      </c>
      <c r="I33" s="459" t="s">
        <v>149</v>
      </c>
      <c r="J33" s="200">
        <v>27.8</v>
      </c>
      <c r="K33" s="199">
        <v>38.1</v>
      </c>
      <c r="L33" s="457">
        <f>SUM(K33,-J33)</f>
        <v>10.3</v>
      </c>
      <c r="M33" s="459" t="s">
        <v>149</v>
      </c>
      <c r="N33" s="200">
        <v>27.8</v>
      </c>
      <c r="O33" s="199">
        <v>33.799999999999997</v>
      </c>
      <c r="P33" s="457">
        <f>SUM(O33,-N33)</f>
        <v>5.9999999999999964</v>
      </c>
      <c r="Q33" s="459" t="s">
        <v>149</v>
      </c>
      <c r="R33" s="200">
        <v>27.8</v>
      </c>
      <c r="S33" s="199">
        <v>34.9</v>
      </c>
      <c r="T33" s="457">
        <f>SUM(S33,-R33)</f>
        <v>7.0999999999999979</v>
      </c>
      <c r="U33" s="459" t="s">
        <v>149</v>
      </c>
      <c r="V33" s="200">
        <v>27.8</v>
      </c>
      <c r="W33" s="199">
        <v>34.5</v>
      </c>
      <c r="X33" s="457">
        <f>SUM(W33,-V33)</f>
        <v>6.6999999999999993</v>
      </c>
      <c r="Y33" s="459" t="s">
        <v>145</v>
      </c>
    </row>
    <row r="34" spans="3:25" ht="16">
      <c r="C34" s="451"/>
      <c r="D34" s="467"/>
      <c r="E34" s="463" t="s">
        <v>104</v>
      </c>
      <c r="F34" s="198">
        <v>0.23</v>
      </c>
      <c r="G34" s="230">
        <v>32</v>
      </c>
      <c r="H34" s="458"/>
      <c r="I34" s="460"/>
      <c r="J34" s="198">
        <v>0.2</v>
      </c>
      <c r="K34" s="230">
        <v>28</v>
      </c>
      <c r="L34" s="458"/>
      <c r="M34" s="460"/>
      <c r="N34" s="198">
        <v>0.2</v>
      </c>
      <c r="O34" s="230">
        <v>25</v>
      </c>
      <c r="P34" s="458"/>
      <c r="Q34" s="460"/>
      <c r="R34" s="198">
        <v>0.2</v>
      </c>
      <c r="S34" s="230">
        <v>26</v>
      </c>
      <c r="T34" s="458"/>
      <c r="U34" s="460"/>
      <c r="V34" s="198">
        <v>0.2</v>
      </c>
      <c r="W34" s="230">
        <v>25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0.2</v>
      </c>
      <c r="H37" s="164">
        <f>SUM(G37,-F37)</f>
        <v>-9.8000000000000007</v>
      </c>
      <c r="I37" s="189" t="s">
        <v>147</v>
      </c>
      <c r="J37" s="166">
        <v>10</v>
      </c>
      <c r="K37" s="165">
        <v>0.4</v>
      </c>
      <c r="L37" s="164">
        <f>SUM(K37,-J37)</f>
        <v>-9.6</v>
      </c>
      <c r="M37" s="189" t="s">
        <v>147</v>
      </c>
      <c r="N37" s="166">
        <v>10</v>
      </c>
      <c r="O37" s="165">
        <v>0.5</v>
      </c>
      <c r="P37" s="164">
        <f>SUM(O37,-N37)</f>
        <v>-9.5</v>
      </c>
      <c r="Q37" s="189" t="s">
        <v>147</v>
      </c>
      <c r="R37" s="166">
        <v>10</v>
      </c>
      <c r="S37" s="165">
        <v>0.5</v>
      </c>
      <c r="T37" s="164">
        <f>SUM(S37,-R37)</f>
        <v>-9.5</v>
      </c>
      <c r="U37" s="189" t="s">
        <v>170</v>
      </c>
      <c r="V37" s="166">
        <v>10</v>
      </c>
      <c r="W37" s="165">
        <v>0.4</v>
      </c>
      <c r="X37" s="164">
        <f>SUM(W37,-V37)</f>
        <v>-9.6</v>
      </c>
      <c r="Y37" s="189" t="s">
        <v>170</v>
      </c>
    </row>
    <row r="38" spans="3:25" ht="16.5" thickBot="1">
      <c r="C38" s="452"/>
      <c r="D38" s="427" t="s">
        <v>101</v>
      </c>
      <c r="E38" s="428"/>
      <c r="F38" s="188">
        <f>SUM(F29,F31,F33,F37)</f>
        <v>141.6</v>
      </c>
      <c r="G38" s="187">
        <f>SUM(G29:G33,G37)</f>
        <v>170.8</v>
      </c>
      <c r="H38" s="187">
        <f>SUM(H29:H34,H37)</f>
        <v>29.200000000000006</v>
      </c>
      <c r="I38" s="186"/>
      <c r="J38" s="188">
        <f>SUM(J29,J31,J33,J37)</f>
        <v>136</v>
      </c>
      <c r="K38" s="187">
        <f>SUM(K29:K33,K37)</f>
        <v>139.80000000000001</v>
      </c>
      <c r="L38" s="187">
        <f>SUM(L29:L34,L37)</f>
        <v>3.8000000000000025</v>
      </c>
      <c r="M38" s="186"/>
      <c r="N38" s="188">
        <f>SUM(N29,N31,N33,N37)</f>
        <v>136</v>
      </c>
      <c r="O38" s="187">
        <f>SUM(O29:O33,O37)</f>
        <v>132.5</v>
      </c>
      <c r="P38" s="187">
        <f>SUM(P29:P34,P37)</f>
        <v>-3.5000000000000036</v>
      </c>
      <c r="Q38" s="186"/>
      <c r="R38" s="188">
        <f>SUM(R29,R31,R33,R37)</f>
        <v>136</v>
      </c>
      <c r="S38" s="187">
        <f>SUM(S29:S33,S37)</f>
        <v>141.69999999999999</v>
      </c>
      <c r="T38" s="187">
        <f>SUM(T29:T34,T37)</f>
        <v>5.6999999999999993</v>
      </c>
      <c r="U38" s="186"/>
      <c r="V38" s="188">
        <f>SUM(V29,V31,V33,V37)</f>
        <v>136</v>
      </c>
      <c r="W38" s="187">
        <f>SUM(W29:W33,W37)</f>
        <v>133.20000000000002</v>
      </c>
      <c r="X38" s="187">
        <f>SUM(X29:X34,X37)</f>
        <v>-2.7999999999999989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169</v>
      </c>
      <c r="S41" s="181" t="s">
        <v>164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0</v>
      </c>
      <c r="G42" s="478">
        <v>0</v>
      </c>
      <c r="H42" s="457">
        <f>SUM(G42,-F42)</f>
        <v>0</v>
      </c>
      <c r="I42" s="459"/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235</v>
      </c>
      <c r="G43" s="479"/>
      <c r="H43" s="480"/>
      <c r="I43" s="481"/>
      <c r="J43" s="183">
        <v>235</v>
      </c>
      <c r="K43" s="479"/>
      <c r="L43" s="480"/>
      <c r="M43" s="481"/>
      <c r="N43" s="183">
        <v>232</v>
      </c>
      <c r="O43" s="479"/>
      <c r="P43" s="480"/>
      <c r="Q43" s="481"/>
      <c r="R43" s="183">
        <v>235</v>
      </c>
      <c r="S43" s="479"/>
      <c r="T43" s="480"/>
      <c r="U43" s="481"/>
      <c r="V43" s="183">
        <v>235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164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27.9</v>
      </c>
      <c r="G47" s="478">
        <v>23.4</v>
      </c>
      <c r="H47" s="457">
        <f>SUM(G47,-F47)</f>
        <v>-4.5</v>
      </c>
      <c r="I47" s="459" t="s">
        <v>149</v>
      </c>
      <c r="J47" s="178">
        <v>27.9</v>
      </c>
      <c r="K47" s="478">
        <v>30.1</v>
      </c>
      <c r="L47" s="457">
        <f>SUM(K47,-J47)</f>
        <v>2.2000000000000028</v>
      </c>
      <c r="M47" s="459" t="s">
        <v>149</v>
      </c>
      <c r="N47" s="178">
        <v>27.9</v>
      </c>
      <c r="O47" s="478">
        <v>30.1</v>
      </c>
      <c r="P47" s="457">
        <f>SUM(O47,-N47)</f>
        <v>2.2000000000000028</v>
      </c>
      <c r="Q47" s="459" t="s">
        <v>181</v>
      </c>
      <c r="R47" s="178">
        <v>27.9</v>
      </c>
      <c r="S47" s="478">
        <v>30.9</v>
      </c>
      <c r="T47" s="457">
        <f>SUM(S47,-R47)</f>
        <v>3</v>
      </c>
      <c r="U47" s="459" t="s">
        <v>181</v>
      </c>
      <c r="V47" s="178">
        <v>27.9</v>
      </c>
      <c r="W47" s="478">
        <v>30.8</v>
      </c>
      <c r="X47" s="457">
        <f>SUM(W47,-V47)</f>
        <v>2.9000000000000021</v>
      </c>
      <c r="Y47" s="459" t="s">
        <v>149</v>
      </c>
    </row>
    <row r="48" spans="3:25" ht="16.5" thickBot="1">
      <c r="C48" s="486"/>
      <c r="D48" s="487"/>
      <c r="E48" s="489"/>
      <c r="F48" s="177">
        <v>0.62</v>
      </c>
      <c r="G48" s="479"/>
      <c r="H48" s="480"/>
      <c r="I48" s="481"/>
      <c r="J48" s="177">
        <v>0.63</v>
      </c>
      <c r="K48" s="479"/>
      <c r="L48" s="480"/>
      <c r="M48" s="481"/>
      <c r="N48" s="177">
        <v>0.63</v>
      </c>
      <c r="O48" s="479"/>
      <c r="P48" s="480"/>
      <c r="Q48" s="481"/>
      <c r="R48" s="177">
        <v>0.62</v>
      </c>
      <c r="S48" s="479"/>
      <c r="T48" s="480"/>
      <c r="U48" s="481"/>
      <c r="V48" s="177">
        <v>0.63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164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25</v>
      </c>
      <c r="H53" s="223" t="s">
        <v>159</v>
      </c>
      <c r="I53" s="260" t="s">
        <v>180</v>
      </c>
      <c r="J53" s="225">
        <v>0</v>
      </c>
      <c r="K53" s="229">
        <v>22.8</v>
      </c>
      <c r="L53" s="223" t="s">
        <v>159</v>
      </c>
      <c r="M53" s="222" t="s">
        <v>180</v>
      </c>
      <c r="N53" s="225">
        <v>0</v>
      </c>
      <c r="O53" s="229">
        <v>23.2</v>
      </c>
      <c r="P53" s="223" t="s">
        <v>159</v>
      </c>
      <c r="Q53" s="222" t="s">
        <v>180</v>
      </c>
      <c r="R53" s="225">
        <v>0</v>
      </c>
      <c r="S53" s="229">
        <v>23</v>
      </c>
      <c r="T53" s="223" t="s">
        <v>159</v>
      </c>
      <c r="U53" s="222" t="s">
        <v>180</v>
      </c>
      <c r="V53" s="225">
        <v>0</v>
      </c>
      <c r="W53" s="229">
        <v>22.9</v>
      </c>
      <c r="X53" s="223" t="s">
        <v>159</v>
      </c>
      <c r="Y53" s="222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C20A-F003-4E18-93A0-AA445DF3D3F5}">
  <sheetPr>
    <pageSetUpPr fitToPage="1"/>
  </sheetPr>
  <dimension ref="A1:Y57"/>
  <sheetViews>
    <sheetView showGridLines="0" view="pageBreakPreview" zoomScale="70" zoomScaleNormal="55" zoomScaleSheetLayoutView="70" workbookViewId="0">
      <selection activeCell="I62" sqref="I62"/>
    </sheetView>
  </sheetViews>
  <sheetFormatPr defaultColWidth="9" defaultRowHeight="15"/>
  <cols>
    <col min="1" max="1" width="0.90625" style="1" customWidth="1"/>
    <col min="2" max="2" width="1.08984375" style="1" customWidth="1"/>
    <col min="3" max="3" width="14.7265625" style="1" customWidth="1"/>
    <col min="4" max="4" width="8" style="1" customWidth="1"/>
    <col min="5" max="5" width="18.08984375" style="1" customWidth="1"/>
    <col min="6" max="7" width="11" style="1" bestFit="1" customWidth="1"/>
    <col min="8" max="8" width="11.36328125" style="1" customWidth="1"/>
    <col min="9" max="9" width="13.08984375" style="86" bestFit="1" customWidth="1"/>
    <col min="10" max="11" width="11" style="1" bestFit="1" customWidth="1"/>
    <col min="12" max="12" width="11.36328125" style="1" customWidth="1"/>
    <col min="13" max="13" width="13.08984375" style="86" bestFit="1" customWidth="1"/>
    <col min="14" max="15" width="11" style="1" bestFit="1" customWidth="1"/>
    <col min="16" max="16" width="11.36328125" style="1" customWidth="1"/>
    <col min="17" max="17" width="13.08984375" style="86" bestFit="1" customWidth="1"/>
    <col min="18" max="19" width="11" style="1" bestFit="1" customWidth="1"/>
    <col min="20" max="20" width="11.36328125" style="1" customWidth="1"/>
    <col min="21" max="21" width="13.08984375" style="86" bestFit="1" customWidth="1"/>
    <col min="22" max="23" width="11" style="1" bestFit="1" customWidth="1"/>
    <col min="24" max="24" width="11.36328125" style="1" customWidth="1"/>
    <col min="25" max="25" width="13.08984375" style="86" bestFit="1" customWidth="1"/>
    <col min="26" max="16384" width="9" style="1"/>
  </cols>
  <sheetData>
    <row r="1" spans="3:25" ht="15.75" customHeight="1">
      <c r="E1" s="23"/>
      <c r="F1" s="23"/>
      <c r="G1" s="23"/>
      <c r="H1" s="23"/>
      <c r="I1" s="22"/>
      <c r="J1" s="23"/>
      <c r="K1" s="23"/>
      <c r="L1" s="23"/>
      <c r="M1" s="22"/>
      <c r="N1" s="23"/>
      <c r="O1" s="23"/>
      <c r="P1" s="23"/>
      <c r="Q1" s="22"/>
    </row>
    <row r="2" spans="3:25" ht="19.5" customHeight="1" thickBot="1">
      <c r="E2" s="23"/>
      <c r="F2" s="23"/>
      <c r="G2" s="23"/>
      <c r="H2" s="23"/>
      <c r="I2" s="22"/>
      <c r="J2" s="23"/>
      <c r="K2" s="23"/>
      <c r="L2" s="23"/>
      <c r="M2" s="220"/>
      <c r="N2" s="23"/>
      <c r="O2" s="23"/>
      <c r="P2" s="23"/>
      <c r="Q2" s="22"/>
      <c r="Y2" s="220" t="s">
        <v>143</v>
      </c>
    </row>
    <row r="3" spans="3:25" ht="17" thickTop="1" thickBot="1">
      <c r="C3" s="435" t="s">
        <v>142</v>
      </c>
      <c r="D3" s="436"/>
      <c r="E3" s="437"/>
      <c r="F3" s="417">
        <v>45616</v>
      </c>
      <c r="G3" s="418"/>
      <c r="H3" s="418"/>
      <c r="I3" s="419"/>
      <c r="J3" s="417">
        <v>45618</v>
      </c>
      <c r="K3" s="418"/>
      <c r="L3" s="418"/>
      <c r="M3" s="419"/>
      <c r="N3" s="417">
        <v>45619</v>
      </c>
      <c r="O3" s="418"/>
      <c r="P3" s="418"/>
      <c r="Q3" s="419"/>
      <c r="R3" s="417">
        <v>45620</v>
      </c>
      <c r="S3" s="418"/>
      <c r="T3" s="418"/>
      <c r="U3" s="419"/>
      <c r="V3" s="417">
        <v>45621</v>
      </c>
      <c r="W3" s="418"/>
      <c r="X3" s="418"/>
      <c r="Y3" s="419"/>
    </row>
    <row r="4" spans="3:25" ht="16">
      <c r="C4" s="421" t="s">
        <v>141</v>
      </c>
      <c r="D4" s="205" t="s">
        <v>140</v>
      </c>
      <c r="E4" s="204" t="s">
        <v>113</v>
      </c>
      <c r="F4" s="210" t="s">
        <v>178</v>
      </c>
      <c r="G4" s="181" t="s">
        <v>162</v>
      </c>
      <c r="H4" s="180" t="s">
        <v>161</v>
      </c>
      <c r="I4" s="179" t="s">
        <v>166</v>
      </c>
      <c r="J4" s="210" t="s">
        <v>178</v>
      </c>
      <c r="K4" s="181" t="s">
        <v>162</v>
      </c>
      <c r="L4" s="180" t="s">
        <v>161</v>
      </c>
      <c r="M4" s="179" t="s">
        <v>166</v>
      </c>
      <c r="N4" s="210" t="s">
        <v>178</v>
      </c>
      <c r="O4" s="181" t="s">
        <v>162</v>
      </c>
      <c r="P4" s="180" t="s">
        <v>161</v>
      </c>
      <c r="Q4" s="179" t="s">
        <v>166</v>
      </c>
      <c r="R4" s="210" t="s">
        <v>178</v>
      </c>
      <c r="S4" s="181" t="s">
        <v>162</v>
      </c>
      <c r="T4" s="180" t="s">
        <v>161</v>
      </c>
      <c r="U4" s="179" t="s">
        <v>166</v>
      </c>
      <c r="V4" s="210" t="s">
        <v>178</v>
      </c>
      <c r="W4" s="181" t="s">
        <v>162</v>
      </c>
      <c r="X4" s="180" t="s">
        <v>161</v>
      </c>
      <c r="Y4" s="179" t="s">
        <v>166</v>
      </c>
    </row>
    <row r="5" spans="3:25" ht="16">
      <c r="C5" s="422"/>
      <c r="D5" s="425" t="s">
        <v>138</v>
      </c>
      <c r="E5" s="211" t="s">
        <v>137</v>
      </c>
      <c r="F5" s="166">
        <v>12.4</v>
      </c>
      <c r="G5" s="165">
        <v>12.4</v>
      </c>
      <c r="H5" s="164">
        <f>SUM(G5,-F5)</f>
        <v>0</v>
      </c>
      <c r="I5" s="219"/>
      <c r="J5" s="166">
        <v>12.4</v>
      </c>
      <c r="K5" s="165">
        <v>12.4</v>
      </c>
      <c r="L5" s="164">
        <f>SUM(K5,-J5)</f>
        <v>0</v>
      </c>
      <c r="M5" s="219"/>
      <c r="N5" s="166">
        <v>12.4</v>
      </c>
      <c r="O5" s="165">
        <v>12.4</v>
      </c>
      <c r="P5" s="164">
        <f>SUM(O5,-N5)</f>
        <v>0</v>
      </c>
      <c r="Q5" s="219"/>
      <c r="R5" s="166">
        <v>12.4</v>
      </c>
      <c r="S5" s="165">
        <v>12.4</v>
      </c>
      <c r="T5" s="164">
        <f>SUM(S5,-R5)</f>
        <v>0</v>
      </c>
      <c r="U5" s="219"/>
      <c r="V5" s="166">
        <v>32.700000000000003</v>
      </c>
      <c r="W5" s="165">
        <v>61.699999999999996</v>
      </c>
      <c r="X5" s="164">
        <f>SUM(W5,-V5)</f>
        <v>28.999999999999993</v>
      </c>
      <c r="Y5" s="219" t="s">
        <v>145</v>
      </c>
    </row>
    <row r="6" spans="3:25" ht="16">
      <c r="C6" s="422"/>
      <c r="D6" s="426"/>
      <c r="E6" s="211" t="s">
        <v>136</v>
      </c>
      <c r="F6" s="166">
        <v>17.5</v>
      </c>
      <c r="G6" s="165">
        <v>17.5</v>
      </c>
      <c r="H6" s="164">
        <f>SUM(G6,-F6)</f>
        <v>0</v>
      </c>
      <c r="I6" s="219"/>
      <c r="J6" s="166">
        <v>17.5</v>
      </c>
      <c r="K6" s="165">
        <v>17.5</v>
      </c>
      <c r="L6" s="164">
        <f>SUM(K6,-J6)</f>
        <v>0</v>
      </c>
      <c r="M6" s="219"/>
      <c r="N6" s="166">
        <v>17.5</v>
      </c>
      <c r="O6" s="165">
        <v>17.5</v>
      </c>
      <c r="P6" s="164">
        <f>SUM(O6,-N6)</f>
        <v>0</v>
      </c>
      <c r="Q6" s="219"/>
      <c r="R6" s="166">
        <v>17.5</v>
      </c>
      <c r="S6" s="165">
        <v>17.5</v>
      </c>
      <c r="T6" s="164">
        <f>SUM(S6,-R6)</f>
        <v>0</v>
      </c>
      <c r="U6" s="219"/>
      <c r="V6" s="166">
        <v>17.5</v>
      </c>
      <c r="W6" s="165">
        <v>17.5</v>
      </c>
      <c r="X6" s="164">
        <f>SUM(W6,-V6)</f>
        <v>0</v>
      </c>
      <c r="Y6" s="219"/>
    </row>
    <row r="7" spans="3:25" ht="16">
      <c r="C7" s="422"/>
      <c r="D7" s="425" t="s">
        <v>135</v>
      </c>
      <c r="E7" s="211" t="s">
        <v>134</v>
      </c>
      <c r="F7" s="166">
        <v>0</v>
      </c>
      <c r="G7" s="165">
        <v>0</v>
      </c>
      <c r="H7" s="164">
        <f>SUM(G7,-F7)</f>
        <v>0</v>
      </c>
      <c r="I7" s="219"/>
      <c r="J7" s="166">
        <v>0</v>
      </c>
      <c r="K7" s="165">
        <v>0</v>
      </c>
      <c r="L7" s="164">
        <f>SUM(K7,-J7)</f>
        <v>0</v>
      </c>
      <c r="M7" s="219"/>
      <c r="N7" s="166">
        <v>0</v>
      </c>
      <c r="O7" s="165">
        <v>0</v>
      </c>
      <c r="P7" s="164">
        <f>SUM(O7,-N7)</f>
        <v>0</v>
      </c>
      <c r="Q7" s="219"/>
      <c r="R7" s="166">
        <v>0</v>
      </c>
      <c r="S7" s="165">
        <v>0</v>
      </c>
      <c r="T7" s="164">
        <f>SUM(S7,-R7)</f>
        <v>0</v>
      </c>
      <c r="U7" s="219"/>
      <c r="V7" s="166">
        <v>0</v>
      </c>
      <c r="W7" s="165">
        <v>0</v>
      </c>
      <c r="X7" s="164">
        <f>SUM(W7,-V7)</f>
        <v>0</v>
      </c>
      <c r="Y7" s="219"/>
    </row>
    <row r="8" spans="3:25" ht="16">
      <c r="C8" s="423"/>
      <c r="D8" s="426"/>
      <c r="E8" s="218" t="s">
        <v>133</v>
      </c>
      <c r="F8" s="217">
        <v>54.900000000000006</v>
      </c>
      <c r="G8" s="216">
        <v>54.900000000000006</v>
      </c>
      <c r="H8" s="215">
        <f>SUM(G8,-F8)</f>
        <v>0</v>
      </c>
      <c r="I8" s="214"/>
      <c r="J8" s="217">
        <v>55.1</v>
      </c>
      <c r="K8" s="216">
        <v>55.1</v>
      </c>
      <c r="L8" s="215">
        <f>SUM(K8,-J8)</f>
        <v>0</v>
      </c>
      <c r="M8" s="214"/>
      <c r="N8" s="217">
        <v>53.7</v>
      </c>
      <c r="O8" s="216">
        <v>57.3</v>
      </c>
      <c r="P8" s="215">
        <f>SUM(O8,-N8)</f>
        <v>3.5999999999999943</v>
      </c>
      <c r="Q8" s="232" t="s">
        <v>149</v>
      </c>
      <c r="R8" s="217">
        <v>53</v>
      </c>
      <c r="S8" s="216">
        <v>53</v>
      </c>
      <c r="T8" s="215">
        <f>SUM(S8,-R8)</f>
        <v>0</v>
      </c>
      <c r="U8" s="214"/>
      <c r="V8" s="217">
        <v>55.300000000000004</v>
      </c>
      <c r="W8" s="216">
        <v>58.7</v>
      </c>
      <c r="X8" s="215">
        <f>SUM(W8,-V8)</f>
        <v>3.3999999999999986</v>
      </c>
      <c r="Y8" s="232" t="s">
        <v>149</v>
      </c>
    </row>
    <row r="9" spans="3:25" ht="16.5" thickBot="1">
      <c r="C9" s="424"/>
      <c r="D9" s="427" t="s">
        <v>101</v>
      </c>
      <c r="E9" s="428"/>
      <c r="F9" s="188">
        <f>SUM(F5:F8)</f>
        <v>84.800000000000011</v>
      </c>
      <c r="G9" s="187">
        <f>SUM(G5:G8)</f>
        <v>84.800000000000011</v>
      </c>
      <c r="H9" s="187">
        <f>SUM(H5:H8)</f>
        <v>0</v>
      </c>
      <c r="I9" s="213" t="s">
        <v>159</v>
      </c>
      <c r="J9" s="188">
        <f>SUM(J5:J8)</f>
        <v>85</v>
      </c>
      <c r="K9" s="187">
        <f>SUM(K5:K8)</f>
        <v>85</v>
      </c>
      <c r="L9" s="187">
        <f>SUM(L5:L8)</f>
        <v>0</v>
      </c>
      <c r="M9" s="213" t="s">
        <v>159</v>
      </c>
      <c r="N9" s="188">
        <f>SUM(N5:N8)</f>
        <v>83.6</v>
      </c>
      <c r="O9" s="187">
        <f>SUM(O5:O8)</f>
        <v>87.199999999999989</v>
      </c>
      <c r="P9" s="187">
        <f>SUM(P5:P8)</f>
        <v>3.5999999999999943</v>
      </c>
      <c r="Q9" s="213" t="s">
        <v>159</v>
      </c>
      <c r="R9" s="188">
        <f>SUM(R5:R8)</f>
        <v>82.9</v>
      </c>
      <c r="S9" s="187">
        <f>SUM(S5:S8)</f>
        <v>82.9</v>
      </c>
      <c r="T9" s="187">
        <f>SUM(T5:T8)</f>
        <v>0</v>
      </c>
      <c r="U9" s="213" t="s">
        <v>159</v>
      </c>
      <c r="V9" s="188">
        <f>SUM(V5:V8)</f>
        <v>105.5</v>
      </c>
      <c r="W9" s="187">
        <f>SUM(W5:W8)</f>
        <v>137.89999999999998</v>
      </c>
      <c r="X9" s="187">
        <f>SUM(X5:X8)</f>
        <v>32.399999999999991</v>
      </c>
      <c r="Y9" s="213" t="s">
        <v>159</v>
      </c>
    </row>
    <row r="10" spans="3:25" ht="15.5" thickBot="1">
      <c r="C10" s="227"/>
      <c r="D10" s="174"/>
      <c r="E10" s="174"/>
      <c r="F10" s="174"/>
      <c r="G10" s="174"/>
      <c r="H10" s="174"/>
      <c r="I10" s="175"/>
      <c r="J10" s="174"/>
      <c r="K10" s="174"/>
      <c r="L10" s="174"/>
      <c r="M10" s="175"/>
      <c r="N10" s="174"/>
      <c r="O10" s="174"/>
      <c r="P10" s="174"/>
      <c r="Q10" s="175"/>
      <c r="R10" s="174"/>
      <c r="S10" s="174"/>
      <c r="T10" s="174"/>
      <c r="U10" s="175"/>
      <c r="V10" s="174"/>
      <c r="W10" s="174"/>
      <c r="X10" s="174"/>
      <c r="Y10" s="175"/>
    </row>
    <row r="11" spans="3:25" ht="16.5" thickBot="1">
      <c r="C11" s="429" t="s">
        <v>132</v>
      </c>
      <c r="D11" s="430"/>
      <c r="E11" s="431"/>
      <c r="F11" s="432"/>
      <c r="G11" s="433"/>
      <c r="H11" s="433"/>
      <c r="I11" s="434"/>
      <c r="J11" s="432"/>
      <c r="K11" s="433"/>
      <c r="L11" s="433"/>
      <c r="M11" s="434"/>
      <c r="N11" s="432"/>
      <c r="O11" s="433"/>
      <c r="P11" s="433"/>
      <c r="Q11" s="434"/>
      <c r="R11" s="432"/>
      <c r="S11" s="433"/>
      <c r="T11" s="433"/>
      <c r="U11" s="434"/>
      <c r="V11" s="432"/>
      <c r="W11" s="433"/>
      <c r="X11" s="433"/>
      <c r="Y11" s="434"/>
    </row>
    <row r="12" spans="3:25" ht="16">
      <c r="C12" s="439" t="s">
        <v>131</v>
      </c>
      <c r="D12" s="205" t="s">
        <v>113</v>
      </c>
      <c r="E12" s="204" t="s">
        <v>130</v>
      </c>
      <c r="F12" s="210" t="s">
        <v>176</v>
      </c>
      <c r="G12" s="181" t="s">
        <v>162</v>
      </c>
      <c r="H12" s="180" t="s">
        <v>161</v>
      </c>
      <c r="I12" s="179" t="s">
        <v>166</v>
      </c>
      <c r="J12" s="210" t="s">
        <v>176</v>
      </c>
      <c r="K12" s="181" t="s">
        <v>162</v>
      </c>
      <c r="L12" s="180" t="s">
        <v>161</v>
      </c>
      <c r="M12" s="179" t="s">
        <v>166</v>
      </c>
      <c r="N12" s="210" t="s">
        <v>176</v>
      </c>
      <c r="O12" s="181" t="s">
        <v>162</v>
      </c>
      <c r="P12" s="180" t="s">
        <v>161</v>
      </c>
      <c r="Q12" s="179" t="s">
        <v>166</v>
      </c>
      <c r="R12" s="210" t="s">
        <v>176</v>
      </c>
      <c r="S12" s="181" t="s">
        <v>162</v>
      </c>
      <c r="T12" s="180" t="s">
        <v>161</v>
      </c>
      <c r="U12" s="179" t="s">
        <v>166</v>
      </c>
      <c r="V12" s="210" t="s">
        <v>176</v>
      </c>
      <c r="W12" s="181" t="s">
        <v>162</v>
      </c>
      <c r="X12" s="180" t="s">
        <v>161</v>
      </c>
      <c r="Y12" s="179" t="s">
        <v>166</v>
      </c>
    </row>
    <row r="13" spans="3:25" ht="16">
      <c r="C13" s="440"/>
      <c r="D13" s="425" t="s">
        <v>128</v>
      </c>
      <c r="E13" s="211" t="s">
        <v>125</v>
      </c>
      <c r="F13" s="166">
        <v>-26.1</v>
      </c>
      <c r="G13" s="165">
        <v>0</v>
      </c>
      <c r="H13" s="164">
        <f t="shared" ref="H13:H20" si="0">SUM(G13,-F13)</f>
        <v>26.1</v>
      </c>
      <c r="I13" s="232" t="s">
        <v>149</v>
      </c>
      <c r="J13" s="166">
        <v>-26.1</v>
      </c>
      <c r="K13" s="165">
        <v>0</v>
      </c>
      <c r="L13" s="164">
        <f t="shared" ref="L13:L20" si="1">SUM(K13,-J13)</f>
        <v>26.1</v>
      </c>
      <c r="M13" s="232" t="s">
        <v>149</v>
      </c>
      <c r="N13" s="166">
        <v>-26.1</v>
      </c>
      <c r="O13" s="165">
        <v>0</v>
      </c>
      <c r="P13" s="164">
        <f t="shared" ref="P13:P20" si="2">SUM(O13,-N13)</f>
        <v>26.1</v>
      </c>
      <c r="Q13" s="232" t="s">
        <v>149</v>
      </c>
      <c r="R13" s="166">
        <v>-26.1</v>
      </c>
      <c r="S13" s="165">
        <v>0</v>
      </c>
      <c r="T13" s="164">
        <f t="shared" ref="T13:T20" si="3">SUM(S13,-R13)</f>
        <v>26.1</v>
      </c>
      <c r="U13" s="232" t="s">
        <v>149</v>
      </c>
      <c r="V13" s="166">
        <v>-26.1</v>
      </c>
      <c r="W13" s="165">
        <v>0</v>
      </c>
      <c r="X13" s="164">
        <f t="shared" ref="X13:X20" si="4">SUM(W13,-V13)</f>
        <v>26.1</v>
      </c>
      <c r="Y13" s="232" t="s">
        <v>149</v>
      </c>
    </row>
    <row r="14" spans="3:25" ht="16">
      <c r="C14" s="440"/>
      <c r="D14" s="442"/>
      <c r="E14" s="211" t="s">
        <v>124</v>
      </c>
      <c r="F14" s="166">
        <v>-26.1</v>
      </c>
      <c r="G14" s="165">
        <v>-26.1</v>
      </c>
      <c r="H14" s="164">
        <f t="shared" si="0"/>
        <v>0</v>
      </c>
      <c r="I14" s="189"/>
      <c r="J14" s="166">
        <v>-26.1</v>
      </c>
      <c r="K14" s="165">
        <v>-26.1</v>
      </c>
      <c r="L14" s="164">
        <f t="shared" si="1"/>
        <v>0</v>
      </c>
      <c r="M14" s="189"/>
      <c r="N14" s="166">
        <v>-26.1</v>
      </c>
      <c r="O14" s="165">
        <v>-26.1</v>
      </c>
      <c r="P14" s="164">
        <f t="shared" si="2"/>
        <v>0</v>
      </c>
      <c r="Q14" s="189"/>
      <c r="R14" s="166">
        <v>-26.1</v>
      </c>
      <c r="S14" s="165">
        <v>-26.1</v>
      </c>
      <c r="T14" s="164">
        <f t="shared" si="3"/>
        <v>0</v>
      </c>
      <c r="U14" s="189"/>
      <c r="V14" s="166">
        <v>-26.1</v>
      </c>
      <c r="W14" s="165">
        <v>-26.1</v>
      </c>
      <c r="X14" s="164">
        <f t="shared" si="4"/>
        <v>0</v>
      </c>
      <c r="Y14" s="189"/>
    </row>
    <row r="15" spans="3:25" ht="16">
      <c r="C15" s="440"/>
      <c r="D15" s="425" t="s">
        <v>127</v>
      </c>
      <c r="E15" s="211" t="s">
        <v>125</v>
      </c>
      <c r="F15" s="166">
        <v>-32.5</v>
      </c>
      <c r="G15" s="165">
        <v>-32.5</v>
      </c>
      <c r="H15" s="164">
        <f t="shared" si="0"/>
        <v>0</v>
      </c>
      <c r="I15" s="189"/>
      <c r="J15" s="166">
        <v>-32.5</v>
      </c>
      <c r="K15" s="165">
        <v>-32.5</v>
      </c>
      <c r="L15" s="164">
        <f t="shared" si="1"/>
        <v>0</v>
      </c>
      <c r="M15" s="189"/>
      <c r="N15" s="166">
        <v>-32.5</v>
      </c>
      <c r="O15" s="165">
        <v>-32.5</v>
      </c>
      <c r="P15" s="164">
        <f t="shared" si="2"/>
        <v>0</v>
      </c>
      <c r="Q15" s="189"/>
      <c r="R15" s="166">
        <v>-32.5</v>
      </c>
      <c r="S15" s="165">
        <v>-32.5</v>
      </c>
      <c r="T15" s="164">
        <f t="shared" si="3"/>
        <v>0</v>
      </c>
      <c r="U15" s="189"/>
      <c r="V15" s="166">
        <v>-32.5</v>
      </c>
      <c r="W15" s="165">
        <v>-32.5</v>
      </c>
      <c r="X15" s="164">
        <f t="shared" si="4"/>
        <v>0</v>
      </c>
      <c r="Y15" s="189"/>
    </row>
    <row r="16" spans="3:25" ht="16">
      <c r="C16" s="440"/>
      <c r="D16" s="442"/>
      <c r="E16" s="211" t="s">
        <v>124</v>
      </c>
      <c r="F16" s="166">
        <v>-32.5</v>
      </c>
      <c r="G16" s="165">
        <v>-32.5</v>
      </c>
      <c r="H16" s="164">
        <f t="shared" si="0"/>
        <v>0</v>
      </c>
      <c r="I16" s="189"/>
      <c r="J16" s="166">
        <v>-32.5</v>
      </c>
      <c r="K16" s="165">
        <v>-32.5</v>
      </c>
      <c r="L16" s="164">
        <f t="shared" si="1"/>
        <v>0</v>
      </c>
      <c r="M16" s="189"/>
      <c r="N16" s="166">
        <v>-32.5</v>
      </c>
      <c r="O16" s="165">
        <v>-32.5</v>
      </c>
      <c r="P16" s="164">
        <f t="shared" si="2"/>
        <v>0</v>
      </c>
      <c r="Q16" s="189"/>
      <c r="R16" s="166">
        <v>-32.5</v>
      </c>
      <c r="S16" s="165">
        <v>-32.5</v>
      </c>
      <c r="T16" s="164">
        <f t="shared" si="3"/>
        <v>0</v>
      </c>
      <c r="U16" s="189"/>
      <c r="V16" s="166">
        <v>-32.5</v>
      </c>
      <c r="W16" s="165">
        <v>-32.5</v>
      </c>
      <c r="X16" s="164">
        <f t="shared" si="4"/>
        <v>0</v>
      </c>
      <c r="Y16" s="189"/>
    </row>
    <row r="17" spans="3:25" ht="16">
      <c r="C17" s="440"/>
      <c r="D17" s="425" t="s">
        <v>126</v>
      </c>
      <c r="E17" s="211" t="s">
        <v>125</v>
      </c>
      <c r="F17" s="166">
        <v>-34</v>
      </c>
      <c r="G17" s="165">
        <v>-34</v>
      </c>
      <c r="H17" s="164">
        <f t="shared" si="0"/>
        <v>0</v>
      </c>
      <c r="I17" s="212"/>
      <c r="J17" s="166">
        <v>-34</v>
      </c>
      <c r="K17" s="165">
        <v>-34</v>
      </c>
      <c r="L17" s="164">
        <f t="shared" si="1"/>
        <v>0</v>
      </c>
      <c r="M17" s="212"/>
      <c r="N17" s="166">
        <v>-34</v>
      </c>
      <c r="O17" s="165">
        <v>-34</v>
      </c>
      <c r="P17" s="164">
        <f t="shared" si="2"/>
        <v>0</v>
      </c>
      <c r="Q17" s="212"/>
      <c r="R17" s="166">
        <v>-34</v>
      </c>
      <c r="S17" s="165">
        <v>-34</v>
      </c>
      <c r="T17" s="164">
        <f t="shared" si="3"/>
        <v>0</v>
      </c>
      <c r="U17" s="212"/>
      <c r="V17" s="166">
        <v>-34</v>
      </c>
      <c r="W17" s="165">
        <v>-34</v>
      </c>
      <c r="X17" s="164">
        <f t="shared" si="4"/>
        <v>0</v>
      </c>
      <c r="Y17" s="212"/>
    </row>
    <row r="18" spans="3:25" ht="16">
      <c r="C18" s="440"/>
      <c r="D18" s="443"/>
      <c r="E18" s="211" t="s">
        <v>124</v>
      </c>
      <c r="F18" s="166">
        <v>-34</v>
      </c>
      <c r="G18" s="165">
        <v>-34</v>
      </c>
      <c r="H18" s="164">
        <f t="shared" si="0"/>
        <v>0</v>
      </c>
      <c r="I18" s="189"/>
      <c r="J18" s="166">
        <v>-34</v>
      </c>
      <c r="K18" s="165">
        <v>-34</v>
      </c>
      <c r="L18" s="164">
        <f t="shared" si="1"/>
        <v>0</v>
      </c>
      <c r="M18" s="189"/>
      <c r="N18" s="166">
        <v>-34</v>
      </c>
      <c r="O18" s="165">
        <v>-34</v>
      </c>
      <c r="P18" s="164">
        <f t="shared" si="2"/>
        <v>0</v>
      </c>
      <c r="Q18" s="189"/>
      <c r="R18" s="166">
        <v>-34</v>
      </c>
      <c r="S18" s="165">
        <v>-34</v>
      </c>
      <c r="T18" s="164">
        <f t="shared" si="3"/>
        <v>0</v>
      </c>
      <c r="U18" s="189"/>
      <c r="V18" s="166">
        <v>-34</v>
      </c>
      <c r="W18" s="165">
        <v>-34</v>
      </c>
      <c r="X18" s="164">
        <f t="shared" si="4"/>
        <v>0</v>
      </c>
      <c r="Y18" s="189"/>
    </row>
    <row r="19" spans="3:25" ht="16">
      <c r="C19" s="440"/>
      <c r="D19" s="443"/>
      <c r="E19" s="211" t="s">
        <v>122</v>
      </c>
      <c r="F19" s="166">
        <v>-34</v>
      </c>
      <c r="G19" s="165">
        <v>-34</v>
      </c>
      <c r="H19" s="164">
        <f t="shared" si="0"/>
        <v>0</v>
      </c>
      <c r="I19" s="189"/>
      <c r="J19" s="166">
        <v>-34</v>
      </c>
      <c r="K19" s="165">
        <v>-34</v>
      </c>
      <c r="L19" s="164">
        <f t="shared" si="1"/>
        <v>0</v>
      </c>
      <c r="M19" s="189"/>
      <c r="N19" s="166">
        <v>-34</v>
      </c>
      <c r="O19" s="165">
        <v>-34</v>
      </c>
      <c r="P19" s="164">
        <f t="shared" si="2"/>
        <v>0</v>
      </c>
      <c r="Q19" s="189"/>
      <c r="R19" s="166">
        <v>-34</v>
      </c>
      <c r="S19" s="165">
        <v>-34</v>
      </c>
      <c r="T19" s="164">
        <f t="shared" si="3"/>
        <v>0</v>
      </c>
      <c r="U19" s="189"/>
      <c r="V19" s="166">
        <v>-34</v>
      </c>
      <c r="W19" s="165">
        <v>-34</v>
      </c>
      <c r="X19" s="164">
        <f t="shared" si="4"/>
        <v>0</v>
      </c>
      <c r="Y19" s="189"/>
    </row>
    <row r="20" spans="3:25" ht="16">
      <c r="C20" s="440"/>
      <c r="D20" s="442"/>
      <c r="E20" s="211" t="s">
        <v>121</v>
      </c>
      <c r="F20" s="166">
        <v>-34</v>
      </c>
      <c r="G20" s="165">
        <v>-34</v>
      </c>
      <c r="H20" s="164">
        <f t="shared" si="0"/>
        <v>0</v>
      </c>
      <c r="I20" s="189"/>
      <c r="J20" s="166">
        <v>-34</v>
      </c>
      <c r="K20" s="165">
        <v>-34</v>
      </c>
      <c r="L20" s="164">
        <f t="shared" si="1"/>
        <v>0</v>
      </c>
      <c r="M20" s="189"/>
      <c r="N20" s="166">
        <v>-34</v>
      </c>
      <c r="O20" s="165">
        <v>-34</v>
      </c>
      <c r="P20" s="164">
        <f t="shared" si="2"/>
        <v>0</v>
      </c>
      <c r="Q20" s="189"/>
      <c r="R20" s="166">
        <v>-34</v>
      </c>
      <c r="S20" s="165">
        <v>-34</v>
      </c>
      <c r="T20" s="164">
        <f t="shared" si="3"/>
        <v>0</v>
      </c>
      <c r="U20" s="189"/>
      <c r="V20" s="166">
        <v>-34</v>
      </c>
      <c r="W20" s="165">
        <v>-34</v>
      </c>
      <c r="X20" s="164">
        <f t="shared" si="4"/>
        <v>0</v>
      </c>
      <c r="Y20" s="189"/>
    </row>
    <row r="21" spans="3:25" ht="16.5" thickBot="1">
      <c r="C21" s="441"/>
      <c r="D21" s="427" t="s">
        <v>101</v>
      </c>
      <c r="E21" s="428"/>
      <c r="F21" s="188">
        <f>SUM(F13:F20)</f>
        <v>-253.2</v>
      </c>
      <c r="G21" s="187">
        <f>SUM(G13:G20)</f>
        <v>-227.1</v>
      </c>
      <c r="H21" s="187">
        <f>SUM(H13:H20)</f>
        <v>26.1</v>
      </c>
      <c r="I21" s="186" t="s">
        <v>159</v>
      </c>
      <c r="J21" s="188">
        <f>SUM(J13:J20)</f>
        <v>-253.2</v>
      </c>
      <c r="K21" s="187">
        <f>SUM(K13:K20)</f>
        <v>-227.1</v>
      </c>
      <c r="L21" s="187">
        <f>SUM(L13:L20)</f>
        <v>26.1</v>
      </c>
      <c r="M21" s="186" t="s">
        <v>159</v>
      </c>
      <c r="N21" s="188">
        <f>SUM(N13:N20)</f>
        <v>-253.2</v>
      </c>
      <c r="O21" s="187">
        <f>SUM(O13:O20)</f>
        <v>-227.1</v>
      </c>
      <c r="P21" s="187">
        <f>SUM(P13:P20)</f>
        <v>26.1</v>
      </c>
      <c r="Q21" s="186" t="s">
        <v>159</v>
      </c>
      <c r="R21" s="188">
        <f>SUM(R13:R20)</f>
        <v>-253.2</v>
      </c>
      <c r="S21" s="187">
        <f>SUM(S13:S20)</f>
        <v>-227.1</v>
      </c>
      <c r="T21" s="187">
        <f>SUM(T13:T20)</f>
        <v>26.1</v>
      </c>
      <c r="U21" s="186" t="s">
        <v>159</v>
      </c>
      <c r="V21" s="188">
        <f>SUM(V13:V20)</f>
        <v>-253.2</v>
      </c>
      <c r="W21" s="187">
        <f>SUM(W13:W20)</f>
        <v>-227.1</v>
      </c>
      <c r="X21" s="187">
        <f>SUM(X13:X20)</f>
        <v>26.1</v>
      </c>
      <c r="Y21" s="186" t="s">
        <v>159</v>
      </c>
    </row>
    <row r="22" spans="3:25" ht="15.5" thickBot="1">
      <c r="C22" s="227"/>
      <c r="D22" s="174"/>
      <c r="E22" s="174"/>
      <c r="F22" s="174"/>
      <c r="G22" s="174"/>
      <c r="H22" s="174"/>
      <c r="I22" s="175"/>
      <c r="J22" s="174"/>
      <c r="K22" s="174"/>
      <c r="L22" s="174"/>
      <c r="M22" s="175"/>
      <c r="N22" s="174"/>
      <c r="O22" s="174"/>
      <c r="P22" s="174"/>
      <c r="Q22" s="175"/>
      <c r="R22" s="174"/>
      <c r="S22" s="174"/>
      <c r="T22" s="174"/>
      <c r="U22" s="175"/>
      <c r="V22" s="174"/>
      <c r="W22" s="174"/>
      <c r="X22" s="174"/>
      <c r="Y22" s="175"/>
    </row>
    <row r="23" spans="3:25" ht="16.5" thickBot="1">
      <c r="C23" s="429" t="s">
        <v>120</v>
      </c>
      <c r="D23" s="430"/>
      <c r="E23" s="431"/>
      <c r="F23" s="432"/>
      <c r="G23" s="433"/>
      <c r="H23" s="433"/>
      <c r="I23" s="434"/>
      <c r="J23" s="432"/>
      <c r="K23" s="433"/>
      <c r="L23" s="433"/>
      <c r="M23" s="434"/>
      <c r="N23" s="432"/>
      <c r="O23" s="433"/>
      <c r="P23" s="433"/>
      <c r="Q23" s="434"/>
      <c r="R23" s="432"/>
      <c r="S23" s="433"/>
      <c r="T23" s="433"/>
      <c r="U23" s="434"/>
      <c r="V23" s="432"/>
      <c r="W23" s="433"/>
      <c r="X23" s="433"/>
      <c r="Y23" s="434"/>
    </row>
    <row r="24" spans="3:25" ht="16">
      <c r="C24" s="444" t="s">
        <v>175</v>
      </c>
      <c r="D24" s="445"/>
      <c r="E24" s="448" t="s">
        <v>118</v>
      </c>
      <c r="F24" s="210" t="s">
        <v>174</v>
      </c>
      <c r="G24" s="181" t="s">
        <v>162</v>
      </c>
      <c r="H24" s="180" t="s">
        <v>161</v>
      </c>
      <c r="I24" s="179" t="s">
        <v>166</v>
      </c>
      <c r="J24" s="210" t="s">
        <v>174</v>
      </c>
      <c r="K24" s="181" t="s">
        <v>162</v>
      </c>
      <c r="L24" s="180" t="s">
        <v>161</v>
      </c>
      <c r="M24" s="179" t="s">
        <v>166</v>
      </c>
      <c r="N24" s="210" t="s">
        <v>174</v>
      </c>
      <c r="O24" s="181" t="s">
        <v>162</v>
      </c>
      <c r="P24" s="180" t="s">
        <v>161</v>
      </c>
      <c r="Q24" s="179" t="s">
        <v>166</v>
      </c>
      <c r="R24" s="210" t="s">
        <v>174</v>
      </c>
      <c r="S24" s="181" t="s">
        <v>162</v>
      </c>
      <c r="T24" s="180" t="s">
        <v>161</v>
      </c>
      <c r="U24" s="179" t="s">
        <v>166</v>
      </c>
      <c r="V24" s="210" t="s">
        <v>174</v>
      </c>
      <c r="W24" s="181" t="s">
        <v>162</v>
      </c>
      <c r="X24" s="180" t="s">
        <v>161</v>
      </c>
      <c r="Y24" s="179" t="s">
        <v>166</v>
      </c>
    </row>
    <row r="25" spans="3:25" ht="16.5" thickBot="1">
      <c r="C25" s="446"/>
      <c r="D25" s="447"/>
      <c r="E25" s="449"/>
      <c r="F25" s="209">
        <v>-5</v>
      </c>
      <c r="G25" s="208">
        <v>-4.5</v>
      </c>
      <c r="H25" s="207">
        <f>SUM(G25,-F25)</f>
        <v>0.5</v>
      </c>
      <c r="I25" s="206" t="s">
        <v>173</v>
      </c>
      <c r="J25" s="209">
        <v>-5</v>
      </c>
      <c r="K25" s="208">
        <v>-4.5</v>
      </c>
      <c r="L25" s="207">
        <f>SUM(K25,-J25)</f>
        <v>0.5</v>
      </c>
      <c r="M25" s="206" t="s">
        <v>173</v>
      </c>
      <c r="N25" s="209">
        <v>-5</v>
      </c>
      <c r="O25" s="208">
        <v>-4.5</v>
      </c>
      <c r="P25" s="207">
        <f>SUM(O25,-N25)</f>
        <v>0.5</v>
      </c>
      <c r="Q25" s="206" t="s">
        <v>173</v>
      </c>
      <c r="R25" s="209">
        <v>-5</v>
      </c>
      <c r="S25" s="208">
        <v>-4.5</v>
      </c>
      <c r="T25" s="207">
        <f>SUM(S25,-R25)</f>
        <v>0.5</v>
      </c>
      <c r="U25" s="206" t="s">
        <v>173</v>
      </c>
      <c r="V25" s="209">
        <v>-5</v>
      </c>
      <c r="W25" s="208">
        <v>-4.5</v>
      </c>
      <c r="X25" s="207">
        <f>SUM(W25,-V25)</f>
        <v>0.5</v>
      </c>
      <c r="Y25" s="206" t="s">
        <v>173</v>
      </c>
    </row>
    <row r="26" spans="3:25" ht="15.5" thickBot="1">
      <c r="C26" s="227"/>
      <c r="D26" s="174"/>
      <c r="E26" s="174"/>
      <c r="F26" s="174"/>
      <c r="G26" s="174"/>
      <c r="H26" s="174"/>
      <c r="I26" s="175"/>
      <c r="J26" s="174"/>
      <c r="K26" s="174"/>
      <c r="L26" s="174"/>
      <c r="M26" s="175"/>
      <c r="N26" s="174"/>
      <c r="O26" s="174"/>
      <c r="P26" s="174"/>
      <c r="Q26" s="175"/>
      <c r="R26" s="174"/>
      <c r="S26" s="174"/>
      <c r="T26" s="174"/>
      <c r="U26" s="175"/>
      <c r="V26" s="174"/>
      <c r="W26" s="174"/>
      <c r="X26" s="174"/>
      <c r="Y26" s="175"/>
    </row>
    <row r="27" spans="3:25" ht="16.5" thickBot="1">
      <c r="C27" s="429" t="s">
        <v>116</v>
      </c>
      <c r="D27" s="430"/>
      <c r="E27" s="431"/>
      <c r="F27" s="432"/>
      <c r="G27" s="433"/>
      <c r="H27" s="433"/>
      <c r="I27" s="434"/>
      <c r="J27" s="432"/>
      <c r="K27" s="433"/>
      <c r="L27" s="433"/>
      <c r="M27" s="434"/>
      <c r="N27" s="432"/>
      <c r="O27" s="433"/>
      <c r="P27" s="433"/>
      <c r="Q27" s="434"/>
      <c r="R27" s="432"/>
      <c r="S27" s="433"/>
      <c r="T27" s="433"/>
      <c r="U27" s="434"/>
      <c r="V27" s="432"/>
      <c r="W27" s="433"/>
      <c r="X27" s="433"/>
      <c r="Y27" s="434"/>
    </row>
    <row r="28" spans="3:25" ht="27" customHeight="1">
      <c r="C28" s="450" t="s">
        <v>115</v>
      </c>
      <c r="D28" s="205" t="s">
        <v>114</v>
      </c>
      <c r="E28" s="204" t="s">
        <v>113</v>
      </c>
      <c r="F28" s="203" t="s">
        <v>172</v>
      </c>
      <c r="G28" s="181" t="s">
        <v>162</v>
      </c>
      <c r="H28" s="180" t="s">
        <v>161</v>
      </c>
      <c r="I28" s="179" t="s">
        <v>166</v>
      </c>
      <c r="J28" s="203" t="s">
        <v>172</v>
      </c>
      <c r="K28" s="181" t="s">
        <v>162</v>
      </c>
      <c r="L28" s="180" t="s">
        <v>161</v>
      </c>
      <c r="M28" s="179" t="s">
        <v>166</v>
      </c>
      <c r="N28" s="203" t="s">
        <v>172</v>
      </c>
      <c r="O28" s="181" t="s">
        <v>162</v>
      </c>
      <c r="P28" s="180" t="s">
        <v>161</v>
      </c>
      <c r="Q28" s="179" t="s">
        <v>166</v>
      </c>
      <c r="R28" s="203" t="s">
        <v>172</v>
      </c>
      <c r="S28" s="181" t="s">
        <v>162</v>
      </c>
      <c r="T28" s="180" t="s">
        <v>161</v>
      </c>
      <c r="U28" s="179" t="s">
        <v>166</v>
      </c>
      <c r="V28" s="203" t="s">
        <v>172</v>
      </c>
      <c r="W28" s="181" t="s">
        <v>162</v>
      </c>
      <c r="X28" s="180" t="s">
        <v>161</v>
      </c>
      <c r="Y28" s="179" t="s">
        <v>166</v>
      </c>
    </row>
    <row r="29" spans="3:25" ht="16">
      <c r="C29" s="451"/>
      <c r="D29" s="425" t="s">
        <v>111</v>
      </c>
      <c r="E29" s="453" t="s">
        <v>110</v>
      </c>
      <c r="F29" s="200">
        <v>43.8</v>
      </c>
      <c r="G29" s="455">
        <v>43.8</v>
      </c>
      <c r="H29" s="457">
        <f>SUM(G29,-F29)</f>
        <v>0</v>
      </c>
      <c r="I29" s="459"/>
      <c r="J29" s="200">
        <v>43.8</v>
      </c>
      <c r="K29" s="455">
        <v>43.8</v>
      </c>
      <c r="L29" s="457">
        <f>SUM(K29,-J29)</f>
        <v>0</v>
      </c>
      <c r="M29" s="459"/>
      <c r="N29" s="200">
        <v>43.8</v>
      </c>
      <c r="O29" s="455">
        <v>43.8</v>
      </c>
      <c r="P29" s="457">
        <f>SUM(O29,-N29)</f>
        <v>0</v>
      </c>
      <c r="Q29" s="459"/>
      <c r="R29" s="200">
        <v>43.8</v>
      </c>
      <c r="S29" s="455">
        <v>43.8</v>
      </c>
      <c r="T29" s="457">
        <f>SUM(S29,-R29)</f>
        <v>0</v>
      </c>
      <c r="U29" s="459"/>
      <c r="V29" s="200">
        <v>43.8</v>
      </c>
      <c r="W29" s="455">
        <v>43.8</v>
      </c>
      <c r="X29" s="457">
        <f>SUM(W29,-V29)</f>
        <v>0</v>
      </c>
      <c r="Y29" s="459"/>
    </row>
    <row r="30" spans="3:25" ht="16">
      <c r="C30" s="451"/>
      <c r="D30" s="443"/>
      <c r="E30" s="454"/>
      <c r="F30" s="202">
        <v>0.47</v>
      </c>
      <c r="G30" s="456">
        <v>0</v>
      </c>
      <c r="H30" s="458"/>
      <c r="I30" s="460"/>
      <c r="J30" s="202">
        <v>0.47</v>
      </c>
      <c r="K30" s="456">
        <v>0</v>
      </c>
      <c r="L30" s="458"/>
      <c r="M30" s="460"/>
      <c r="N30" s="202">
        <v>0.47</v>
      </c>
      <c r="O30" s="456">
        <v>0</v>
      </c>
      <c r="P30" s="458"/>
      <c r="Q30" s="460"/>
      <c r="R30" s="202">
        <v>0.47</v>
      </c>
      <c r="S30" s="456">
        <v>0</v>
      </c>
      <c r="T30" s="458"/>
      <c r="U30" s="460"/>
      <c r="V30" s="202">
        <v>0.47</v>
      </c>
      <c r="W30" s="456">
        <v>0</v>
      </c>
      <c r="X30" s="458"/>
      <c r="Y30" s="460"/>
    </row>
    <row r="31" spans="3:25" ht="16">
      <c r="C31" s="451"/>
      <c r="D31" s="443"/>
      <c r="E31" s="453" t="s">
        <v>109</v>
      </c>
      <c r="F31" s="200">
        <v>54.4</v>
      </c>
      <c r="G31" s="455">
        <v>66.2</v>
      </c>
      <c r="H31" s="457">
        <f>SUM(G31,-F31)</f>
        <v>11.800000000000004</v>
      </c>
      <c r="I31" s="459" t="s">
        <v>151</v>
      </c>
      <c r="J31" s="200">
        <v>54.4</v>
      </c>
      <c r="K31" s="455">
        <v>121.7</v>
      </c>
      <c r="L31" s="457">
        <f>SUM(K31,-J31)</f>
        <v>67.300000000000011</v>
      </c>
      <c r="M31" s="459" t="s">
        <v>149</v>
      </c>
      <c r="N31" s="200">
        <v>27.2</v>
      </c>
      <c r="O31" s="455">
        <v>27.2</v>
      </c>
      <c r="P31" s="457">
        <f>SUM(O31,-N31)</f>
        <v>0</v>
      </c>
      <c r="Q31" s="459"/>
      <c r="R31" s="200">
        <v>27.2</v>
      </c>
      <c r="S31" s="455">
        <v>28.2</v>
      </c>
      <c r="T31" s="457">
        <f>SUM(S31,-R31)</f>
        <v>1</v>
      </c>
      <c r="U31" s="459" t="s">
        <v>151</v>
      </c>
      <c r="V31" s="200">
        <v>54.4</v>
      </c>
      <c r="W31" s="455">
        <v>37.700000000000003</v>
      </c>
      <c r="X31" s="457">
        <f>SUM(W31,-V31)</f>
        <v>-16.699999999999996</v>
      </c>
      <c r="Y31" s="459" t="s">
        <v>149</v>
      </c>
    </row>
    <row r="32" spans="3:25" ht="16">
      <c r="C32" s="451"/>
      <c r="D32" s="442"/>
      <c r="E32" s="454"/>
      <c r="F32" s="202">
        <v>0.28999999999999998</v>
      </c>
      <c r="G32" s="456">
        <v>0</v>
      </c>
      <c r="H32" s="458"/>
      <c r="I32" s="460"/>
      <c r="J32" s="202">
        <v>0.28999999999999998</v>
      </c>
      <c r="K32" s="456">
        <v>0</v>
      </c>
      <c r="L32" s="458"/>
      <c r="M32" s="460"/>
      <c r="N32" s="202">
        <v>0.28999999999999998</v>
      </c>
      <c r="O32" s="456">
        <v>0</v>
      </c>
      <c r="P32" s="458"/>
      <c r="Q32" s="460"/>
      <c r="R32" s="202">
        <v>0.28999999999999998</v>
      </c>
      <c r="S32" s="456">
        <v>0</v>
      </c>
      <c r="T32" s="458"/>
      <c r="U32" s="460"/>
      <c r="V32" s="202">
        <v>0.28999999999999998</v>
      </c>
      <c r="W32" s="456">
        <v>0</v>
      </c>
      <c r="X32" s="458"/>
      <c r="Y32" s="460"/>
    </row>
    <row r="33" spans="3:25" ht="16">
      <c r="C33" s="451"/>
      <c r="D33" s="466" t="s">
        <v>107</v>
      </c>
      <c r="E33" s="201" t="s">
        <v>106</v>
      </c>
      <c r="F33" s="200">
        <v>25.5</v>
      </c>
      <c r="G33" s="199">
        <v>32.700000000000003</v>
      </c>
      <c r="H33" s="457">
        <f>SUM(G33,-F33)</f>
        <v>7.2000000000000028</v>
      </c>
      <c r="I33" s="459"/>
      <c r="J33" s="200">
        <v>25.5</v>
      </c>
      <c r="K33" s="199">
        <v>33.6</v>
      </c>
      <c r="L33" s="457">
        <f>SUM(K33,-J33)</f>
        <v>8.1000000000000014</v>
      </c>
      <c r="M33" s="459"/>
      <c r="N33" s="200">
        <v>25.5</v>
      </c>
      <c r="O33" s="199">
        <v>17.3</v>
      </c>
      <c r="P33" s="457">
        <f>SUM(O33,-N33)</f>
        <v>-8.1999999999999993</v>
      </c>
      <c r="Q33" s="459" t="s">
        <v>149</v>
      </c>
      <c r="R33" s="200">
        <v>25.5</v>
      </c>
      <c r="S33" s="199">
        <v>18.100000000000001</v>
      </c>
      <c r="T33" s="457">
        <f>SUM(S33,-R33)</f>
        <v>-7.3999999999999986</v>
      </c>
      <c r="U33" s="459" t="s">
        <v>149</v>
      </c>
      <c r="V33" s="200">
        <v>25.5</v>
      </c>
      <c r="W33" s="199">
        <v>34.4</v>
      </c>
      <c r="X33" s="457">
        <f>SUM(W33,-V33)</f>
        <v>8.8999999999999986</v>
      </c>
      <c r="Y33" s="459" t="s">
        <v>145</v>
      </c>
    </row>
    <row r="34" spans="3:25" ht="16">
      <c r="C34" s="451"/>
      <c r="D34" s="467"/>
      <c r="E34" s="463" t="s">
        <v>104</v>
      </c>
      <c r="F34" s="198">
        <v>0.19</v>
      </c>
      <c r="G34" s="230">
        <v>25</v>
      </c>
      <c r="H34" s="458"/>
      <c r="I34" s="460"/>
      <c r="J34" s="198">
        <v>0.19</v>
      </c>
      <c r="K34" s="230">
        <v>25</v>
      </c>
      <c r="L34" s="458"/>
      <c r="M34" s="460"/>
      <c r="N34" s="198">
        <v>0.19</v>
      </c>
      <c r="O34" s="230">
        <v>13</v>
      </c>
      <c r="P34" s="458"/>
      <c r="Q34" s="460"/>
      <c r="R34" s="198">
        <v>0.19</v>
      </c>
      <c r="S34" s="230">
        <v>14</v>
      </c>
      <c r="T34" s="458"/>
      <c r="U34" s="460"/>
      <c r="V34" s="198">
        <v>0.19</v>
      </c>
      <c r="W34" s="230">
        <v>26</v>
      </c>
      <c r="X34" s="458"/>
      <c r="Y34" s="460"/>
    </row>
    <row r="35" spans="3:25" ht="13.5" customHeight="1">
      <c r="C35" s="451"/>
      <c r="D35" s="468"/>
      <c r="E35" s="464"/>
      <c r="F35" s="196">
        <v>49.2</v>
      </c>
      <c r="G35" s="195"/>
      <c r="H35" s="195"/>
      <c r="I35" s="194"/>
      <c r="J35" s="196">
        <v>49.2</v>
      </c>
      <c r="K35" s="195"/>
      <c r="L35" s="195"/>
      <c r="M35" s="194"/>
      <c r="N35" s="196">
        <v>49.2</v>
      </c>
      <c r="O35" s="195"/>
      <c r="P35" s="195"/>
      <c r="Q35" s="194"/>
      <c r="R35" s="196">
        <v>49.2</v>
      </c>
      <c r="S35" s="195"/>
      <c r="T35" s="195"/>
      <c r="U35" s="194"/>
      <c r="V35" s="196">
        <v>49.2</v>
      </c>
      <c r="W35" s="195"/>
      <c r="X35" s="195"/>
      <c r="Y35" s="194"/>
    </row>
    <row r="36" spans="3:25" ht="16">
      <c r="C36" s="451"/>
      <c r="D36" s="468"/>
      <c r="E36" s="465"/>
      <c r="F36" s="193">
        <v>0.25</v>
      </c>
      <c r="G36" s="192"/>
      <c r="H36" s="192"/>
      <c r="I36" s="191"/>
      <c r="J36" s="193">
        <v>0.25</v>
      </c>
      <c r="K36" s="192"/>
      <c r="L36" s="192"/>
      <c r="M36" s="191"/>
      <c r="N36" s="193">
        <v>0.25</v>
      </c>
      <c r="O36" s="192"/>
      <c r="P36" s="192"/>
      <c r="Q36" s="191"/>
      <c r="R36" s="193">
        <v>0.25</v>
      </c>
      <c r="S36" s="192"/>
      <c r="T36" s="192"/>
      <c r="U36" s="191"/>
      <c r="V36" s="193">
        <v>0.25</v>
      </c>
      <c r="W36" s="192"/>
      <c r="X36" s="192"/>
      <c r="Y36" s="191"/>
    </row>
    <row r="37" spans="3:25" ht="16">
      <c r="C37" s="451"/>
      <c r="D37" s="467"/>
      <c r="E37" s="190" t="s">
        <v>103</v>
      </c>
      <c r="F37" s="166">
        <v>10</v>
      </c>
      <c r="G37" s="165">
        <v>0.4</v>
      </c>
      <c r="H37" s="164">
        <f>SUM(G37,-F37)</f>
        <v>-9.6</v>
      </c>
      <c r="I37" s="189" t="s">
        <v>147</v>
      </c>
      <c r="J37" s="166">
        <v>10</v>
      </c>
      <c r="K37" s="165">
        <v>0.4</v>
      </c>
      <c r="L37" s="164">
        <f>SUM(K37,-J37)</f>
        <v>-9.6</v>
      </c>
      <c r="M37" s="189" t="s">
        <v>147</v>
      </c>
      <c r="N37" s="166">
        <v>10</v>
      </c>
      <c r="O37" s="165">
        <v>0.5</v>
      </c>
      <c r="P37" s="164">
        <f>SUM(O37,-N37)</f>
        <v>-9.5</v>
      </c>
      <c r="Q37" s="189" t="s">
        <v>147</v>
      </c>
      <c r="R37" s="166">
        <v>10</v>
      </c>
      <c r="S37" s="165">
        <v>0.49999999999999856</v>
      </c>
      <c r="T37" s="164">
        <f>SUM(S37,-R37)</f>
        <v>-9.5000000000000018</v>
      </c>
      <c r="U37" s="189" t="s">
        <v>147</v>
      </c>
      <c r="V37" s="166">
        <v>10</v>
      </c>
      <c r="W37" s="165">
        <v>0.49999999999999856</v>
      </c>
      <c r="X37" s="164">
        <f>SUM(W37,-V37)</f>
        <v>-9.5000000000000018</v>
      </c>
      <c r="Y37" s="189" t="s">
        <v>147</v>
      </c>
    </row>
    <row r="38" spans="3:25" ht="16.5" thickBot="1">
      <c r="C38" s="452"/>
      <c r="D38" s="427" t="s">
        <v>101</v>
      </c>
      <c r="E38" s="428"/>
      <c r="F38" s="188">
        <f>SUM(F29,F31,F33,F37)</f>
        <v>133.69999999999999</v>
      </c>
      <c r="G38" s="187">
        <f>SUM(G29:G33,G37)</f>
        <v>143.1</v>
      </c>
      <c r="H38" s="187">
        <f>SUM(H29:H34,H37)</f>
        <v>9.4000000000000075</v>
      </c>
      <c r="I38" s="186"/>
      <c r="J38" s="188">
        <f>SUM(J29,J31,J33,J37)</f>
        <v>133.69999999999999</v>
      </c>
      <c r="K38" s="187">
        <f>SUM(K29:K33,K37)</f>
        <v>199.5</v>
      </c>
      <c r="L38" s="187">
        <f>SUM(L29:L34,L37)</f>
        <v>65.800000000000011</v>
      </c>
      <c r="M38" s="186"/>
      <c r="N38" s="188">
        <f>SUM(N29,N31,N33,N37)</f>
        <v>106.5</v>
      </c>
      <c r="O38" s="187">
        <f>SUM(O29:O33,O37)</f>
        <v>88.8</v>
      </c>
      <c r="P38" s="187">
        <f>SUM(P29:P34,P37)</f>
        <v>-17.7</v>
      </c>
      <c r="Q38" s="186"/>
      <c r="R38" s="188">
        <f>SUM(R29,R31,R33,R37)</f>
        <v>106.5</v>
      </c>
      <c r="S38" s="187">
        <f>SUM(S29:S33,S37)</f>
        <v>90.6</v>
      </c>
      <c r="T38" s="187">
        <f>SUM(T29:T34,T37)</f>
        <v>-15.9</v>
      </c>
      <c r="U38" s="186"/>
      <c r="V38" s="188">
        <f>SUM(V29,V31,V33,V37)</f>
        <v>133.69999999999999</v>
      </c>
      <c r="W38" s="187">
        <f>SUM(W29:W33,W37)</f>
        <v>116.4</v>
      </c>
      <c r="X38" s="187">
        <f>SUM(X29:X34,X37)</f>
        <v>-17.299999999999997</v>
      </c>
      <c r="Y38" s="186"/>
    </row>
    <row r="39" spans="3:25" ht="15.5" thickBot="1">
      <c r="C39" s="227"/>
      <c r="D39" s="174"/>
      <c r="E39" s="174"/>
      <c r="F39" s="174"/>
      <c r="G39" s="174"/>
      <c r="H39" s="174"/>
      <c r="I39" s="175"/>
      <c r="J39" s="174"/>
      <c r="K39" s="174"/>
      <c r="L39" s="174"/>
      <c r="M39" s="175"/>
      <c r="N39" s="174"/>
      <c r="O39" s="174"/>
      <c r="P39" s="174"/>
      <c r="Q39" s="175"/>
      <c r="R39" s="174"/>
      <c r="S39" s="174"/>
      <c r="T39" s="174"/>
      <c r="U39" s="175"/>
      <c r="V39" s="174"/>
      <c r="W39" s="174"/>
      <c r="X39" s="174"/>
      <c r="Y39" s="175"/>
    </row>
    <row r="40" spans="3:25" ht="16.5" thickBot="1">
      <c r="C40" s="429" t="s">
        <v>100</v>
      </c>
      <c r="D40" s="430"/>
      <c r="E40" s="431"/>
      <c r="F40" s="469"/>
      <c r="G40" s="470"/>
      <c r="H40" s="470"/>
      <c r="I40" s="471"/>
      <c r="J40" s="469"/>
      <c r="K40" s="470"/>
      <c r="L40" s="470"/>
      <c r="M40" s="471"/>
      <c r="N40" s="469"/>
      <c r="O40" s="470"/>
      <c r="P40" s="470"/>
      <c r="Q40" s="471"/>
      <c r="R40" s="469"/>
      <c r="S40" s="470"/>
      <c r="T40" s="470"/>
      <c r="U40" s="471"/>
      <c r="V40" s="469"/>
      <c r="W40" s="470"/>
      <c r="X40" s="470"/>
      <c r="Y40" s="471"/>
    </row>
    <row r="41" spans="3:25" ht="42" customHeight="1">
      <c r="C41" s="473" t="s">
        <v>99</v>
      </c>
      <c r="D41" s="445"/>
      <c r="E41" s="185" t="s">
        <v>98</v>
      </c>
      <c r="F41" s="184" t="s">
        <v>168</v>
      </c>
      <c r="G41" s="181" t="s">
        <v>162</v>
      </c>
      <c r="H41" s="180" t="s">
        <v>161</v>
      </c>
      <c r="I41" s="179" t="s">
        <v>166</v>
      </c>
      <c r="J41" s="184" t="s">
        <v>168</v>
      </c>
      <c r="K41" s="181" t="s">
        <v>162</v>
      </c>
      <c r="L41" s="180" t="s">
        <v>161</v>
      </c>
      <c r="M41" s="179" t="s">
        <v>166</v>
      </c>
      <c r="N41" s="184" t="s">
        <v>168</v>
      </c>
      <c r="O41" s="181" t="s">
        <v>162</v>
      </c>
      <c r="P41" s="180" t="s">
        <v>161</v>
      </c>
      <c r="Q41" s="179" t="s">
        <v>166</v>
      </c>
      <c r="R41" s="184" t="s">
        <v>168</v>
      </c>
      <c r="S41" s="181" t="s">
        <v>162</v>
      </c>
      <c r="T41" s="180" t="s">
        <v>161</v>
      </c>
      <c r="U41" s="179" t="s">
        <v>166</v>
      </c>
      <c r="V41" s="184" t="s">
        <v>168</v>
      </c>
      <c r="W41" s="181" t="s">
        <v>162</v>
      </c>
      <c r="X41" s="180" t="s">
        <v>161</v>
      </c>
      <c r="Y41" s="179" t="s">
        <v>166</v>
      </c>
    </row>
    <row r="42" spans="3:25" ht="16.5" customHeight="1">
      <c r="C42" s="444"/>
      <c r="D42" s="445"/>
      <c r="E42" s="476" t="s">
        <v>96</v>
      </c>
      <c r="F42" s="178">
        <v>10.9</v>
      </c>
      <c r="G42" s="478">
        <v>0</v>
      </c>
      <c r="H42" s="457">
        <f>SUM(G42,-F42)</f>
        <v>-10.9</v>
      </c>
      <c r="I42" s="459" t="s">
        <v>183</v>
      </c>
      <c r="J42" s="178">
        <v>0</v>
      </c>
      <c r="K42" s="478">
        <v>0</v>
      </c>
      <c r="L42" s="457">
        <f>SUM(K42,-J42)</f>
        <v>0</v>
      </c>
      <c r="M42" s="459"/>
      <c r="N42" s="178">
        <v>0</v>
      </c>
      <c r="O42" s="478">
        <v>0</v>
      </c>
      <c r="P42" s="457">
        <f>SUM(O42,-N42)</f>
        <v>0</v>
      </c>
      <c r="Q42" s="459"/>
      <c r="R42" s="178">
        <v>0</v>
      </c>
      <c r="S42" s="478">
        <v>0</v>
      </c>
      <c r="T42" s="457">
        <f>SUM(S42,-R42)</f>
        <v>0</v>
      </c>
      <c r="U42" s="459"/>
      <c r="V42" s="178">
        <v>0</v>
      </c>
      <c r="W42" s="478">
        <v>0</v>
      </c>
      <c r="X42" s="457">
        <f>SUM(W42,-V42)</f>
        <v>0</v>
      </c>
      <c r="Y42" s="459"/>
    </row>
    <row r="43" spans="3:25" ht="16.5" thickBot="1">
      <c r="C43" s="474"/>
      <c r="D43" s="475"/>
      <c r="E43" s="477"/>
      <c r="F43" s="183">
        <v>236</v>
      </c>
      <c r="G43" s="479"/>
      <c r="H43" s="480"/>
      <c r="I43" s="481"/>
      <c r="J43" s="183">
        <v>236</v>
      </c>
      <c r="K43" s="479"/>
      <c r="L43" s="480"/>
      <c r="M43" s="481"/>
      <c r="N43" s="183">
        <v>188</v>
      </c>
      <c r="O43" s="479"/>
      <c r="P43" s="480"/>
      <c r="Q43" s="481"/>
      <c r="R43" s="183">
        <v>190</v>
      </c>
      <c r="S43" s="479"/>
      <c r="T43" s="480"/>
      <c r="U43" s="481"/>
      <c r="V43" s="183">
        <v>207.6</v>
      </c>
      <c r="W43" s="479"/>
      <c r="X43" s="480"/>
      <c r="Y43" s="481"/>
    </row>
    <row r="44" spans="3:25" ht="15.5" thickBot="1">
      <c r="C44" s="227"/>
      <c r="D44" s="174"/>
      <c r="E44" s="174"/>
      <c r="F44" s="174"/>
      <c r="G44" s="174"/>
      <c r="H44" s="174"/>
      <c r="I44" s="175"/>
      <c r="J44" s="174"/>
      <c r="K44" s="174"/>
      <c r="L44" s="174"/>
      <c r="M44" s="175"/>
      <c r="N44" s="174"/>
      <c r="O44" s="174"/>
      <c r="P44" s="174"/>
      <c r="Q44" s="175"/>
      <c r="R44" s="174"/>
      <c r="S44" s="174"/>
      <c r="T44" s="174"/>
      <c r="U44" s="175"/>
      <c r="V44" s="174"/>
      <c r="W44" s="174"/>
      <c r="X44" s="174"/>
      <c r="Y44" s="175"/>
    </row>
    <row r="45" spans="3:25" ht="16.5" thickBot="1">
      <c r="C45" s="429" t="s">
        <v>94</v>
      </c>
      <c r="D45" s="430"/>
      <c r="E45" s="431"/>
      <c r="F45" s="469"/>
      <c r="G45" s="470"/>
      <c r="H45" s="470"/>
      <c r="I45" s="471"/>
      <c r="J45" s="469"/>
      <c r="K45" s="470"/>
      <c r="L45" s="470"/>
      <c r="M45" s="471"/>
      <c r="N45" s="469"/>
      <c r="O45" s="470"/>
      <c r="P45" s="470"/>
      <c r="Q45" s="471"/>
      <c r="R45" s="469"/>
      <c r="S45" s="470"/>
      <c r="T45" s="470"/>
      <c r="U45" s="471"/>
      <c r="V45" s="469"/>
      <c r="W45" s="470"/>
      <c r="X45" s="470"/>
      <c r="Y45" s="471"/>
    </row>
    <row r="46" spans="3:25" ht="42.75" customHeight="1">
      <c r="C46" s="444" t="s">
        <v>1</v>
      </c>
      <c r="D46" s="483"/>
      <c r="E46" s="182" t="s">
        <v>88</v>
      </c>
      <c r="F46" s="171" t="s">
        <v>167</v>
      </c>
      <c r="G46" s="181" t="s">
        <v>162</v>
      </c>
      <c r="H46" s="180" t="s">
        <v>161</v>
      </c>
      <c r="I46" s="179" t="s">
        <v>166</v>
      </c>
      <c r="J46" s="171" t="s">
        <v>167</v>
      </c>
      <c r="K46" s="181" t="s">
        <v>162</v>
      </c>
      <c r="L46" s="180" t="s">
        <v>161</v>
      </c>
      <c r="M46" s="179" t="s">
        <v>166</v>
      </c>
      <c r="N46" s="171" t="s">
        <v>167</v>
      </c>
      <c r="O46" s="181" t="s">
        <v>162</v>
      </c>
      <c r="P46" s="180" t="s">
        <v>161</v>
      </c>
      <c r="Q46" s="179" t="s">
        <v>166</v>
      </c>
      <c r="R46" s="171" t="s">
        <v>167</v>
      </c>
      <c r="S46" s="181" t="s">
        <v>162</v>
      </c>
      <c r="T46" s="180" t="s">
        <v>161</v>
      </c>
      <c r="U46" s="179" t="s">
        <v>166</v>
      </c>
      <c r="V46" s="171" t="s">
        <v>167</v>
      </c>
      <c r="W46" s="181" t="s">
        <v>162</v>
      </c>
      <c r="X46" s="180" t="s">
        <v>161</v>
      </c>
      <c r="Y46" s="179" t="s">
        <v>166</v>
      </c>
    </row>
    <row r="47" spans="3:25" ht="16">
      <c r="C47" s="444"/>
      <c r="D47" s="483"/>
      <c r="E47" s="488" t="s">
        <v>91</v>
      </c>
      <c r="F47" s="178">
        <v>27.9</v>
      </c>
      <c r="G47" s="478">
        <v>30.2</v>
      </c>
      <c r="H47" s="457">
        <f>SUM(G47,-F47)</f>
        <v>2.3000000000000007</v>
      </c>
      <c r="I47" s="459" t="s">
        <v>149</v>
      </c>
      <c r="J47" s="178">
        <v>29.7</v>
      </c>
      <c r="K47" s="478">
        <v>30.2</v>
      </c>
      <c r="L47" s="457">
        <f>SUM(K47,-J47)</f>
        <v>0.5</v>
      </c>
      <c r="M47" s="459" t="s">
        <v>149</v>
      </c>
      <c r="N47" s="178">
        <v>27.9</v>
      </c>
      <c r="O47" s="478">
        <v>30.2</v>
      </c>
      <c r="P47" s="457">
        <f>SUM(O47,-N47)</f>
        <v>2.3000000000000007</v>
      </c>
      <c r="Q47" s="459" t="s">
        <v>149</v>
      </c>
      <c r="R47" s="178">
        <v>27.9</v>
      </c>
      <c r="S47" s="478">
        <v>30.2</v>
      </c>
      <c r="T47" s="457">
        <f>SUM(S47,-R47)</f>
        <v>2.3000000000000007</v>
      </c>
      <c r="U47" s="459" t="s">
        <v>149</v>
      </c>
      <c r="V47" s="178">
        <v>33.1</v>
      </c>
      <c r="W47" s="478">
        <v>30.2</v>
      </c>
      <c r="X47" s="457">
        <f>SUM(W47,-V47)</f>
        <v>-2.9000000000000021</v>
      </c>
      <c r="Y47" s="459" t="s">
        <v>149</v>
      </c>
    </row>
    <row r="48" spans="3:25" ht="16.5" thickBot="1">
      <c r="C48" s="486"/>
      <c r="D48" s="487"/>
      <c r="E48" s="489"/>
      <c r="F48" s="177">
        <v>0.63</v>
      </c>
      <c r="G48" s="479"/>
      <c r="H48" s="480"/>
      <c r="I48" s="481"/>
      <c r="J48" s="177">
        <v>0.63</v>
      </c>
      <c r="K48" s="479"/>
      <c r="L48" s="480"/>
      <c r="M48" s="481"/>
      <c r="N48" s="177">
        <v>0.63</v>
      </c>
      <c r="O48" s="479"/>
      <c r="P48" s="480"/>
      <c r="Q48" s="481"/>
      <c r="R48" s="177">
        <v>0.63</v>
      </c>
      <c r="S48" s="479"/>
      <c r="T48" s="480"/>
      <c r="U48" s="481"/>
      <c r="V48" s="177">
        <v>0.64</v>
      </c>
      <c r="W48" s="479"/>
      <c r="X48" s="480"/>
      <c r="Y48" s="481"/>
    </row>
    <row r="49" spans="1:25" ht="15.5" thickBot="1">
      <c r="C49" s="227"/>
      <c r="D49" s="174"/>
      <c r="E49" s="174"/>
      <c r="F49" s="174"/>
      <c r="G49" s="174"/>
      <c r="H49" s="174"/>
      <c r="I49" s="175"/>
      <c r="J49" s="174"/>
      <c r="K49" s="174"/>
      <c r="L49" s="174"/>
      <c r="M49" s="175"/>
      <c r="N49" s="174"/>
      <c r="O49" s="174"/>
      <c r="P49" s="174"/>
      <c r="Q49" s="175"/>
      <c r="R49" s="174"/>
      <c r="S49" s="174"/>
      <c r="T49" s="174"/>
      <c r="U49" s="175"/>
      <c r="V49" s="174"/>
      <c r="W49" s="174"/>
      <c r="X49" s="174"/>
      <c r="Y49" s="175"/>
    </row>
    <row r="50" spans="1:25" ht="16.5" thickBot="1">
      <c r="C50" s="429" t="s">
        <v>89</v>
      </c>
      <c r="D50" s="430"/>
      <c r="E50" s="431"/>
      <c r="F50" s="469"/>
      <c r="G50" s="470"/>
      <c r="H50" s="470"/>
      <c r="I50" s="471"/>
      <c r="J50" s="469"/>
      <c r="K50" s="470"/>
      <c r="L50" s="470"/>
      <c r="M50" s="471"/>
      <c r="N50" s="469"/>
      <c r="O50" s="470"/>
      <c r="P50" s="470"/>
      <c r="Q50" s="471"/>
      <c r="R50" s="469"/>
      <c r="S50" s="470"/>
      <c r="T50" s="470"/>
      <c r="U50" s="471"/>
      <c r="V50" s="469"/>
      <c r="W50" s="470"/>
      <c r="X50" s="470"/>
      <c r="Y50" s="471"/>
    </row>
    <row r="51" spans="1:25" ht="42.75" customHeight="1">
      <c r="C51" s="444" t="s">
        <v>2</v>
      </c>
      <c r="D51" s="483"/>
      <c r="E51" s="172" t="s">
        <v>88</v>
      </c>
      <c r="F51" s="171" t="s">
        <v>163</v>
      </c>
      <c r="G51" s="170" t="s">
        <v>162</v>
      </c>
      <c r="H51" s="169" t="s">
        <v>161</v>
      </c>
      <c r="I51" s="168" t="s">
        <v>160</v>
      </c>
      <c r="J51" s="171" t="s">
        <v>163</v>
      </c>
      <c r="K51" s="170" t="s">
        <v>162</v>
      </c>
      <c r="L51" s="169" t="s">
        <v>161</v>
      </c>
      <c r="M51" s="168" t="s">
        <v>160</v>
      </c>
      <c r="N51" s="171" t="s">
        <v>163</v>
      </c>
      <c r="O51" s="170" t="s">
        <v>162</v>
      </c>
      <c r="P51" s="169" t="s">
        <v>161</v>
      </c>
      <c r="Q51" s="168" t="s">
        <v>160</v>
      </c>
      <c r="R51" s="171" t="s">
        <v>163</v>
      </c>
      <c r="S51" s="170" t="s">
        <v>162</v>
      </c>
      <c r="T51" s="169" t="s">
        <v>161</v>
      </c>
      <c r="U51" s="168" t="s">
        <v>160</v>
      </c>
      <c r="V51" s="171" t="s">
        <v>163</v>
      </c>
      <c r="W51" s="170" t="s">
        <v>162</v>
      </c>
      <c r="X51" s="169" t="s">
        <v>161</v>
      </c>
      <c r="Y51" s="168" t="s">
        <v>160</v>
      </c>
    </row>
    <row r="52" spans="1:25" ht="16">
      <c r="C52" s="444"/>
      <c r="D52" s="483"/>
      <c r="E52" s="167" t="s">
        <v>83</v>
      </c>
      <c r="F52" s="166">
        <v>0</v>
      </c>
      <c r="G52" s="165">
        <v>0</v>
      </c>
      <c r="H52" s="164">
        <f>SUM(G52,-F52)</f>
        <v>0</v>
      </c>
      <c r="I52" s="163" t="s">
        <v>159</v>
      </c>
      <c r="J52" s="166">
        <v>0</v>
      </c>
      <c r="K52" s="165">
        <v>0</v>
      </c>
      <c r="L52" s="164">
        <f>SUM(K52,-J52)</f>
        <v>0</v>
      </c>
      <c r="M52" s="163" t="s">
        <v>159</v>
      </c>
      <c r="N52" s="166">
        <v>0</v>
      </c>
      <c r="O52" s="165">
        <v>0</v>
      </c>
      <c r="P52" s="164">
        <f>SUM(O52,-N52)</f>
        <v>0</v>
      </c>
      <c r="Q52" s="163" t="s">
        <v>159</v>
      </c>
      <c r="R52" s="166">
        <v>0</v>
      </c>
      <c r="S52" s="165">
        <v>0</v>
      </c>
      <c r="T52" s="164">
        <f>SUM(S52,-R52)</f>
        <v>0</v>
      </c>
      <c r="U52" s="163" t="s">
        <v>159</v>
      </c>
      <c r="V52" s="166">
        <v>0</v>
      </c>
      <c r="W52" s="165">
        <v>0</v>
      </c>
      <c r="X52" s="164">
        <f>SUM(W52,-V52)</f>
        <v>0</v>
      </c>
      <c r="Y52" s="163" t="s">
        <v>159</v>
      </c>
    </row>
    <row r="53" spans="1:25" ht="16.5" thickBot="1">
      <c r="C53" s="484"/>
      <c r="D53" s="485"/>
      <c r="E53" s="226" t="s">
        <v>82</v>
      </c>
      <c r="F53" s="225">
        <v>0</v>
      </c>
      <c r="G53" s="229">
        <v>22.6</v>
      </c>
      <c r="H53" s="223" t="s">
        <v>159</v>
      </c>
      <c r="I53" s="260" t="s">
        <v>180</v>
      </c>
      <c r="J53" s="225">
        <v>0</v>
      </c>
      <c r="K53" s="229">
        <v>21.6</v>
      </c>
      <c r="L53" s="223" t="s">
        <v>159</v>
      </c>
      <c r="M53" s="260" t="s">
        <v>180</v>
      </c>
      <c r="N53" s="225">
        <v>0</v>
      </c>
      <c r="O53" s="229">
        <v>23.4</v>
      </c>
      <c r="P53" s="223" t="s">
        <v>159</v>
      </c>
      <c r="Q53" s="260" t="s">
        <v>180</v>
      </c>
      <c r="R53" s="225">
        <v>0</v>
      </c>
      <c r="S53" s="229">
        <v>22.7</v>
      </c>
      <c r="T53" s="223" t="s">
        <v>159</v>
      </c>
      <c r="U53" s="260" t="s">
        <v>180</v>
      </c>
      <c r="V53" s="225">
        <v>0</v>
      </c>
      <c r="W53" s="229">
        <v>22</v>
      </c>
      <c r="X53" s="223" t="s">
        <v>159</v>
      </c>
      <c r="Y53" s="260" t="s">
        <v>180</v>
      </c>
    </row>
    <row r="54" spans="1:25" ht="15.5" thickTop="1">
      <c r="C54" s="1" t="s">
        <v>79</v>
      </c>
    </row>
    <row r="56" spans="1:25">
      <c r="A56" s="157"/>
      <c r="C56" s="156" t="s">
        <v>78</v>
      </c>
      <c r="D56" s="23" t="s">
        <v>77</v>
      </c>
      <c r="E56" s="23"/>
      <c r="F56" s="23"/>
      <c r="G56" s="22"/>
      <c r="H56" s="23" t="s">
        <v>76</v>
      </c>
      <c r="I56" s="23"/>
      <c r="J56" s="23"/>
      <c r="K56" s="22"/>
      <c r="L56" s="23" t="s">
        <v>75</v>
      </c>
      <c r="M56" s="23"/>
      <c r="N56" s="23"/>
      <c r="O56" s="23"/>
      <c r="P56" s="23"/>
      <c r="Q56" s="22"/>
    </row>
    <row r="57" spans="1:25">
      <c r="C57" s="23"/>
      <c r="D57" s="23" t="s">
        <v>74</v>
      </c>
      <c r="E57" s="23"/>
      <c r="F57" s="23"/>
      <c r="G57" s="22"/>
      <c r="H57" s="23" t="s">
        <v>73</v>
      </c>
      <c r="I57" s="23"/>
      <c r="J57" s="23"/>
      <c r="K57" s="22"/>
      <c r="L57" s="23" t="s">
        <v>72</v>
      </c>
      <c r="M57" s="23"/>
      <c r="N57" s="23"/>
      <c r="O57" s="23"/>
      <c r="P57" s="23"/>
      <c r="Q57" s="22"/>
    </row>
  </sheetData>
  <mergeCells count="135">
    <mergeCell ref="Y47:Y48"/>
    <mergeCell ref="P47:P48"/>
    <mergeCell ref="Q47:Q48"/>
    <mergeCell ref="S47:S48"/>
    <mergeCell ref="C46:D48"/>
    <mergeCell ref="E47:E48"/>
    <mergeCell ref="G47:G48"/>
    <mergeCell ref="H47:H48"/>
    <mergeCell ref="I47:I48"/>
    <mergeCell ref="K47:K48"/>
    <mergeCell ref="V50:Y50"/>
    <mergeCell ref="C51:D53"/>
    <mergeCell ref="T47:T48"/>
    <mergeCell ref="U47:U48"/>
    <mergeCell ref="W47:W48"/>
    <mergeCell ref="X47:X48"/>
    <mergeCell ref="X42:X43"/>
    <mergeCell ref="Y42:Y43"/>
    <mergeCell ref="C45:E45"/>
    <mergeCell ref="F45:I45"/>
    <mergeCell ref="J45:M45"/>
    <mergeCell ref="N45:Q45"/>
    <mergeCell ref="R45:U45"/>
    <mergeCell ref="V45:Y45"/>
    <mergeCell ref="P42:P43"/>
    <mergeCell ref="Q42:Q43"/>
    <mergeCell ref="C50:E50"/>
    <mergeCell ref="F50:I50"/>
    <mergeCell ref="J50:M50"/>
    <mergeCell ref="N50:Q50"/>
    <mergeCell ref="R50:U50"/>
    <mergeCell ref="L47:L48"/>
    <mergeCell ref="M47:M48"/>
    <mergeCell ref="O47:O48"/>
    <mergeCell ref="V40:Y40"/>
    <mergeCell ref="C41:D43"/>
    <mergeCell ref="E42:E43"/>
    <mergeCell ref="G42:G43"/>
    <mergeCell ref="H42:H43"/>
    <mergeCell ref="I42:I43"/>
    <mergeCell ref="K42:K43"/>
    <mergeCell ref="L42:L43"/>
    <mergeCell ref="M42:M43"/>
    <mergeCell ref="O42:O43"/>
    <mergeCell ref="S42:S43"/>
    <mergeCell ref="T42:T43"/>
    <mergeCell ref="U42:U43"/>
    <mergeCell ref="W42:W43"/>
    <mergeCell ref="C40:E40"/>
    <mergeCell ref="F40:I40"/>
    <mergeCell ref="J40:M40"/>
    <mergeCell ref="N40:Q40"/>
    <mergeCell ref="R40:U40"/>
    <mergeCell ref="Y33:Y34"/>
    <mergeCell ref="E34:E36"/>
    <mergeCell ref="U31:U32"/>
    <mergeCell ref="W31:W32"/>
    <mergeCell ref="X31:X32"/>
    <mergeCell ref="Y31:Y32"/>
    <mergeCell ref="Q31:Q32"/>
    <mergeCell ref="M29:M30"/>
    <mergeCell ref="O29:O30"/>
    <mergeCell ref="P29:P30"/>
    <mergeCell ref="Q29:Q30"/>
    <mergeCell ref="M31:M32"/>
    <mergeCell ref="O31:O32"/>
    <mergeCell ref="P31:P32"/>
    <mergeCell ref="U29:U30"/>
    <mergeCell ref="W29:W30"/>
    <mergeCell ref="X29:X30"/>
    <mergeCell ref="Y29:Y30"/>
    <mergeCell ref="E31:E32"/>
    <mergeCell ref="G31:G32"/>
    <mergeCell ref="H31:H32"/>
    <mergeCell ref="I31:I32"/>
    <mergeCell ref="K31:K32"/>
    <mergeCell ref="Q33:Q34"/>
    <mergeCell ref="C28:C38"/>
    <mergeCell ref="D29:D32"/>
    <mergeCell ref="E29:E30"/>
    <mergeCell ref="G29:G30"/>
    <mergeCell ref="H29:H30"/>
    <mergeCell ref="I29:I30"/>
    <mergeCell ref="K29:K30"/>
    <mergeCell ref="L29:L30"/>
    <mergeCell ref="X33:X34"/>
    <mergeCell ref="D38:E38"/>
    <mergeCell ref="T33:T34"/>
    <mergeCell ref="S29:S30"/>
    <mergeCell ref="T29:T30"/>
    <mergeCell ref="L31:L32"/>
    <mergeCell ref="U33:U34"/>
    <mergeCell ref="D33:D37"/>
    <mergeCell ref="H33:H34"/>
    <mergeCell ref="I33:I34"/>
    <mergeCell ref="L33:L34"/>
    <mergeCell ref="M33:M34"/>
    <mergeCell ref="P33:P34"/>
    <mergeCell ref="S31:S32"/>
    <mergeCell ref="T31:T32"/>
    <mergeCell ref="C24:D25"/>
    <mergeCell ref="E24:E25"/>
    <mergeCell ref="C27:E27"/>
    <mergeCell ref="F27:I27"/>
    <mergeCell ref="J27:M27"/>
    <mergeCell ref="N27:Q27"/>
    <mergeCell ref="V23:Y23"/>
    <mergeCell ref="J11:M11"/>
    <mergeCell ref="N11:Q11"/>
    <mergeCell ref="R11:U11"/>
    <mergeCell ref="V11:Y11"/>
    <mergeCell ref="C12:C21"/>
    <mergeCell ref="D13:D14"/>
    <mergeCell ref="D15:D16"/>
    <mergeCell ref="D17:D20"/>
    <mergeCell ref="D21:E21"/>
    <mergeCell ref="C11:E11"/>
    <mergeCell ref="F11:I11"/>
    <mergeCell ref="R27:U27"/>
    <mergeCell ref="V27:Y27"/>
    <mergeCell ref="V3:Y3"/>
    <mergeCell ref="C4:C9"/>
    <mergeCell ref="D5:D6"/>
    <mergeCell ref="D7:D8"/>
    <mergeCell ref="D9:E9"/>
    <mergeCell ref="C3:E3"/>
    <mergeCell ref="F3:I3"/>
    <mergeCell ref="J3:M3"/>
    <mergeCell ref="R23:U23"/>
    <mergeCell ref="C23:E23"/>
    <mergeCell ref="F23:I23"/>
    <mergeCell ref="J23:M23"/>
    <mergeCell ref="N23:Q23"/>
    <mergeCell ref="N3:Q3"/>
    <mergeCell ref="R3:U3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&amp;L&amp;"メイリオ,レギュラー"
　&amp;"メイリオ,ボールド"&amp;22日別の優先給電ルールに基づく抑制、調整状況（2024年11月）</oddHeader>
    <oddFooter>&amp;R&amp;"メイリオ,レギュラー"&amp;14九州電力送配電株式会社</oddFooter>
  </headerFooter>
  <colBreaks count="1" manualBreakCount="1">
    <brk id="25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8C6F-2FFB-4420-816D-0760CD42C147}">
  <dimension ref="B1:O69"/>
  <sheetViews>
    <sheetView showGridLines="0" view="pageBreakPreview" zoomScale="70" zoomScaleNormal="70" zoomScaleSheetLayoutView="70" zoomScalePageLayoutView="85" workbookViewId="0">
      <selection activeCell="I62" sqref="I62"/>
    </sheetView>
  </sheetViews>
  <sheetFormatPr defaultColWidth="9" defaultRowHeight="15"/>
  <cols>
    <col min="1" max="1" width="4.08984375" style="1" customWidth="1"/>
    <col min="2" max="2" width="11.453125" style="1" customWidth="1"/>
    <col min="3" max="4" width="8" style="1" customWidth="1"/>
    <col min="5" max="5" width="41.90625" style="1" customWidth="1"/>
    <col min="6" max="15" width="16.90625" style="1" customWidth="1"/>
    <col min="16" max="16384" width="9" style="1"/>
  </cols>
  <sheetData>
    <row r="1" spans="2:15" ht="15.5" thickBot="1">
      <c r="I1" s="32"/>
      <c r="O1" s="32" t="s">
        <v>24</v>
      </c>
    </row>
    <row r="2" spans="2:15" ht="16">
      <c r="B2" s="2"/>
      <c r="C2" s="367" t="s">
        <v>0</v>
      </c>
      <c r="D2" s="368"/>
      <c r="E2" s="369"/>
      <c r="F2" s="370" t="s">
        <v>42</v>
      </c>
      <c r="G2" s="371"/>
      <c r="H2" s="365" t="s">
        <v>42</v>
      </c>
      <c r="I2" s="366"/>
      <c r="J2" s="365" t="s">
        <v>42</v>
      </c>
      <c r="K2" s="366"/>
      <c r="L2" s="365" t="s">
        <v>42</v>
      </c>
      <c r="M2" s="366"/>
      <c r="N2" s="365" t="s">
        <v>42</v>
      </c>
      <c r="O2" s="366"/>
    </row>
    <row r="3" spans="2:15" ht="16.5" thickBot="1">
      <c r="B3" s="3"/>
      <c r="C3" s="372" t="s">
        <v>3</v>
      </c>
      <c r="D3" s="373"/>
      <c r="E3" s="374"/>
      <c r="F3" s="95">
        <v>45627</v>
      </c>
      <c r="G3" s="96" t="s">
        <v>50</v>
      </c>
      <c r="H3" s="25">
        <v>45628</v>
      </c>
      <c r="I3" s="26" t="s">
        <v>49</v>
      </c>
      <c r="J3" s="25">
        <v>45629</v>
      </c>
      <c r="K3" s="26" t="s">
        <v>48</v>
      </c>
      <c r="L3" s="25">
        <v>45630</v>
      </c>
      <c r="M3" s="26" t="s">
        <v>48</v>
      </c>
      <c r="N3" s="25">
        <v>45633</v>
      </c>
      <c r="O3" s="26" t="s">
        <v>48</v>
      </c>
    </row>
    <row r="4" spans="2:15" ht="16.5" thickBot="1">
      <c r="B4" s="31"/>
      <c r="C4" s="4"/>
      <c r="D4" s="4"/>
      <c r="E4" s="4"/>
      <c r="F4" s="97" t="s">
        <v>43</v>
      </c>
      <c r="G4" s="98" t="s">
        <v>44</v>
      </c>
      <c r="H4" s="6" t="s">
        <v>43</v>
      </c>
      <c r="I4" s="7" t="s">
        <v>44</v>
      </c>
      <c r="J4" s="6" t="s">
        <v>43</v>
      </c>
      <c r="K4" s="7" t="s">
        <v>44</v>
      </c>
      <c r="L4" s="6" t="s">
        <v>43</v>
      </c>
      <c r="M4" s="7"/>
      <c r="N4" s="6" t="s">
        <v>43</v>
      </c>
      <c r="O4" s="7" t="s">
        <v>44</v>
      </c>
    </row>
    <row r="5" spans="2:15" ht="16.5" customHeight="1">
      <c r="B5" s="375" t="s">
        <v>25</v>
      </c>
      <c r="C5" s="378" t="s">
        <v>8</v>
      </c>
      <c r="D5" s="33" t="s">
        <v>11</v>
      </c>
      <c r="E5" s="88" t="s">
        <v>46</v>
      </c>
      <c r="F5" s="99">
        <v>91</v>
      </c>
      <c r="G5" s="381" t="s">
        <v>45</v>
      </c>
      <c r="H5" s="9">
        <v>96.8</v>
      </c>
      <c r="I5" s="384" t="s">
        <v>65</v>
      </c>
      <c r="J5" s="9">
        <v>101.9</v>
      </c>
      <c r="K5" s="384" t="s">
        <v>45</v>
      </c>
      <c r="L5" s="9">
        <v>117.4</v>
      </c>
      <c r="M5" s="384" t="s">
        <v>45</v>
      </c>
      <c r="N5" s="9">
        <v>105.5</v>
      </c>
      <c r="O5" s="384" t="s">
        <v>45</v>
      </c>
    </row>
    <row r="6" spans="2:15" ht="16">
      <c r="B6" s="376"/>
      <c r="C6" s="379"/>
      <c r="D6" s="34" t="s">
        <v>12</v>
      </c>
      <c r="E6" s="89" t="s">
        <v>47</v>
      </c>
      <c r="F6" s="100">
        <v>103.1</v>
      </c>
      <c r="G6" s="382"/>
      <c r="H6" s="10">
        <v>114.7</v>
      </c>
      <c r="I6" s="385"/>
      <c r="J6" s="10">
        <v>132.69999999999999</v>
      </c>
      <c r="K6" s="385"/>
      <c r="L6" s="10">
        <v>133.1</v>
      </c>
      <c r="M6" s="385"/>
      <c r="N6" s="10">
        <v>135.4</v>
      </c>
      <c r="O6" s="385"/>
    </row>
    <row r="7" spans="2:15" ht="16">
      <c r="B7" s="376"/>
      <c r="C7" s="379"/>
      <c r="D7" s="35" t="s">
        <v>13</v>
      </c>
      <c r="E7" s="36" t="s">
        <v>5</v>
      </c>
      <c r="F7" s="101">
        <v>347.3</v>
      </c>
      <c r="G7" s="382"/>
      <c r="H7" s="28">
        <v>366.7</v>
      </c>
      <c r="I7" s="385"/>
      <c r="J7" s="28">
        <v>386.2</v>
      </c>
      <c r="K7" s="385"/>
      <c r="L7" s="28">
        <v>407.5</v>
      </c>
      <c r="M7" s="385"/>
      <c r="N7" s="28">
        <v>413.3</v>
      </c>
      <c r="O7" s="385"/>
    </row>
    <row r="8" spans="2:15" ht="16">
      <c r="B8" s="376"/>
      <c r="C8" s="379"/>
      <c r="D8" s="37" t="s">
        <v>14</v>
      </c>
      <c r="E8" s="38" t="s">
        <v>6</v>
      </c>
      <c r="F8" s="102">
        <v>24.8</v>
      </c>
      <c r="G8" s="382"/>
      <c r="H8" s="29">
        <v>25.7</v>
      </c>
      <c r="I8" s="385"/>
      <c r="J8" s="29">
        <v>23.49999999999995</v>
      </c>
      <c r="K8" s="385"/>
      <c r="L8" s="29">
        <v>23.8</v>
      </c>
      <c r="M8" s="385"/>
      <c r="N8" s="29">
        <v>19.5</v>
      </c>
      <c r="O8" s="385"/>
    </row>
    <row r="9" spans="2:15" ht="16">
      <c r="B9" s="376"/>
      <c r="C9" s="379"/>
      <c r="D9" s="39" t="s">
        <v>15</v>
      </c>
      <c r="E9" s="40" t="s">
        <v>7</v>
      </c>
      <c r="F9" s="103">
        <v>15.9</v>
      </c>
      <c r="G9" s="382"/>
      <c r="H9" s="30">
        <v>15.9</v>
      </c>
      <c r="I9" s="385"/>
      <c r="J9" s="30">
        <v>15.9</v>
      </c>
      <c r="K9" s="385"/>
      <c r="L9" s="30">
        <v>15.9</v>
      </c>
      <c r="M9" s="385"/>
      <c r="N9" s="30">
        <v>15.9</v>
      </c>
      <c r="O9" s="385"/>
    </row>
    <row r="10" spans="2:15" ht="16">
      <c r="B10" s="376"/>
      <c r="C10" s="379"/>
      <c r="D10" s="41" t="s">
        <v>17</v>
      </c>
      <c r="E10" s="42" t="s">
        <v>1</v>
      </c>
      <c r="F10" s="104">
        <v>42</v>
      </c>
      <c r="G10" s="382"/>
      <c r="H10" s="11">
        <v>45</v>
      </c>
      <c r="I10" s="385"/>
      <c r="J10" s="11">
        <v>34.1</v>
      </c>
      <c r="K10" s="385"/>
      <c r="L10" s="11">
        <v>39.799999999999997</v>
      </c>
      <c r="M10" s="385"/>
      <c r="N10" s="11">
        <v>39.200000000000003</v>
      </c>
      <c r="O10" s="385"/>
    </row>
    <row r="11" spans="2:15" ht="16">
      <c r="B11" s="376"/>
      <c r="C11" s="379"/>
      <c r="D11" s="43" t="s">
        <v>16</v>
      </c>
      <c r="E11" s="44" t="s">
        <v>2</v>
      </c>
      <c r="F11" s="105">
        <v>27.7</v>
      </c>
      <c r="G11" s="382"/>
      <c r="H11" s="12">
        <v>27.2</v>
      </c>
      <c r="I11" s="385"/>
      <c r="J11" s="12">
        <v>26.9</v>
      </c>
      <c r="K11" s="385"/>
      <c r="L11" s="12">
        <v>27.2</v>
      </c>
      <c r="M11" s="385"/>
      <c r="N11" s="12">
        <v>27.5</v>
      </c>
      <c r="O11" s="385"/>
    </row>
    <row r="12" spans="2:15" ht="16">
      <c r="B12" s="376"/>
      <c r="C12" s="379"/>
      <c r="D12" s="387" t="s">
        <v>18</v>
      </c>
      <c r="E12" s="45" t="s">
        <v>26</v>
      </c>
      <c r="F12" s="106">
        <v>532.6</v>
      </c>
      <c r="G12" s="382"/>
      <c r="H12" s="13">
        <v>694</v>
      </c>
      <c r="I12" s="385"/>
      <c r="J12" s="13">
        <v>662.1</v>
      </c>
      <c r="K12" s="385"/>
      <c r="L12" s="13">
        <v>679.2</v>
      </c>
      <c r="M12" s="385"/>
      <c r="N12" s="13">
        <v>636.1</v>
      </c>
      <c r="O12" s="385"/>
    </row>
    <row r="13" spans="2:15" ht="16">
      <c r="B13" s="376"/>
      <c r="C13" s="379"/>
      <c r="D13" s="388"/>
      <c r="E13" s="45" t="s">
        <v>27</v>
      </c>
      <c r="F13" s="106">
        <v>0.5</v>
      </c>
      <c r="G13" s="382"/>
      <c r="H13" s="13">
        <v>6.9</v>
      </c>
      <c r="I13" s="385"/>
      <c r="J13" s="13">
        <v>13.2</v>
      </c>
      <c r="K13" s="385"/>
      <c r="L13" s="13">
        <v>11.9</v>
      </c>
      <c r="M13" s="385"/>
      <c r="N13" s="13">
        <v>14.2</v>
      </c>
      <c r="O13" s="385"/>
    </row>
    <row r="14" spans="2:15" ht="16">
      <c r="B14" s="376"/>
      <c r="C14" s="379"/>
      <c r="D14" s="46" t="s">
        <v>19</v>
      </c>
      <c r="E14" s="47" t="s">
        <v>4</v>
      </c>
      <c r="F14" s="107">
        <v>252</v>
      </c>
      <c r="G14" s="382"/>
      <c r="H14" s="14">
        <v>200</v>
      </c>
      <c r="I14" s="385"/>
      <c r="J14" s="14">
        <v>200</v>
      </c>
      <c r="K14" s="385"/>
      <c r="L14" s="14">
        <v>200</v>
      </c>
      <c r="M14" s="385"/>
      <c r="N14" s="14">
        <v>200</v>
      </c>
      <c r="O14" s="385"/>
    </row>
    <row r="15" spans="2:15" ht="16.5" thickBot="1">
      <c r="B15" s="376"/>
      <c r="C15" s="380"/>
      <c r="D15" s="389" t="s">
        <v>28</v>
      </c>
      <c r="E15" s="390"/>
      <c r="F15" s="108">
        <v>1436.9</v>
      </c>
      <c r="G15" s="382"/>
      <c r="H15" s="15">
        <v>1592.9</v>
      </c>
      <c r="I15" s="385"/>
      <c r="J15" s="15">
        <v>1596.5</v>
      </c>
      <c r="K15" s="385"/>
      <c r="L15" s="15">
        <v>1655.8000000000002</v>
      </c>
      <c r="M15" s="385"/>
      <c r="N15" s="15">
        <v>1606.6000000000001</v>
      </c>
      <c r="O15" s="385"/>
    </row>
    <row r="16" spans="2:15" ht="17.25" customHeight="1" thickBot="1">
      <c r="B16" s="376"/>
      <c r="C16" s="391" t="s">
        <v>20</v>
      </c>
      <c r="D16" s="48" t="s">
        <v>21</v>
      </c>
      <c r="E16" s="49" t="s">
        <v>29</v>
      </c>
      <c r="F16" s="109">
        <v>798.2</v>
      </c>
      <c r="G16" s="382"/>
      <c r="H16" s="8">
        <v>903.9</v>
      </c>
      <c r="I16" s="385"/>
      <c r="J16" s="8">
        <v>905</v>
      </c>
      <c r="K16" s="385"/>
      <c r="L16" s="8">
        <v>975</v>
      </c>
      <c r="M16" s="385"/>
      <c r="N16" s="8">
        <v>905</v>
      </c>
      <c r="O16" s="385"/>
    </row>
    <row r="17" spans="2:15" ht="16.5" customHeight="1">
      <c r="B17" s="376"/>
      <c r="C17" s="392"/>
      <c r="D17" s="394" t="s">
        <v>9</v>
      </c>
      <c r="E17" s="50" t="s">
        <v>30</v>
      </c>
      <c r="F17" s="110">
        <v>-227.1</v>
      </c>
      <c r="G17" s="382"/>
      <c r="H17" s="16">
        <v>-227.1</v>
      </c>
      <c r="I17" s="385"/>
      <c r="J17" s="16">
        <v>-227.1</v>
      </c>
      <c r="K17" s="385"/>
      <c r="L17" s="16">
        <v>-159.1</v>
      </c>
      <c r="M17" s="385"/>
      <c r="N17" s="16">
        <v>-227.1</v>
      </c>
      <c r="O17" s="385"/>
    </row>
    <row r="18" spans="2:15" ht="16.5" thickBot="1">
      <c r="B18" s="376"/>
      <c r="C18" s="392"/>
      <c r="D18" s="395"/>
      <c r="E18" s="51" t="s">
        <v>31</v>
      </c>
      <c r="F18" s="111">
        <v>-4.2</v>
      </c>
      <c r="G18" s="382"/>
      <c r="H18" s="17">
        <v>-4.2</v>
      </c>
      <c r="I18" s="385"/>
      <c r="J18" s="17">
        <v>-4.4000000000000004</v>
      </c>
      <c r="K18" s="385"/>
      <c r="L18" s="17">
        <v>-4.2</v>
      </c>
      <c r="M18" s="385"/>
      <c r="N18" s="17">
        <v>-4.2</v>
      </c>
      <c r="O18" s="385"/>
    </row>
    <row r="19" spans="2:15" ht="16.5" customHeight="1">
      <c r="B19" s="376"/>
      <c r="C19" s="392"/>
      <c r="D19" s="396" t="s">
        <v>10</v>
      </c>
      <c r="E19" s="52" t="s">
        <v>32</v>
      </c>
      <c r="F19" s="112">
        <v>-95</v>
      </c>
      <c r="G19" s="382"/>
      <c r="H19" s="18">
        <v>-229.5</v>
      </c>
      <c r="I19" s="385"/>
      <c r="J19" s="18">
        <v>-241.4</v>
      </c>
      <c r="K19" s="385"/>
      <c r="L19" s="18">
        <v>-241.7</v>
      </c>
      <c r="M19" s="385"/>
      <c r="N19" s="18">
        <v>-204</v>
      </c>
      <c r="O19" s="385"/>
    </row>
    <row r="20" spans="2:15" ht="16.5" thickBot="1">
      <c r="B20" s="376"/>
      <c r="C20" s="392"/>
      <c r="D20" s="397"/>
      <c r="E20" s="53" t="s">
        <v>33</v>
      </c>
      <c r="F20" s="113">
        <v>-8.5</v>
      </c>
      <c r="G20" s="382"/>
      <c r="H20" s="19">
        <v>5.7</v>
      </c>
      <c r="I20" s="385"/>
      <c r="J20" s="19">
        <v>0</v>
      </c>
      <c r="K20" s="385"/>
      <c r="L20" s="19">
        <v>0</v>
      </c>
      <c r="M20" s="385"/>
      <c r="N20" s="19">
        <v>0</v>
      </c>
      <c r="O20" s="385"/>
    </row>
    <row r="21" spans="2:15" ht="16.5" thickBot="1">
      <c r="B21" s="377"/>
      <c r="C21" s="393"/>
      <c r="D21" s="398" t="s">
        <v>34</v>
      </c>
      <c r="E21" s="399"/>
      <c r="F21" s="27">
        <v>1133</v>
      </c>
      <c r="G21" s="383"/>
      <c r="H21" s="27">
        <v>1359</v>
      </c>
      <c r="I21" s="386"/>
      <c r="J21" s="27">
        <v>1377.9</v>
      </c>
      <c r="K21" s="386"/>
      <c r="L21" s="27">
        <v>1380</v>
      </c>
      <c r="M21" s="386"/>
      <c r="N21" s="27">
        <v>1340.3</v>
      </c>
      <c r="O21" s="386"/>
    </row>
    <row r="22" spans="2:15" ht="16.5" thickBot="1">
      <c r="B22" s="54"/>
      <c r="C22" s="55"/>
      <c r="D22" s="55"/>
      <c r="E22" s="55"/>
      <c r="F22" s="6" t="s">
        <v>43</v>
      </c>
      <c r="G22" s="98" t="s">
        <v>44</v>
      </c>
      <c r="H22" s="6" t="s">
        <v>69</v>
      </c>
      <c r="I22" s="7" t="s">
        <v>44</v>
      </c>
      <c r="J22" s="6" t="s">
        <v>69</v>
      </c>
      <c r="K22" s="7" t="s">
        <v>44</v>
      </c>
      <c r="L22" s="6" t="s">
        <v>69</v>
      </c>
      <c r="M22" s="7"/>
      <c r="N22" s="6" t="s">
        <v>69</v>
      </c>
      <c r="O22" s="7" t="s">
        <v>44</v>
      </c>
    </row>
    <row r="23" spans="2:15" ht="13.5" customHeight="1">
      <c r="B23" s="408" t="s">
        <v>35</v>
      </c>
      <c r="C23" s="411" t="s">
        <v>36</v>
      </c>
      <c r="D23" s="412"/>
      <c r="E23" s="413"/>
      <c r="F23" s="20">
        <v>1436.9</v>
      </c>
      <c r="G23" s="414"/>
      <c r="H23" s="20">
        <v>1592.9</v>
      </c>
      <c r="I23" s="400"/>
      <c r="J23" s="20">
        <v>1596.5</v>
      </c>
      <c r="K23" s="400"/>
      <c r="L23" s="20">
        <v>1655.8000000000002</v>
      </c>
      <c r="M23" s="400"/>
      <c r="N23" s="20">
        <v>1606.6000000000001</v>
      </c>
      <c r="O23" s="400"/>
    </row>
    <row r="24" spans="2:15" ht="16">
      <c r="B24" s="409"/>
      <c r="C24" s="403" t="s">
        <v>37</v>
      </c>
      <c r="D24" s="404"/>
      <c r="E24" s="405"/>
      <c r="F24" s="21">
        <v>1133</v>
      </c>
      <c r="G24" s="415"/>
      <c r="H24" s="21">
        <v>1359</v>
      </c>
      <c r="I24" s="401"/>
      <c r="J24" s="21">
        <v>1377.9</v>
      </c>
      <c r="K24" s="401"/>
      <c r="L24" s="21">
        <v>1380</v>
      </c>
      <c r="M24" s="401"/>
      <c r="N24" s="21">
        <v>1340.3</v>
      </c>
      <c r="O24" s="401"/>
    </row>
    <row r="25" spans="2:15" ht="20.149999999999999" customHeight="1" thickBot="1">
      <c r="B25" s="410"/>
      <c r="C25" s="56" t="s">
        <v>38</v>
      </c>
      <c r="D25" s="406" t="s">
        <v>39</v>
      </c>
      <c r="E25" s="407"/>
      <c r="F25" s="67">
        <v>303.90000000000009</v>
      </c>
      <c r="G25" s="416"/>
      <c r="H25" s="67">
        <v>233.90000000000009</v>
      </c>
      <c r="I25" s="402"/>
      <c r="J25" s="67">
        <v>218.59999999999991</v>
      </c>
      <c r="K25" s="402"/>
      <c r="L25" s="67">
        <v>275.80000000000018</v>
      </c>
      <c r="M25" s="402"/>
      <c r="N25" s="67">
        <v>266.30000000000018</v>
      </c>
      <c r="O25" s="402"/>
    </row>
    <row r="26" spans="2:15" ht="15.5" thickBot="1">
      <c r="B26" s="22"/>
      <c r="C26" s="23"/>
      <c r="D26" s="23"/>
      <c r="E26" s="23"/>
      <c r="F26" s="24"/>
      <c r="G26" s="22"/>
      <c r="H26" s="24"/>
      <c r="I26" s="22"/>
      <c r="J26" s="24"/>
      <c r="K26" s="22"/>
      <c r="L26" s="24"/>
      <c r="M26" s="22"/>
      <c r="N26" s="24"/>
      <c r="O26" s="22"/>
    </row>
    <row r="27" spans="2:15" ht="19.5">
      <c r="B27" s="57"/>
      <c r="C27" s="58"/>
      <c r="D27" s="58"/>
      <c r="E27" s="59"/>
      <c r="F27" s="60"/>
      <c r="G27" s="61"/>
      <c r="H27" s="60"/>
      <c r="I27" s="61"/>
      <c r="J27" s="60"/>
      <c r="K27" s="61"/>
      <c r="L27" s="60"/>
      <c r="M27" s="61"/>
      <c r="N27" s="60"/>
      <c r="O27" s="68"/>
    </row>
    <row r="28" spans="2:15" ht="26.5">
      <c r="B28" s="62"/>
      <c r="C28" s="69" t="s">
        <v>40</v>
      </c>
      <c r="D28" s="70"/>
      <c r="E28" s="71"/>
      <c r="F28" s="71"/>
      <c r="G28" s="70"/>
      <c r="H28" s="71"/>
      <c r="I28" s="70"/>
      <c r="J28" s="69"/>
      <c r="K28" s="69" t="s">
        <v>41</v>
      </c>
      <c r="L28" s="71"/>
      <c r="M28" s="70"/>
      <c r="N28" s="71"/>
      <c r="O28" s="72"/>
    </row>
    <row r="29" spans="2:15">
      <c r="B29" s="63"/>
      <c r="C29" s="70"/>
      <c r="D29" s="70"/>
      <c r="E29" s="71"/>
      <c r="F29" s="73"/>
      <c r="G29" s="74"/>
      <c r="H29" s="73"/>
      <c r="I29" s="74"/>
      <c r="J29" s="73"/>
      <c r="K29" s="74"/>
      <c r="L29" s="73"/>
      <c r="M29" s="74"/>
      <c r="N29" s="73"/>
      <c r="O29" s="75"/>
    </row>
    <row r="30" spans="2:15">
      <c r="B30" s="63"/>
      <c r="C30" s="76"/>
      <c r="D30" s="76"/>
      <c r="E30" s="76"/>
      <c r="F30" s="77"/>
      <c r="G30" s="74"/>
      <c r="H30" s="77"/>
      <c r="I30" s="74"/>
      <c r="J30" s="77"/>
      <c r="K30" s="74"/>
      <c r="L30" s="77"/>
      <c r="M30" s="74"/>
      <c r="N30" s="77"/>
      <c r="O30" s="75"/>
    </row>
    <row r="31" spans="2:15" ht="19.5">
      <c r="B31" s="63"/>
      <c r="C31" s="78"/>
      <c r="D31" s="78"/>
      <c r="E31" s="71"/>
      <c r="F31" s="79"/>
      <c r="G31" s="70"/>
      <c r="H31" s="79"/>
      <c r="I31" s="70"/>
      <c r="J31" s="79"/>
      <c r="K31" s="70"/>
      <c r="L31" s="79"/>
      <c r="M31" s="70"/>
      <c r="N31" s="79"/>
      <c r="O31" s="72"/>
    </row>
    <row r="32" spans="2:15">
      <c r="B32" s="63"/>
      <c r="C32" s="70"/>
      <c r="D32" s="70"/>
      <c r="E32" s="71"/>
      <c r="F32" s="71"/>
      <c r="G32" s="70"/>
      <c r="H32" s="71"/>
      <c r="I32" s="70"/>
      <c r="J32" s="71"/>
      <c r="K32" s="70"/>
      <c r="L32" s="71"/>
      <c r="M32" s="70"/>
      <c r="N32" s="71"/>
      <c r="O32" s="72"/>
    </row>
    <row r="33" spans="2:15">
      <c r="B33" s="63"/>
      <c r="C33" s="70"/>
      <c r="D33" s="70"/>
      <c r="E33" s="76"/>
      <c r="F33" s="80"/>
      <c r="G33" s="81"/>
      <c r="H33" s="80"/>
      <c r="I33" s="81"/>
      <c r="J33" s="80"/>
      <c r="K33" s="81"/>
      <c r="L33" s="80"/>
      <c r="M33" s="81"/>
      <c r="N33" s="80"/>
      <c r="O33" s="82"/>
    </row>
    <row r="34" spans="2:15" ht="14.25" customHeight="1">
      <c r="B34" s="64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83"/>
    </row>
    <row r="35" spans="2:15" ht="14.25" customHeight="1">
      <c r="B35" s="64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83"/>
    </row>
    <row r="36" spans="2:15">
      <c r="B36" s="64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83"/>
    </row>
    <row r="37" spans="2:15">
      <c r="B37" s="64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83"/>
    </row>
    <row r="38" spans="2:15" ht="14.25" customHeight="1">
      <c r="B38" s="6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83"/>
    </row>
    <row r="39" spans="2:15" ht="14.25" customHeight="1">
      <c r="B39" s="64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83"/>
    </row>
    <row r="40" spans="2:15">
      <c r="B40" s="64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83"/>
    </row>
    <row r="41" spans="2:15">
      <c r="B41" s="64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83"/>
    </row>
    <row r="42" spans="2:15">
      <c r="B42" s="64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83"/>
    </row>
    <row r="43" spans="2:15" ht="14.25" customHeight="1">
      <c r="B43" s="6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83"/>
    </row>
    <row r="44" spans="2:15">
      <c r="B44" s="64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83"/>
    </row>
    <row r="45" spans="2:15">
      <c r="B45" s="64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83"/>
    </row>
    <row r="46" spans="2:15">
      <c r="B46" s="64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83"/>
    </row>
    <row r="47" spans="2:15">
      <c r="B47" s="6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83"/>
    </row>
    <row r="48" spans="2:15">
      <c r="B48" s="64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83"/>
    </row>
    <row r="49" spans="2:15" ht="14.25" customHeight="1">
      <c r="B49" s="64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83"/>
    </row>
    <row r="50" spans="2:15">
      <c r="B50" s="64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83"/>
    </row>
    <row r="51" spans="2:15" ht="19.5">
      <c r="B51" s="64"/>
      <c r="C51" s="71"/>
      <c r="D51" s="114" t="s">
        <v>22</v>
      </c>
      <c r="H51" s="71"/>
      <c r="I51" s="71"/>
      <c r="J51" s="71"/>
      <c r="K51" s="71"/>
      <c r="L51" s="71"/>
      <c r="M51" s="71"/>
      <c r="N51" s="71"/>
      <c r="O51" s="83"/>
    </row>
    <row r="52" spans="2:15" ht="14.25" customHeight="1">
      <c r="B52" s="64"/>
      <c r="C52" s="71"/>
      <c r="D52" s="114" t="s">
        <v>23</v>
      </c>
      <c r="H52" s="71"/>
      <c r="I52" s="71"/>
      <c r="J52" s="71"/>
      <c r="K52" s="71"/>
      <c r="L52" s="71"/>
      <c r="M52" s="71"/>
      <c r="N52" s="71"/>
      <c r="O52" s="83"/>
    </row>
    <row r="53" spans="2:15" ht="19.5">
      <c r="B53" s="64"/>
      <c r="C53" s="71"/>
      <c r="D53" s="90" t="s">
        <v>51</v>
      </c>
      <c r="E53" s="91"/>
      <c r="F53" s="91"/>
      <c r="G53" s="91"/>
      <c r="H53" s="71"/>
      <c r="I53" s="71"/>
      <c r="J53" s="71"/>
      <c r="K53" s="71"/>
      <c r="L53" s="71"/>
      <c r="M53" s="71"/>
      <c r="N53" s="71"/>
      <c r="O53" s="83"/>
    </row>
    <row r="54" spans="2:15" ht="19.5">
      <c r="B54" s="64"/>
      <c r="C54" s="71"/>
      <c r="D54" s="90" t="s">
        <v>52</v>
      </c>
      <c r="E54" s="91"/>
      <c r="F54" s="91"/>
      <c r="G54" s="91"/>
      <c r="H54" s="71"/>
      <c r="I54" s="71"/>
      <c r="J54" s="71"/>
      <c r="K54" s="71"/>
      <c r="L54" s="71"/>
      <c r="M54" s="71"/>
      <c r="N54" s="71"/>
      <c r="O54" s="83"/>
    </row>
    <row r="55" spans="2:15" ht="20" thickBot="1">
      <c r="B55" s="65"/>
      <c r="C55" s="66"/>
      <c r="D55" s="92" t="s">
        <v>53</v>
      </c>
      <c r="E55" s="93"/>
      <c r="F55" s="93"/>
      <c r="G55" s="93"/>
      <c r="H55" s="66"/>
      <c r="I55" s="66"/>
      <c r="J55" s="66"/>
      <c r="K55" s="66"/>
      <c r="L55" s="66"/>
      <c r="M55" s="66"/>
      <c r="N55" s="66"/>
      <c r="O55" s="84"/>
    </row>
    <row r="57" spans="2:15">
      <c r="F57" s="85"/>
      <c r="H57" s="85"/>
      <c r="J57" s="85"/>
      <c r="L57" s="85"/>
      <c r="N57" s="85"/>
    </row>
    <row r="58" spans="2:15">
      <c r="F58" s="86"/>
      <c r="H58" s="86"/>
      <c r="J58" s="86"/>
      <c r="L58" s="86"/>
      <c r="N58" s="86"/>
    </row>
    <row r="59" spans="2:15">
      <c r="F59" s="87"/>
      <c r="H59" s="87"/>
      <c r="J59" s="87"/>
      <c r="L59" s="87"/>
      <c r="N59" s="87"/>
    </row>
    <row r="60" spans="2:15">
      <c r="F60" s="86"/>
      <c r="H60" s="86"/>
      <c r="J60" s="86"/>
      <c r="L60" s="86"/>
      <c r="N60" s="86"/>
    </row>
    <row r="62" spans="2:15" ht="14.25" customHeight="1"/>
    <row r="64" spans="2:15" ht="14.25" customHeight="1"/>
    <row r="69" ht="14.25" customHeight="1"/>
  </sheetData>
  <mergeCells count="29">
    <mergeCell ref="N2:O2"/>
    <mergeCell ref="C2:E2"/>
    <mergeCell ref="F2:G2"/>
    <mergeCell ref="H2:I2"/>
    <mergeCell ref="J2:K2"/>
    <mergeCell ref="L2:M2"/>
    <mergeCell ref="C3:E3"/>
    <mergeCell ref="B5:B21"/>
    <mergeCell ref="C5:C15"/>
    <mergeCell ref="G5:G21"/>
    <mergeCell ref="I5:I21"/>
    <mergeCell ref="M5:M21"/>
    <mergeCell ref="O5:O21"/>
    <mergeCell ref="D12:D13"/>
    <mergeCell ref="D15:E15"/>
    <mergeCell ref="C16:C21"/>
    <mergeCell ref="D17:D18"/>
    <mergeCell ref="D19:D20"/>
    <mergeCell ref="D21:E21"/>
    <mergeCell ref="K5:K21"/>
    <mergeCell ref="O23:O25"/>
    <mergeCell ref="C24:E24"/>
    <mergeCell ref="D25:E25"/>
    <mergeCell ref="B23:B25"/>
    <mergeCell ref="C23:E23"/>
    <mergeCell ref="G23:G25"/>
    <mergeCell ref="I23:I25"/>
    <mergeCell ref="K23:K25"/>
    <mergeCell ref="M23:M25"/>
  </mergeCells>
  <phoneticPr fontId="1"/>
  <printOptions verticalCentered="1"/>
  <pageMargins left="0.23622047244094491" right="0.23622047244094491" top="0.74803149606299213" bottom="0.74803149606299213" header="0.31496062992125984" footer="0.31496062992125984"/>
  <pageSetup paperSize="8" scale="81" orientation="landscape" r:id="rId1"/>
  <headerFooter>
    <oddHeader>&amp;L&amp;"メイリオ,レギュラー"&amp;22　日別の需給状況・再エネ出力抑制の必要性（2024年12月）</oddHeader>
    <oddFooter>&amp;R&amp;"メイリオ,レギュラー"&amp;14九州電力送配電株式会社</oddFooter>
  </headerFooter>
  <colBreaks count="1" manualBreakCount="1">
    <brk id="15" max="5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183</vt:i4>
      </vt:variant>
      <vt:variant>
        <vt:lpstr>名前付き一覧</vt:lpstr>
      </vt:variant>
      <vt:variant>
        <vt:i4>183</vt:i4>
      </vt:variant>
    </vt:vector>
  </HeadingPairs>
  <TitlesOfParts>
    <vt:vector size="366" baseType="lpstr">
      <vt:lpstr>2025年度</vt:lpstr>
      <vt:lpstr>必要性202504(1)</vt:lpstr>
      <vt:lpstr>必要性202504(2)</vt:lpstr>
      <vt:lpstr>必要性202504(3)</vt:lpstr>
      <vt:lpstr>必要性202504(4)</vt:lpstr>
      <vt:lpstr>必要性202504(5)</vt:lpstr>
      <vt:lpstr>抑制、調整状況202504(1)</vt:lpstr>
      <vt:lpstr>抑制、調整状況202504 (2)</vt:lpstr>
      <vt:lpstr>抑制、調整状況202504 (3)</vt:lpstr>
      <vt:lpstr>抑制、調整状況202504 (4)</vt:lpstr>
      <vt:lpstr>抑制、調整状況202504（5）</vt:lpstr>
      <vt:lpstr>必要性202505(1)</vt:lpstr>
      <vt:lpstr>必要性202505(2)</vt:lpstr>
      <vt:lpstr>必要性202505(3)</vt:lpstr>
      <vt:lpstr>必要性202505(4)</vt:lpstr>
      <vt:lpstr>抑制、調整状況202505 (1)</vt:lpstr>
      <vt:lpstr>抑制、調整状況202505 (2)</vt:lpstr>
      <vt:lpstr>抑制、調整状況202505 (3)</vt:lpstr>
      <vt:lpstr>抑制、調整状況202505 (4)</vt:lpstr>
      <vt:lpstr>必要性202506(1)</vt:lpstr>
      <vt:lpstr>必要性202506(2)</vt:lpstr>
      <vt:lpstr>抑制、調整状況202506 (1)</vt:lpstr>
      <vt:lpstr>抑制、調整状況202506 (2)</vt:lpstr>
      <vt:lpstr>必要性202507(1)</vt:lpstr>
      <vt:lpstr>抑制、調整状況202507(1)</vt:lpstr>
      <vt:lpstr>必要性202509(1)</vt:lpstr>
      <vt:lpstr>抑制、調整状況202509(1)</vt:lpstr>
      <vt:lpstr>必要性202510(1)</vt:lpstr>
      <vt:lpstr>抑制、調整状況202510 (1)</vt:lpstr>
      <vt:lpstr>必要性202511(1)</vt:lpstr>
      <vt:lpstr>必要性202511(2)</vt:lpstr>
      <vt:lpstr>必要性202511(3)</vt:lpstr>
      <vt:lpstr>必要性202511(4)</vt:lpstr>
      <vt:lpstr>抑制、調整状況202511(1)</vt:lpstr>
      <vt:lpstr>抑制、調整状況202511(2)</vt:lpstr>
      <vt:lpstr>抑制、調整状況202511(3)</vt:lpstr>
      <vt:lpstr>抑制、調整状況202511(4)</vt:lpstr>
      <vt:lpstr>必要性202512(1)</vt:lpstr>
      <vt:lpstr>抑制、調整状況 202512(1)</vt:lpstr>
      <vt:lpstr>必要性202601(1)</vt:lpstr>
      <vt:lpstr>必要性202601(2)</vt:lpstr>
      <vt:lpstr>必要性202601(3)</vt:lpstr>
      <vt:lpstr>抑制、調整状況202601(1)</vt:lpstr>
      <vt:lpstr>抑制、調整状況202601(2)</vt:lpstr>
      <vt:lpstr>抑制、調整状況202601(3)</vt:lpstr>
      <vt:lpstr>必要性202602(1)</vt:lpstr>
      <vt:lpstr>必要性202602(2)</vt:lpstr>
      <vt:lpstr>必要性202602(3)</vt:lpstr>
      <vt:lpstr>抑制、調整状況202602(1)</vt:lpstr>
      <vt:lpstr>抑制、調整状況 202602(2)</vt:lpstr>
      <vt:lpstr>抑制、調整状況202602(3)</vt:lpstr>
      <vt:lpstr>必要性202603(1)</vt:lpstr>
      <vt:lpstr>必要性202603(2)</vt:lpstr>
      <vt:lpstr>必要性202603(3)</vt:lpstr>
      <vt:lpstr>必要性202603(4)</vt:lpstr>
      <vt:lpstr>必要性202603(5)</vt:lpstr>
      <vt:lpstr>抑制、調整状況202603(1)</vt:lpstr>
      <vt:lpstr>抑制、調整状況202603(2)</vt:lpstr>
      <vt:lpstr>抑制、調整状況202603(3)</vt:lpstr>
      <vt:lpstr>抑制、調整状況202603(4)</vt:lpstr>
      <vt:lpstr>抑制、調整状況202603(5)</vt:lpstr>
      <vt:lpstr>2024年度</vt:lpstr>
      <vt:lpstr>必要性202404(1)</vt:lpstr>
      <vt:lpstr>必要性202404(2)</vt:lpstr>
      <vt:lpstr>必要性202404(3)</vt:lpstr>
      <vt:lpstr>抑制、調整状況202404(1)</vt:lpstr>
      <vt:lpstr>抑制、調整状況202404(2)</vt:lpstr>
      <vt:lpstr>抑制、調整状況202404(3)</vt:lpstr>
      <vt:lpstr>必要性202405(1)</vt:lpstr>
      <vt:lpstr>必要性202405(2)</vt:lpstr>
      <vt:lpstr>必要性202405(3)</vt:lpstr>
      <vt:lpstr>必要性202405(4)</vt:lpstr>
      <vt:lpstr>必要性202405(5)</vt:lpstr>
      <vt:lpstr>抑制、調整状況202405(1)</vt:lpstr>
      <vt:lpstr>抑制、調整状況202405(2)</vt:lpstr>
      <vt:lpstr>抑制、調整状況202405(3)</vt:lpstr>
      <vt:lpstr>抑制、調整状況202405(4)</vt:lpstr>
      <vt:lpstr>抑制、調整状況202405(5)</vt:lpstr>
      <vt:lpstr>必要性202406(1)</vt:lpstr>
      <vt:lpstr>必要性202406(2)</vt:lpstr>
      <vt:lpstr>必要性202406(3)</vt:lpstr>
      <vt:lpstr>抑制、調整状況202406(1)</vt:lpstr>
      <vt:lpstr>抑制、調整状況202406(2)</vt:lpstr>
      <vt:lpstr>抑制、調整状況202406(3)</vt:lpstr>
      <vt:lpstr>必要性202409(1)</vt:lpstr>
      <vt:lpstr>必要性202409(2)</vt:lpstr>
      <vt:lpstr>抑制、調整状況202409(1)</vt:lpstr>
      <vt:lpstr>抑制、調整状況20409(2)</vt:lpstr>
      <vt:lpstr>必要性202410(1)</vt:lpstr>
      <vt:lpstr>必要性202410(2)</vt:lpstr>
      <vt:lpstr>抑制、調整状況202410(1)</vt:lpstr>
      <vt:lpstr>抑制、調整状況202410(2)</vt:lpstr>
      <vt:lpstr>必要性202411(1)</vt:lpstr>
      <vt:lpstr>必要性202411(2)</vt:lpstr>
      <vt:lpstr>必要性202411(3)</vt:lpstr>
      <vt:lpstr>抑制、調整状況202411(1)</vt:lpstr>
      <vt:lpstr>抑制、調整状況202411(2)</vt:lpstr>
      <vt:lpstr>抑制、調整状況202411(3)</vt:lpstr>
      <vt:lpstr>必要性202412(1)</vt:lpstr>
      <vt:lpstr>必要性202412(2)</vt:lpstr>
      <vt:lpstr>抑制、調整状況202412(1)</vt:lpstr>
      <vt:lpstr>抑制、調整状況202412(2)</vt:lpstr>
      <vt:lpstr>必要性202501(1)</vt:lpstr>
      <vt:lpstr>必要性202501(2)</vt:lpstr>
      <vt:lpstr>抑制、調整状況202501(1)</vt:lpstr>
      <vt:lpstr>抑制、調整状況202501(2)</vt:lpstr>
      <vt:lpstr>必要性202502(1)</vt:lpstr>
      <vt:lpstr>必要性202502(2)</vt:lpstr>
      <vt:lpstr>必要性202502(3)</vt:lpstr>
      <vt:lpstr>抑制、調整状況202502(1)</vt:lpstr>
      <vt:lpstr>抑制、調整状況202502(2)</vt:lpstr>
      <vt:lpstr>抑制、調整状況202502(3)</vt:lpstr>
      <vt:lpstr>必要性202503(1)</vt:lpstr>
      <vt:lpstr>必要性202503(2)</vt:lpstr>
      <vt:lpstr>必要性202503(3)</vt:lpstr>
      <vt:lpstr>必要性202503(4)</vt:lpstr>
      <vt:lpstr>抑制、調整状況202503(1)</vt:lpstr>
      <vt:lpstr>抑制、調整状況202503(2)</vt:lpstr>
      <vt:lpstr>抑制、調整状況202503(3)</vt:lpstr>
      <vt:lpstr>抑制、調整状況202503(4)</vt:lpstr>
      <vt:lpstr>2023年度</vt:lpstr>
      <vt:lpstr>必要性202304(1)</vt:lpstr>
      <vt:lpstr>必要性202304(2)</vt:lpstr>
      <vt:lpstr>必要性202304(3)</vt:lpstr>
      <vt:lpstr>必要性202304(4)</vt:lpstr>
      <vt:lpstr>抑制、調整状況202304(1)</vt:lpstr>
      <vt:lpstr>抑制、調整状況202304(2)</vt:lpstr>
      <vt:lpstr>抑制、調整状況202304(3)</vt:lpstr>
      <vt:lpstr>抑制、調整状況202304(4)</vt:lpstr>
      <vt:lpstr>必要性202305(1)</vt:lpstr>
      <vt:lpstr>必要性202305(2)</vt:lpstr>
      <vt:lpstr>必要性202305(3)</vt:lpstr>
      <vt:lpstr>必要性202305(4)</vt:lpstr>
      <vt:lpstr>必要性202305(5)</vt:lpstr>
      <vt:lpstr>抑制、調整状況202305(1)</vt:lpstr>
      <vt:lpstr>抑制、調整状況202305(2)</vt:lpstr>
      <vt:lpstr>抑制、調整状況202305(3)</vt:lpstr>
      <vt:lpstr>抑制、調整状況202305(4)</vt:lpstr>
      <vt:lpstr>抑制、調整状況202305(5)</vt:lpstr>
      <vt:lpstr>必要性202306(1)</vt:lpstr>
      <vt:lpstr>必要性202306(2)</vt:lpstr>
      <vt:lpstr>抑制、調整状況202306(1)</vt:lpstr>
      <vt:lpstr>抑制、調整状況202306(2)</vt:lpstr>
      <vt:lpstr>必要性202308</vt:lpstr>
      <vt:lpstr>抑制、調整状況202308</vt:lpstr>
      <vt:lpstr>必要性 202309(1)</vt:lpstr>
      <vt:lpstr>必要性202309(2)</vt:lpstr>
      <vt:lpstr>抑制、調整状況202309(1)</vt:lpstr>
      <vt:lpstr>抑制、調整状況202309(2)</vt:lpstr>
      <vt:lpstr>必要性202310(1)</vt:lpstr>
      <vt:lpstr>必要性202310(2)</vt:lpstr>
      <vt:lpstr>必要性202310(3)</vt:lpstr>
      <vt:lpstr>必要性202310(4)</vt:lpstr>
      <vt:lpstr>必要性202310(5)</vt:lpstr>
      <vt:lpstr>抑制、調整状況202310(1)</vt:lpstr>
      <vt:lpstr>抑制、調整状況202310(2)</vt:lpstr>
      <vt:lpstr>抑制、調整状況202310(3)</vt:lpstr>
      <vt:lpstr>抑制、調整状況202310(4)</vt:lpstr>
      <vt:lpstr>抑制、調整状況202310(5)</vt:lpstr>
      <vt:lpstr>必要性202311(1)</vt:lpstr>
      <vt:lpstr>必要性202311(2)</vt:lpstr>
      <vt:lpstr>必要性202311(3)</vt:lpstr>
      <vt:lpstr>抑制、調整状況 202311(1)</vt:lpstr>
      <vt:lpstr>抑制、調整状況 202311(2)</vt:lpstr>
      <vt:lpstr>抑制、調整状況202311(3)</vt:lpstr>
      <vt:lpstr>必要性202312(1)</vt:lpstr>
      <vt:lpstr>抑制、調整状況202312(1)</vt:lpstr>
      <vt:lpstr>必要性202401(1)</vt:lpstr>
      <vt:lpstr>抑制、調整状況202401(1)</vt:lpstr>
      <vt:lpstr>必要性202402(1)</vt:lpstr>
      <vt:lpstr>必要性 202402(2)</vt:lpstr>
      <vt:lpstr>抑制、調整状況202402(1)</vt:lpstr>
      <vt:lpstr>抑制、調整状況202402(2)</vt:lpstr>
      <vt:lpstr>必要性202403(1)</vt:lpstr>
      <vt:lpstr>必要性202403(2)</vt:lpstr>
      <vt:lpstr>必要性202403(3)</vt:lpstr>
      <vt:lpstr>必要性202403(4)</vt:lpstr>
      <vt:lpstr>必要性202403(5)</vt:lpstr>
      <vt:lpstr>抑制、調整状況202403(1)</vt:lpstr>
      <vt:lpstr>抑制、調整状況202403(2)</vt:lpstr>
      <vt:lpstr>抑制、調整状況202403(3)</vt:lpstr>
      <vt:lpstr>抑制、調整状況202403(4)</vt:lpstr>
      <vt:lpstr>抑制、調整状況202403(5)</vt:lpstr>
      <vt:lpstr>'2023年度'!Print_Area</vt:lpstr>
      <vt:lpstr>'2024年度'!Print_Area</vt:lpstr>
      <vt:lpstr>'2025年度'!Print_Area</vt:lpstr>
      <vt:lpstr>'必要性 202309(1)'!Print_Area</vt:lpstr>
      <vt:lpstr>'必要性 202402(2)'!Print_Area</vt:lpstr>
      <vt:lpstr>'必要性202304(1)'!Print_Area</vt:lpstr>
      <vt:lpstr>'必要性202304(2)'!Print_Area</vt:lpstr>
      <vt:lpstr>'必要性202304(3)'!Print_Area</vt:lpstr>
      <vt:lpstr>'必要性202304(4)'!Print_Area</vt:lpstr>
      <vt:lpstr>'必要性202305(1)'!Print_Area</vt:lpstr>
      <vt:lpstr>'必要性202305(2)'!Print_Area</vt:lpstr>
      <vt:lpstr>'必要性202305(3)'!Print_Area</vt:lpstr>
      <vt:lpstr>'必要性202305(4)'!Print_Area</vt:lpstr>
      <vt:lpstr>'必要性202305(5)'!Print_Area</vt:lpstr>
      <vt:lpstr>'必要性202306(1)'!Print_Area</vt:lpstr>
      <vt:lpstr>'必要性202306(2)'!Print_Area</vt:lpstr>
      <vt:lpstr>必要性202308!Print_Area</vt:lpstr>
      <vt:lpstr>'必要性202309(2)'!Print_Area</vt:lpstr>
      <vt:lpstr>'必要性202310(1)'!Print_Area</vt:lpstr>
      <vt:lpstr>'必要性202310(2)'!Print_Area</vt:lpstr>
      <vt:lpstr>'必要性202310(3)'!Print_Area</vt:lpstr>
      <vt:lpstr>'必要性202310(4)'!Print_Area</vt:lpstr>
      <vt:lpstr>'必要性202310(5)'!Print_Area</vt:lpstr>
      <vt:lpstr>'必要性202311(1)'!Print_Area</vt:lpstr>
      <vt:lpstr>'必要性202311(2)'!Print_Area</vt:lpstr>
      <vt:lpstr>'必要性202311(3)'!Print_Area</vt:lpstr>
      <vt:lpstr>'必要性202312(1)'!Print_Area</vt:lpstr>
      <vt:lpstr>'必要性202401(1)'!Print_Area</vt:lpstr>
      <vt:lpstr>'必要性202402(1)'!Print_Area</vt:lpstr>
      <vt:lpstr>'必要性202403(1)'!Print_Area</vt:lpstr>
      <vt:lpstr>'必要性202403(2)'!Print_Area</vt:lpstr>
      <vt:lpstr>'必要性202403(3)'!Print_Area</vt:lpstr>
      <vt:lpstr>'必要性202403(4)'!Print_Area</vt:lpstr>
      <vt:lpstr>'必要性202403(5)'!Print_Area</vt:lpstr>
      <vt:lpstr>'必要性202404(1)'!Print_Area</vt:lpstr>
      <vt:lpstr>'必要性202404(2)'!Print_Area</vt:lpstr>
      <vt:lpstr>'必要性202404(3)'!Print_Area</vt:lpstr>
      <vt:lpstr>'必要性202405(1)'!Print_Area</vt:lpstr>
      <vt:lpstr>'必要性202405(2)'!Print_Area</vt:lpstr>
      <vt:lpstr>'必要性202405(3)'!Print_Area</vt:lpstr>
      <vt:lpstr>'必要性202405(4)'!Print_Area</vt:lpstr>
      <vt:lpstr>'必要性202405(5)'!Print_Area</vt:lpstr>
      <vt:lpstr>'必要性202406(1)'!Print_Area</vt:lpstr>
      <vt:lpstr>'必要性202406(2)'!Print_Area</vt:lpstr>
      <vt:lpstr>'必要性202406(3)'!Print_Area</vt:lpstr>
      <vt:lpstr>'必要性202409(1)'!Print_Area</vt:lpstr>
      <vt:lpstr>'必要性202409(2)'!Print_Area</vt:lpstr>
      <vt:lpstr>'必要性202410(1)'!Print_Area</vt:lpstr>
      <vt:lpstr>'必要性202410(2)'!Print_Area</vt:lpstr>
      <vt:lpstr>'必要性202411(1)'!Print_Area</vt:lpstr>
      <vt:lpstr>'必要性202411(2)'!Print_Area</vt:lpstr>
      <vt:lpstr>'必要性202411(3)'!Print_Area</vt:lpstr>
      <vt:lpstr>'必要性202412(1)'!Print_Area</vt:lpstr>
      <vt:lpstr>'必要性202412(2)'!Print_Area</vt:lpstr>
      <vt:lpstr>'必要性202501(1)'!Print_Area</vt:lpstr>
      <vt:lpstr>'必要性202501(2)'!Print_Area</vt:lpstr>
      <vt:lpstr>'必要性202502(1)'!Print_Area</vt:lpstr>
      <vt:lpstr>'必要性202502(2)'!Print_Area</vt:lpstr>
      <vt:lpstr>'必要性202502(3)'!Print_Area</vt:lpstr>
      <vt:lpstr>'必要性202503(1)'!Print_Area</vt:lpstr>
      <vt:lpstr>'必要性202503(2)'!Print_Area</vt:lpstr>
      <vt:lpstr>'必要性202503(3)'!Print_Area</vt:lpstr>
      <vt:lpstr>'必要性202503(4)'!Print_Area</vt:lpstr>
      <vt:lpstr>'必要性202504(1)'!Print_Area</vt:lpstr>
      <vt:lpstr>'必要性202504(2)'!Print_Area</vt:lpstr>
      <vt:lpstr>'必要性202504(3)'!Print_Area</vt:lpstr>
      <vt:lpstr>'必要性202504(4)'!Print_Area</vt:lpstr>
      <vt:lpstr>'必要性202504(5)'!Print_Area</vt:lpstr>
      <vt:lpstr>'必要性202505(1)'!Print_Area</vt:lpstr>
      <vt:lpstr>'必要性202505(2)'!Print_Area</vt:lpstr>
      <vt:lpstr>'必要性202505(3)'!Print_Area</vt:lpstr>
      <vt:lpstr>'必要性202505(4)'!Print_Area</vt:lpstr>
      <vt:lpstr>'必要性202506(1)'!Print_Area</vt:lpstr>
      <vt:lpstr>'必要性202506(2)'!Print_Area</vt:lpstr>
      <vt:lpstr>'必要性202507(1)'!Print_Area</vt:lpstr>
      <vt:lpstr>'必要性202509(1)'!Print_Area</vt:lpstr>
      <vt:lpstr>'必要性202510(1)'!Print_Area</vt:lpstr>
      <vt:lpstr>'必要性202511(1)'!Print_Area</vt:lpstr>
      <vt:lpstr>'必要性202511(2)'!Print_Area</vt:lpstr>
      <vt:lpstr>'必要性202511(3)'!Print_Area</vt:lpstr>
      <vt:lpstr>'必要性202511(4)'!Print_Area</vt:lpstr>
      <vt:lpstr>'必要性202512(1)'!Print_Area</vt:lpstr>
      <vt:lpstr>'必要性202601(1)'!Print_Area</vt:lpstr>
      <vt:lpstr>'必要性202601(2)'!Print_Area</vt:lpstr>
      <vt:lpstr>'必要性202601(3)'!Print_Area</vt:lpstr>
      <vt:lpstr>'必要性202602(1)'!Print_Area</vt:lpstr>
      <vt:lpstr>'必要性202602(2)'!Print_Area</vt:lpstr>
      <vt:lpstr>'必要性202602(3)'!Print_Area</vt:lpstr>
      <vt:lpstr>'必要性202603(1)'!Print_Area</vt:lpstr>
      <vt:lpstr>'必要性202603(2)'!Print_Area</vt:lpstr>
      <vt:lpstr>'必要性202603(3)'!Print_Area</vt:lpstr>
      <vt:lpstr>'必要性202603(4)'!Print_Area</vt:lpstr>
      <vt:lpstr>'必要性202603(5)'!Print_Area</vt:lpstr>
      <vt:lpstr>'抑制、調整状況 202311(1)'!Print_Area</vt:lpstr>
      <vt:lpstr>'抑制、調整状況 202311(2)'!Print_Area</vt:lpstr>
      <vt:lpstr>'抑制、調整状況 202512(1)'!Print_Area</vt:lpstr>
      <vt:lpstr>'抑制、調整状況 202602(2)'!Print_Area</vt:lpstr>
      <vt:lpstr>'抑制、調整状況202304(1)'!Print_Area</vt:lpstr>
      <vt:lpstr>'抑制、調整状況202304(2)'!Print_Area</vt:lpstr>
      <vt:lpstr>'抑制、調整状況202304(3)'!Print_Area</vt:lpstr>
      <vt:lpstr>'抑制、調整状況202304(4)'!Print_Area</vt:lpstr>
      <vt:lpstr>'抑制、調整状況202305(1)'!Print_Area</vt:lpstr>
      <vt:lpstr>'抑制、調整状況202305(2)'!Print_Area</vt:lpstr>
      <vt:lpstr>'抑制、調整状況202305(3)'!Print_Area</vt:lpstr>
      <vt:lpstr>'抑制、調整状況202305(4)'!Print_Area</vt:lpstr>
      <vt:lpstr>'抑制、調整状況202305(5)'!Print_Area</vt:lpstr>
      <vt:lpstr>'抑制、調整状況202306(1)'!Print_Area</vt:lpstr>
      <vt:lpstr>'抑制、調整状況202306(2)'!Print_Area</vt:lpstr>
      <vt:lpstr>'抑制、調整状況202308'!Print_Area</vt:lpstr>
      <vt:lpstr>'抑制、調整状況202309(1)'!Print_Area</vt:lpstr>
      <vt:lpstr>'抑制、調整状況202309(2)'!Print_Area</vt:lpstr>
      <vt:lpstr>'抑制、調整状況202310(1)'!Print_Area</vt:lpstr>
      <vt:lpstr>'抑制、調整状況202310(2)'!Print_Area</vt:lpstr>
      <vt:lpstr>'抑制、調整状況202310(3)'!Print_Area</vt:lpstr>
      <vt:lpstr>'抑制、調整状況202310(4)'!Print_Area</vt:lpstr>
      <vt:lpstr>'抑制、調整状況202310(5)'!Print_Area</vt:lpstr>
      <vt:lpstr>'抑制、調整状況202311(3)'!Print_Area</vt:lpstr>
      <vt:lpstr>'抑制、調整状況202312(1)'!Print_Area</vt:lpstr>
      <vt:lpstr>'抑制、調整状況202401(1)'!Print_Area</vt:lpstr>
      <vt:lpstr>'抑制、調整状況202402(1)'!Print_Area</vt:lpstr>
      <vt:lpstr>'抑制、調整状況202402(2)'!Print_Area</vt:lpstr>
      <vt:lpstr>'抑制、調整状況202403(1)'!Print_Area</vt:lpstr>
      <vt:lpstr>'抑制、調整状況202403(2)'!Print_Area</vt:lpstr>
      <vt:lpstr>'抑制、調整状況202403(3)'!Print_Area</vt:lpstr>
      <vt:lpstr>'抑制、調整状況202403(4)'!Print_Area</vt:lpstr>
      <vt:lpstr>'抑制、調整状況202403(5)'!Print_Area</vt:lpstr>
      <vt:lpstr>'抑制、調整状況202404(1)'!Print_Area</vt:lpstr>
      <vt:lpstr>'抑制、調整状況202404(2)'!Print_Area</vt:lpstr>
      <vt:lpstr>'抑制、調整状況202404(3)'!Print_Area</vt:lpstr>
      <vt:lpstr>'抑制、調整状況202405(1)'!Print_Area</vt:lpstr>
      <vt:lpstr>'抑制、調整状況202405(2)'!Print_Area</vt:lpstr>
      <vt:lpstr>'抑制、調整状況202405(3)'!Print_Area</vt:lpstr>
      <vt:lpstr>'抑制、調整状況202405(4)'!Print_Area</vt:lpstr>
      <vt:lpstr>'抑制、調整状況202405(5)'!Print_Area</vt:lpstr>
      <vt:lpstr>'抑制、調整状況202406(1)'!Print_Area</vt:lpstr>
      <vt:lpstr>'抑制、調整状況202406(2)'!Print_Area</vt:lpstr>
      <vt:lpstr>'抑制、調整状況202406(3)'!Print_Area</vt:lpstr>
      <vt:lpstr>'抑制、調整状況202409(1)'!Print_Area</vt:lpstr>
      <vt:lpstr>'抑制、調整状況202410(1)'!Print_Area</vt:lpstr>
      <vt:lpstr>'抑制、調整状況202410(2)'!Print_Area</vt:lpstr>
      <vt:lpstr>'抑制、調整状況202411(1)'!Print_Area</vt:lpstr>
      <vt:lpstr>'抑制、調整状況202411(2)'!Print_Area</vt:lpstr>
      <vt:lpstr>'抑制、調整状況202411(3)'!Print_Area</vt:lpstr>
      <vt:lpstr>'抑制、調整状況202412(1)'!Print_Area</vt:lpstr>
      <vt:lpstr>'抑制、調整状況202412(2)'!Print_Area</vt:lpstr>
      <vt:lpstr>'抑制、調整状況202501(1)'!Print_Area</vt:lpstr>
      <vt:lpstr>'抑制、調整状況202501(2)'!Print_Area</vt:lpstr>
      <vt:lpstr>'抑制、調整状況202502(1)'!Print_Area</vt:lpstr>
      <vt:lpstr>'抑制、調整状況202502(2)'!Print_Area</vt:lpstr>
      <vt:lpstr>'抑制、調整状況202502(3)'!Print_Area</vt:lpstr>
      <vt:lpstr>'抑制、調整状況202503(1)'!Print_Area</vt:lpstr>
      <vt:lpstr>'抑制、調整状況202503(2)'!Print_Area</vt:lpstr>
      <vt:lpstr>'抑制、調整状況202503(3)'!Print_Area</vt:lpstr>
      <vt:lpstr>'抑制、調整状況202503(4)'!Print_Area</vt:lpstr>
      <vt:lpstr>'抑制、調整状況202504 (2)'!Print_Area</vt:lpstr>
      <vt:lpstr>'抑制、調整状況202504 (3)'!Print_Area</vt:lpstr>
      <vt:lpstr>'抑制、調整状況202504 (4)'!Print_Area</vt:lpstr>
      <vt:lpstr>'抑制、調整状況202504(1)'!Print_Area</vt:lpstr>
      <vt:lpstr>'抑制、調整状況202504（5）'!Print_Area</vt:lpstr>
      <vt:lpstr>'抑制、調整状況202505 (1)'!Print_Area</vt:lpstr>
      <vt:lpstr>'抑制、調整状況202505 (2)'!Print_Area</vt:lpstr>
      <vt:lpstr>'抑制、調整状況202505 (3)'!Print_Area</vt:lpstr>
      <vt:lpstr>'抑制、調整状況202505 (4)'!Print_Area</vt:lpstr>
      <vt:lpstr>'抑制、調整状況202506 (1)'!Print_Area</vt:lpstr>
      <vt:lpstr>'抑制、調整状況202506 (2)'!Print_Area</vt:lpstr>
      <vt:lpstr>'抑制、調整状況202507(1)'!Print_Area</vt:lpstr>
      <vt:lpstr>'抑制、調整状況202509(1)'!Print_Area</vt:lpstr>
      <vt:lpstr>'抑制、調整状況202510 (1)'!Print_Area</vt:lpstr>
      <vt:lpstr>'抑制、調整状況202511(1)'!Print_Area</vt:lpstr>
      <vt:lpstr>'抑制、調整状況202511(2)'!Print_Area</vt:lpstr>
      <vt:lpstr>'抑制、調整状況202511(3)'!Print_Area</vt:lpstr>
      <vt:lpstr>'抑制、調整状況202511(4)'!Print_Area</vt:lpstr>
      <vt:lpstr>'抑制、調整状況202601(1)'!Print_Area</vt:lpstr>
      <vt:lpstr>'抑制、調整状況202601(2)'!Print_Area</vt:lpstr>
      <vt:lpstr>'抑制、調整状況202601(3)'!Print_Area</vt:lpstr>
      <vt:lpstr>'抑制、調整状況202602(1)'!Print_Area</vt:lpstr>
      <vt:lpstr>'抑制、調整状況202602(3)'!Print_Area</vt:lpstr>
      <vt:lpstr>'抑制、調整状況202603(1)'!Print_Area</vt:lpstr>
      <vt:lpstr>'抑制、調整状況202603(2)'!Print_Area</vt:lpstr>
      <vt:lpstr>'抑制、調整状況202603(3)'!Print_Area</vt:lpstr>
      <vt:lpstr>'抑制、調整状況202603(4)'!Print_Area</vt:lpstr>
      <vt:lpstr>'抑制、調整状況202603(5)'!Print_Area</vt:lpstr>
      <vt:lpstr>'抑制、調整状況20409(2)'!Print_Area</vt:lpstr>
    </vt:vector>
  </TitlesOfParts>
  <Company>電力広域的運営推進機関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九州本土検証資料別紙（説明用）</dc:title>
  <dc:subject>九州本土検証資料別紙（説明用）</dc:subject>
  <dc:creator>運用部　原田豊</dc:creator>
  <cp:lastModifiedBy>渋谷　絹史</cp:lastModifiedBy>
  <cp:lastPrinted>2024-05-16T05:33:17Z</cp:lastPrinted>
  <dcterms:created xsi:type="dcterms:W3CDTF">2018-04-16T09:07:48Z</dcterms:created>
  <dcterms:modified xsi:type="dcterms:W3CDTF">2026-05-28T06:32:40Z</dcterms:modified>
</cp:coreProperties>
</file>