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pnfsvn03\九州本土再エネ対応共有ドライブ\06_再エネ出力制御指示に関する報告（ＨＰ公表）\2023年度\"/>
    </mc:Choice>
  </mc:AlternateContent>
  <xr:revisionPtr revIDLastSave="0" documentId="13_ncr:1_{130D7A58-ABEB-4629-925C-15506801A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度" sheetId="7" r:id="rId1"/>
    <sheet name="2022年度" sheetId="6" r:id="rId2"/>
    <sheet name="2021年度" sheetId="4" r:id="rId3"/>
    <sheet name="2020年度" sheetId="3" r:id="rId4"/>
    <sheet name="2019年度" sheetId="1" r:id="rId5"/>
    <sheet name="2018年度" sheetId="2" r:id="rId6"/>
  </sheets>
  <externalReferences>
    <externalReference r:id="rId7"/>
    <externalReference r:id="rId8"/>
  </externalReferences>
  <definedNames>
    <definedName name="EDC新大分">[1]表示切替!$C$3</definedName>
    <definedName name="MAXﾊﾞﾗﾝｽ">#REF!,#REF!,#REF!</definedName>
    <definedName name="ｎ＿年月">#REF!</definedName>
    <definedName name="ＰＣ単価">#REF!</definedName>
    <definedName name="_xlnm.Print_Area" localSheetId="5">'2018年度'!$B$1:$CU$33</definedName>
    <definedName name="_xlnm.Print_Area" localSheetId="4">'2019年度'!$B$1:$TT$35</definedName>
    <definedName name="_xlnm.Print_Area" localSheetId="3">'2020年度'!$A$1:$VR$35</definedName>
    <definedName name="_xlnm.Print_Area" localSheetId="2">'2021年度'!$A$1:$APE$34</definedName>
    <definedName name="_xlnm.Print_Area" localSheetId="1">'2022年度'!$A$1:$AKZ$34</definedName>
    <definedName name="_xlnm.Print_Area" localSheetId="0">'2023年度'!$A$1:$BGF$30</definedName>
    <definedName name="Ｗ＿年月">#REF!</definedName>
    <definedName name="ﾊﾞﾗﾝｽ1">#REF!</definedName>
    <definedName name="ﾊﾞﾗﾝｽ2">#REF!</definedName>
    <definedName name="ﾊﾞﾗﾝｽ3">#REF!</definedName>
    <definedName name="ﾊﾞﾗﾝｽ4">#REF!</definedName>
    <definedName name="ﾊﾞﾗﾝｽ5">#REF!</definedName>
    <definedName name="ﾊﾞﾗﾝｽ6">#REF!</definedName>
    <definedName name="ﾊﾞﾗﾝｽ7">#REF!</definedName>
    <definedName name="ﾊﾞﾗﾝｽ8">#REF!</definedName>
    <definedName name="ﾊﾞﾗﾝｽ9">#REF!</definedName>
    <definedName name="ユニット名">#REF!</definedName>
    <definedName name="為替">#REF!</definedName>
    <definedName name="軽油">#REF!</definedName>
    <definedName name="原油ＦＯＢ">#REF!</definedName>
    <definedName name="差異欄">[2]差異算出!$H$7:$H$31,[2]差異算出!#REF!</definedName>
    <definedName name="最小電力想定">#REF!</definedName>
    <definedName name="最大電力想定">#REF!</definedName>
    <definedName name="事業税率">#REF!</definedName>
    <definedName name="需要想定">#REF!</definedName>
    <definedName name="週末３０Ｈ">#REF!</definedName>
    <definedName name="週末６０Ｈ">#REF!</definedName>
    <definedName name="深夜">#REF!</definedName>
    <definedName name="先月_月">#REF!</definedName>
    <definedName name="送電端単価">#REF!</definedName>
    <definedName name="増分端単価">#REF!</definedName>
    <definedName name="電力量想定">#REF!</definedName>
    <definedName name="年月">#REF!</definedName>
    <definedName name="燃料他単価ＭＡＸ">#REF!</definedName>
    <definedName name="冷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G23" i="7" l="1"/>
  <c r="GX23" i="7"/>
  <c r="AW22" i="7"/>
  <c r="CC22" i="7"/>
  <c r="BJ22" i="7"/>
  <c r="CK22" i="7"/>
  <c r="EA22" i="7"/>
  <c r="GY22" i="7"/>
  <c r="IU22" i="7"/>
  <c r="KB22" i="7"/>
  <c r="NE22" i="7"/>
  <c r="OO22" i="7"/>
  <c r="UG22" i="7"/>
  <c r="WR22" i="7"/>
  <c r="WN22" i="7"/>
  <c r="WM22" i="7"/>
  <c r="XJ22" i="7"/>
  <c r="XI22" i="7"/>
  <c r="ACB22" i="7"/>
  <c r="ABI22" i="7"/>
  <c r="ADC22" i="7"/>
  <c r="ACX22" i="7"/>
  <c r="ADO22" i="7"/>
  <c r="AFE22" i="7"/>
  <c r="AFR22" i="7"/>
  <c r="AHB22" i="7"/>
  <c r="ALA22" i="7"/>
  <c r="ALW22" i="7"/>
  <c r="AOK22" i="7"/>
  <c r="APX22" i="7"/>
  <c r="AVC22" i="7"/>
  <c r="BCJ22" i="7"/>
  <c r="AW21" i="7"/>
  <c r="CC21" i="7"/>
  <c r="BX21" i="7"/>
  <c r="BS21" i="7"/>
  <c r="BJ21" i="7"/>
  <c r="CK21" i="7"/>
  <c r="EE21" i="7"/>
  <c r="EA21" i="7"/>
  <c r="GY21" i="7"/>
  <c r="IU21" i="7"/>
  <c r="KB21" i="7"/>
  <c r="NE21" i="7"/>
  <c r="OO21" i="7"/>
  <c r="UG21" i="7"/>
  <c r="WR21" i="7"/>
  <c r="WN21" i="7"/>
  <c r="WM21" i="7"/>
  <c r="XJ21" i="7"/>
  <c r="XI21" i="7"/>
  <c r="ACB21" i="7"/>
  <c r="ABI21" i="7"/>
  <c r="ADC21" i="7"/>
  <c r="ACX21" i="7"/>
  <c r="ADO21" i="7"/>
  <c r="AFE21" i="7"/>
  <c r="AFR21" i="7"/>
  <c r="AHB21" i="7"/>
  <c r="ALA21" i="7"/>
  <c r="ALW21" i="7"/>
  <c r="AOK21" i="7"/>
  <c r="APX21" i="7"/>
  <c r="AVC21" i="7"/>
  <c r="BCJ21" i="7"/>
  <c r="HP20" i="7"/>
  <c r="HP23" i="7" s="1"/>
  <c r="AHG20" i="7"/>
  <c r="AHG23" i="7" s="1"/>
  <c r="ALA20" i="7"/>
  <c r="ALW20" i="7"/>
  <c r="AW19" i="7"/>
  <c r="BJ19" i="7"/>
  <c r="CK19" i="7"/>
  <c r="EA19" i="7"/>
  <c r="GY19" i="7"/>
  <c r="KB19" i="7"/>
  <c r="NE19" i="7"/>
  <c r="OO19" i="7"/>
  <c r="UG19" i="7"/>
  <c r="WR19" i="7"/>
  <c r="WN19" i="7"/>
  <c r="WM19" i="7"/>
  <c r="XJ19" i="7"/>
  <c r="XI19" i="7"/>
  <c r="ACB19" i="7"/>
  <c r="ABI19" i="7"/>
  <c r="ADC19" i="7"/>
  <c r="ACX19" i="7"/>
  <c r="ADO19" i="7"/>
  <c r="AFE19" i="7"/>
  <c r="AFR19" i="7"/>
  <c r="AHB19" i="7"/>
  <c r="AOK19" i="7"/>
  <c r="APX19" i="7"/>
  <c r="AVC19" i="7"/>
  <c r="BCJ19" i="7"/>
  <c r="AW18" i="7"/>
  <c r="BJ18" i="7"/>
  <c r="CK18" i="7"/>
  <c r="EA18" i="7"/>
  <c r="GY18" i="7"/>
  <c r="IU18" i="7"/>
  <c r="KB18" i="7"/>
  <c r="NE18" i="7"/>
  <c r="OO18" i="7"/>
  <c r="UG18" i="7"/>
  <c r="WR18" i="7"/>
  <c r="WN18" i="7"/>
  <c r="WM18" i="7"/>
  <c r="XJ18" i="7"/>
  <c r="XI18" i="7"/>
  <c r="ACB18" i="7"/>
  <c r="ADC18" i="7"/>
  <c r="ACX18" i="7"/>
  <c r="ADO18" i="7"/>
  <c r="AFE18" i="7"/>
  <c r="AFR18" i="7"/>
  <c r="AHB18" i="7"/>
  <c r="AOK18" i="7"/>
  <c r="APX18" i="7"/>
  <c r="AVC18" i="7"/>
  <c r="BCJ18" i="7"/>
  <c r="AW17" i="7"/>
  <c r="CC17" i="7"/>
  <c r="CC20" i="7" s="1"/>
  <c r="BJ17" i="7"/>
  <c r="CK17" i="7"/>
  <c r="EA17" i="7"/>
  <c r="GY17" i="7"/>
  <c r="IU17" i="7"/>
  <c r="KB17" i="7"/>
  <c r="NE17" i="7"/>
  <c r="OO17" i="7"/>
  <c r="UG17" i="7"/>
  <c r="WR17" i="7"/>
  <c r="WN17" i="7"/>
  <c r="WM17" i="7"/>
  <c r="XJ17" i="7"/>
  <c r="XI17" i="7"/>
  <c r="ACB17" i="7"/>
  <c r="ABI17" i="7"/>
  <c r="ADC17" i="7"/>
  <c r="ACX17" i="7"/>
  <c r="ADO17" i="7"/>
  <c r="AFE17" i="7"/>
  <c r="AFR17" i="7"/>
  <c r="AHB17" i="7"/>
  <c r="AOK17" i="7"/>
  <c r="APX17" i="7"/>
  <c r="AVC17" i="7"/>
  <c r="BCJ17" i="7"/>
  <c r="AFE16" i="7"/>
  <c r="W1" i="7"/>
  <c r="AX1" i="7"/>
  <c r="CC1" i="7"/>
  <c r="CZ1" i="7"/>
  <c r="EE1" i="7"/>
  <c r="FF1" i="7"/>
  <c r="GG1" i="7"/>
  <c r="HH1" i="7"/>
  <c r="II1" i="7"/>
  <c r="JF1" i="7"/>
  <c r="KG1" i="7"/>
  <c r="LH1" i="7"/>
  <c r="MI1" i="7"/>
  <c r="NJ1" i="7"/>
  <c r="OO1" i="7"/>
  <c r="PP1" i="7"/>
  <c r="QQ1" i="7"/>
  <c r="RR1" i="7"/>
  <c r="SS1" i="7"/>
  <c r="TT1" i="7"/>
  <c r="UU1" i="7"/>
  <c r="VV1" i="7"/>
  <c r="WS1" i="7"/>
  <c r="XX1" i="7"/>
  <c r="YQ1" i="7"/>
  <c r="ZR1" i="7"/>
  <c r="ABA1" i="7"/>
  <c r="ACB1" i="7"/>
  <c r="ADC1" i="7"/>
  <c r="ADV1" i="7"/>
  <c r="AFE1" i="7"/>
  <c r="AGA1" i="7"/>
  <c r="AHC1" i="7"/>
  <c r="AIH1" i="7"/>
  <c r="AJI1" i="7"/>
  <c r="AKJ1" i="7"/>
  <c r="ALK1" i="7"/>
  <c r="AML1" i="7"/>
  <c r="ANM1" i="7"/>
  <c r="AOO1" i="7"/>
  <c r="APG1" i="7"/>
  <c r="AQQ1" i="7"/>
  <c r="ARN1" i="7"/>
  <c r="ASS1" i="7"/>
  <c r="ATT1" i="7"/>
  <c r="AUQ1" i="7"/>
  <c r="AVS1" i="7"/>
  <c r="AWT1" i="7"/>
  <c r="AXT1" i="7"/>
  <c r="AYV1" i="7"/>
  <c r="AZW1" i="7"/>
  <c r="BAW1" i="7"/>
  <c r="BBX1" i="7"/>
  <c r="BDC1" i="7"/>
  <c r="BED1" i="7"/>
  <c r="BFE1" i="7"/>
  <c r="BGA1" i="7"/>
  <c r="ALW23" i="7" l="1"/>
  <c r="ABI20" i="7"/>
  <c r="ABI23" i="7" s="1"/>
  <c r="WN20" i="7"/>
  <c r="WN23" i="7" s="1"/>
  <c r="AOK20" i="7"/>
  <c r="AOK23" i="7" s="1"/>
  <c r="ADO20" i="7"/>
  <c r="ADO23" i="7" s="1"/>
  <c r="AFE20" i="7"/>
  <c r="AFE23" i="7" s="1"/>
  <c r="WM20" i="7"/>
  <c r="WM23" i="7" s="1"/>
  <c r="AFR20" i="7"/>
  <c r="AFR23" i="7" s="1"/>
  <c r="XJ20" i="7"/>
  <c r="XJ23" i="7" s="1"/>
  <c r="IU20" i="7"/>
  <c r="IU23" i="7" s="1"/>
  <c r="ADC20" i="7"/>
  <c r="ADC23" i="7" s="1"/>
  <c r="BJ20" i="7"/>
  <c r="BJ23" i="7" s="1"/>
  <c r="APX20" i="7"/>
  <c r="APX23" i="7" s="1"/>
  <c r="EA20" i="7"/>
  <c r="EA23" i="7" s="1"/>
  <c r="BCJ20" i="7"/>
  <c r="BCJ23" i="7" s="1"/>
  <c r="ACB20" i="7"/>
  <c r="ACB23" i="7" s="1"/>
  <c r="OO20" i="7"/>
  <c r="AVC20" i="7"/>
  <c r="AVC23" i="7" s="1"/>
  <c r="CK20" i="7"/>
  <c r="CK23" i="7" s="1"/>
  <c r="AHB20" i="7"/>
  <c r="AHB23" i="7" s="1"/>
  <c r="UG20" i="7"/>
  <c r="UG23" i="7" s="1"/>
  <c r="NE20" i="7"/>
  <c r="NE23" i="7" s="1"/>
  <c r="AW20" i="7"/>
  <c r="AW23" i="7" s="1"/>
  <c r="XI20" i="7"/>
  <c r="XI23" i="7" s="1"/>
  <c r="KB20" i="7"/>
  <c r="KB23" i="7" s="1"/>
  <c r="ACX20" i="7"/>
  <c r="ACX23" i="7" s="1"/>
  <c r="WR20" i="7"/>
  <c r="WR23" i="7" s="1"/>
  <c r="GY20" i="7"/>
  <c r="GY23" i="7" s="1"/>
  <c r="CC23" i="7"/>
  <c r="CQ25" i="6" l="1"/>
  <c r="FK25" i="6"/>
  <c r="GP25" i="6"/>
  <c r="RY25" i="6"/>
  <c r="RX25" i="6"/>
  <c r="RW25" i="6"/>
  <c r="Z24" i="6"/>
  <c r="U24" i="6"/>
  <c r="P24" i="6"/>
  <c r="AK24" i="6"/>
  <c r="AG24" i="6"/>
  <c r="BK24" i="6"/>
  <c r="CP24" i="6"/>
  <c r="CL24" i="6"/>
  <c r="CK24" i="6"/>
  <c r="DV24" i="6"/>
  <c r="DQ24" i="6"/>
  <c r="DP24" i="6"/>
  <c r="EZ24" i="6"/>
  <c r="EU24" i="6"/>
  <c r="EQ24" i="6"/>
  <c r="EP24" i="6"/>
  <c r="EK24" i="6"/>
  <c r="FL24" i="6"/>
  <c r="GZ24" i="6"/>
  <c r="GU24" i="6"/>
  <c r="GK24" i="6"/>
  <c r="HZ24" i="6"/>
  <c r="HV24" i="6"/>
  <c r="HU24" i="6"/>
  <c r="HK24" i="6"/>
  <c r="IZ24" i="6"/>
  <c r="IU24" i="6"/>
  <c r="IP24" i="6"/>
  <c r="IG24" i="6"/>
  <c r="JV24" i="6"/>
  <c r="JQ24" i="6"/>
  <c r="KU24" i="6"/>
  <c r="KQ24" i="6"/>
  <c r="KG24" i="6"/>
  <c r="LZ24" i="6"/>
  <c r="LG24" i="6"/>
  <c r="MZ24" i="6"/>
  <c r="MU24" i="6"/>
  <c r="NP24" i="6"/>
  <c r="NL24" i="6"/>
  <c r="NK24" i="6"/>
  <c r="OZ24" i="6"/>
  <c r="OK24" i="6"/>
  <c r="PZ24" i="6"/>
  <c r="QU24" i="6"/>
  <c r="QQ24" i="6"/>
  <c r="QK24" i="6"/>
  <c r="TQ24" i="6"/>
  <c r="TP24" i="6"/>
  <c r="TK24" i="6"/>
  <c r="ACL24" i="6"/>
  <c r="ACK24" i="6"/>
  <c r="ADU24" i="6"/>
  <c r="ADP24" i="6"/>
  <c r="AEQ24" i="6"/>
  <c r="AEP24" i="6"/>
  <c r="AEK24" i="6"/>
  <c r="AGZ24" i="6"/>
  <c r="AHG24" i="6"/>
  <c r="Z23" i="6"/>
  <c r="U23" i="6"/>
  <c r="P23" i="6"/>
  <c r="AK23" i="6"/>
  <c r="AG23" i="6"/>
  <c r="BK23" i="6"/>
  <c r="CP23" i="6"/>
  <c r="CL23" i="6"/>
  <c r="CK23" i="6"/>
  <c r="DV23" i="6"/>
  <c r="DQ23" i="6"/>
  <c r="DP23" i="6"/>
  <c r="EZ23" i="6"/>
  <c r="EU23" i="6"/>
  <c r="EQ23" i="6"/>
  <c r="EP23" i="6"/>
  <c r="EK23" i="6"/>
  <c r="FL23" i="6"/>
  <c r="GZ23" i="6"/>
  <c r="GU23" i="6"/>
  <c r="GU25" i="6" s="1"/>
  <c r="GK23" i="6"/>
  <c r="GK25" i="6" s="1"/>
  <c r="HZ23" i="6"/>
  <c r="HV23" i="6"/>
  <c r="HU23" i="6"/>
  <c r="HU25" i="6" s="1"/>
  <c r="HK23" i="6"/>
  <c r="IZ23" i="6"/>
  <c r="IU23" i="6"/>
  <c r="IP23" i="6"/>
  <c r="IG23" i="6"/>
  <c r="JV23" i="6"/>
  <c r="JQ23" i="6"/>
  <c r="KU23" i="6"/>
  <c r="KQ23" i="6"/>
  <c r="KG23" i="6"/>
  <c r="LZ23" i="6"/>
  <c r="LP23" i="6"/>
  <c r="LP25" i="6" s="1"/>
  <c r="LK23" i="6"/>
  <c r="LG23" i="6"/>
  <c r="MZ23" i="6"/>
  <c r="MU23" i="6"/>
  <c r="NP23" i="6"/>
  <c r="NK23" i="6"/>
  <c r="OZ23" i="6"/>
  <c r="OK23" i="6"/>
  <c r="PZ23" i="6"/>
  <c r="QU23" i="6"/>
  <c r="QQ23" i="6"/>
  <c r="QK23" i="6"/>
  <c r="TQ23" i="6"/>
  <c r="TP23" i="6"/>
  <c r="TK23" i="6"/>
  <c r="ACL23" i="6"/>
  <c r="ACK23" i="6"/>
  <c r="ADU23" i="6"/>
  <c r="ADP23" i="6"/>
  <c r="AEQ23" i="6"/>
  <c r="AEP23" i="6"/>
  <c r="AEK23" i="6"/>
  <c r="AGZ23" i="6"/>
  <c r="AHG23" i="6"/>
  <c r="AIU23" i="6"/>
  <c r="AJZ23" i="6"/>
  <c r="U22" i="6"/>
  <c r="P22" i="6"/>
  <c r="AZ22" i="6"/>
  <c r="AZ25" i="6" s="1"/>
  <c r="AU22" i="6"/>
  <c r="AU25" i="6" s="1"/>
  <c r="AP22" i="6"/>
  <c r="AP25" i="6" s="1"/>
  <c r="AK22" i="6"/>
  <c r="BU22" i="6"/>
  <c r="BU25" i="6" s="1"/>
  <c r="BP22" i="6"/>
  <c r="BP25" i="6" s="1"/>
  <c r="BK22" i="6"/>
  <c r="CZ22" i="6"/>
  <c r="CZ25" i="6" s="1"/>
  <c r="CU22" i="6"/>
  <c r="CU25" i="6" s="1"/>
  <c r="CP22" i="6"/>
  <c r="CL22" i="6"/>
  <c r="CK22" i="6"/>
  <c r="DZ22" i="6"/>
  <c r="DZ25" i="6" s="1"/>
  <c r="DV22" i="6"/>
  <c r="DP22" i="6"/>
  <c r="DK22" i="6"/>
  <c r="DK25" i="6" s="1"/>
  <c r="EU22" i="6"/>
  <c r="EP22" i="6"/>
  <c r="FZ22" i="6"/>
  <c r="FZ25" i="6" s="1"/>
  <c r="FP22" i="6"/>
  <c r="FP25" i="6" s="1"/>
  <c r="FK22" i="6"/>
  <c r="GZ22" i="6"/>
  <c r="GU22" i="6"/>
  <c r="GP22" i="6"/>
  <c r="GK22" i="6"/>
  <c r="HZ22" i="6"/>
  <c r="HP22" i="6"/>
  <c r="HP25" i="6" s="1"/>
  <c r="HK22" i="6"/>
  <c r="IZ22" i="6"/>
  <c r="IU22" i="6"/>
  <c r="IK22" i="6"/>
  <c r="JP22" i="6"/>
  <c r="JK22" i="6"/>
  <c r="KU22" i="6"/>
  <c r="KP22" i="6"/>
  <c r="LZ22" i="6"/>
  <c r="LK22" i="6"/>
  <c r="MZ22" i="6"/>
  <c r="MU22" i="6"/>
  <c r="MP22" i="6"/>
  <c r="MK22" i="6"/>
  <c r="MG22" i="6"/>
  <c r="MG25" i="6" s="1"/>
  <c r="NK22" i="6"/>
  <c r="OK22" i="6"/>
  <c r="PU22" i="6"/>
  <c r="PU25" i="6" s="1"/>
  <c r="PP22" i="6"/>
  <c r="PP25" i="6" s="1"/>
  <c r="PK22" i="6"/>
  <c r="PK25" i="6" s="1"/>
  <c r="RZ22" i="6"/>
  <c r="RZ25" i="6" s="1"/>
  <c r="RV22" i="6"/>
  <c r="RV25" i="6" s="1"/>
  <c r="RU22" i="6"/>
  <c r="RU25" i="6" s="1"/>
  <c r="RP22" i="6"/>
  <c r="RP25" i="6" s="1"/>
  <c r="RK22" i="6"/>
  <c r="RK25" i="6" s="1"/>
  <c r="TP22" i="6"/>
  <c r="TL22" i="6"/>
  <c r="TL25" i="6" s="1"/>
  <c r="UP22" i="6"/>
  <c r="UP25" i="6" s="1"/>
  <c r="VG22" i="6"/>
  <c r="VG25" i="6" s="1"/>
  <c r="Z21" i="6"/>
  <c r="AG21" i="6"/>
  <c r="CL21" i="6"/>
  <c r="DV21" i="6"/>
  <c r="EZ21" i="6"/>
  <c r="EQ21" i="6"/>
  <c r="EK21" i="6"/>
  <c r="FL21" i="6"/>
  <c r="HV21" i="6"/>
  <c r="HU21" i="6"/>
  <c r="IP21" i="6"/>
  <c r="IG21" i="6"/>
  <c r="JV21" i="6"/>
  <c r="JQ21" i="6"/>
  <c r="KQ21" i="6"/>
  <c r="KG21" i="6"/>
  <c r="LG21" i="6"/>
  <c r="PZ21" i="6"/>
  <c r="QU21" i="6"/>
  <c r="QQ21" i="6"/>
  <c r="QK21" i="6"/>
  <c r="TQ21" i="6"/>
  <c r="ACL21" i="6"/>
  <c r="ACK21" i="6"/>
  <c r="ADU21" i="6"/>
  <c r="ADP21" i="6"/>
  <c r="AEQ21" i="6"/>
  <c r="AEK21" i="6"/>
  <c r="AGZ21" i="6"/>
  <c r="AHG21" i="6"/>
  <c r="Z20" i="6"/>
  <c r="AG20" i="6"/>
  <c r="CL20" i="6"/>
  <c r="DV20" i="6"/>
  <c r="DQ20" i="6"/>
  <c r="EZ20" i="6"/>
  <c r="EQ20" i="6"/>
  <c r="EK20" i="6"/>
  <c r="FL20" i="6"/>
  <c r="HV20" i="6"/>
  <c r="HU20" i="6"/>
  <c r="IP20" i="6"/>
  <c r="IG20" i="6"/>
  <c r="JV20" i="6"/>
  <c r="JQ20" i="6"/>
  <c r="KQ20" i="6"/>
  <c r="KG20" i="6"/>
  <c r="LG20" i="6"/>
  <c r="OZ20" i="6"/>
  <c r="PZ20" i="6"/>
  <c r="QU20" i="6"/>
  <c r="QQ20" i="6"/>
  <c r="QK20" i="6"/>
  <c r="TQ20" i="6"/>
  <c r="ACL20" i="6"/>
  <c r="ACK20" i="6"/>
  <c r="ADU20" i="6"/>
  <c r="ADP20" i="6"/>
  <c r="AEQ20" i="6"/>
  <c r="AEK20" i="6"/>
  <c r="AGZ20" i="6"/>
  <c r="AHG20" i="6"/>
  <c r="Z19" i="6"/>
  <c r="AG19" i="6"/>
  <c r="CL19" i="6"/>
  <c r="DV19" i="6"/>
  <c r="DQ19" i="6"/>
  <c r="EZ19" i="6"/>
  <c r="EQ19" i="6"/>
  <c r="EK19" i="6"/>
  <c r="FL19" i="6"/>
  <c r="HV19" i="6"/>
  <c r="HU19" i="6"/>
  <c r="IP19" i="6"/>
  <c r="IG19" i="6"/>
  <c r="JV19" i="6"/>
  <c r="JQ19" i="6"/>
  <c r="KQ19" i="6"/>
  <c r="KG19" i="6"/>
  <c r="LG19" i="6"/>
  <c r="NP19" i="6"/>
  <c r="NP22" i="6" s="1"/>
  <c r="NL19" i="6"/>
  <c r="NL22" i="6" s="1"/>
  <c r="NL25" i="6" s="1"/>
  <c r="OZ19" i="6"/>
  <c r="PZ19" i="6"/>
  <c r="QU19" i="6"/>
  <c r="QQ19" i="6"/>
  <c r="QK19" i="6"/>
  <c r="TQ19" i="6"/>
  <c r="ACL19" i="6"/>
  <c r="ACK19" i="6"/>
  <c r="ADU19" i="6"/>
  <c r="ADP19" i="6"/>
  <c r="AEQ19" i="6"/>
  <c r="AEP19" i="6"/>
  <c r="AEP22" i="6" s="1"/>
  <c r="AEK19" i="6"/>
  <c r="AGZ19" i="6"/>
  <c r="AHG19" i="6"/>
  <c r="AEP18" i="6"/>
  <c r="AGZ22" i="6" l="1"/>
  <c r="AGZ25" i="6" s="1"/>
  <c r="JQ22" i="6"/>
  <c r="JQ25" i="6" s="1"/>
  <c r="AHG22" i="6"/>
  <c r="AHG25" i="6" s="1"/>
  <c r="TQ22" i="6"/>
  <c r="TQ25" i="6" s="1"/>
  <c r="QK22" i="6"/>
  <c r="QK25" i="6" s="1"/>
  <c r="CP25" i="6"/>
  <c r="JV22" i="6"/>
  <c r="JV25" i="6" s="1"/>
  <c r="EZ22" i="6"/>
  <c r="EZ25" i="6" s="1"/>
  <c r="ADP22" i="6"/>
  <c r="ADP25" i="6" s="1"/>
  <c r="LG22" i="6"/>
  <c r="LG25" i="6" s="1"/>
  <c r="HV22" i="6"/>
  <c r="HV25" i="6" s="1"/>
  <c r="AG22" i="6"/>
  <c r="AG25" i="6" s="1"/>
  <c r="KQ22" i="6"/>
  <c r="KQ25" i="6" s="1"/>
  <c r="EK22" i="6"/>
  <c r="EK25" i="6" s="1"/>
  <c r="ACL22" i="6"/>
  <c r="ACL25" i="6" s="1"/>
  <c r="EU25" i="6"/>
  <c r="AK25" i="6"/>
  <c r="ACK22" i="6"/>
  <c r="ACK25" i="6" s="1"/>
  <c r="IP22" i="6"/>
  <c r="IP25" i="6" s="1"/>
  <c r="AEP25" i="6"/>
  <c r="NP25" i="6"/>
  <c r="CK25" i="6"/>
  <c r="EP25" i="6"/>
  <c r="CL25" i="6"/>
  <c r="HZ25" i="6"/>
  <c r="BK25" i="6"/>
  <c r="QQ22" i="6"/>
  <c r="QQ25" i="6" s="1"/>
  <c r="KG22" i="6"/>
  <c r="KG25" i="6" s="1"/>
  <c r="FL22" i="6"/>
  <c r="FL25" i="6" s="1"/>
  <c r="Z22" i="6"/>
  <c r="Z25" i="6" s="1"/>
  <c r="AEK22" i="6"/>
  <c r="AEK25" i="6" s="1"/>
  <c r="AEQ22" i="6"/>
  <c r="AEQ25" i="6" s="1"/>
  <c r="QU22" i="6"/>
  <c r="QU25" i="6" s="1"/>
  <c r="OK25" i="6"/>
  <c r="DP25" i="6"/>
  <c r="PZ22" i="6"/>
  <c r="PZ25" i="6" s="1"/>
  <c r="LZ25" i="6"/>
  <c r="GZ25" i="6"/>
  <c r="P25" i="6"/>
  <c r="ADU22" i="6"/>
  <c r="ADU25" i="6" s="1"/>
  <c r="OZ22" i="6"/>
  <c r="OZ25" i="6" s="1"/>
  <c r="IG22" i="6"/>
  <c r="IG25" i="6" s="1"/>
  <c r="DV25" i="6"/>
  <c r="U25" i="6"/>
  <c r="AKB25" i="4" l="1"/>
  <c r="AAV25" i="4"/>
  <c r="ZL25" i="4"/>
  <c r="UV25" i="4"/>
  <c r="UQ25" i="4"/>
  <c r="FK25" i="4"/>
  <c r="AOP24" i="4"/>
  <c r="ANS24" i="4"/>
  <c r="AMR24" i="4"/>
  <c r="ALW24" i="4"/>
  <c r="ALN24" i="4"/>
  <c r="ALI24" i="4"/>
  <c r="ALB24" i="4"/>
  <c r="AKW24" i="4"/>
  <c r="AKR24" i="4"/>
  <c r="AJS24" i="4"/>
  <c r="AJM24" i="4"/>
  <c r="AJI24" i="4"/>
  <c r="AIX24" i="4"/>
  <c r="AIS24" i="4"/>
  <c r="AIR24" i="4"/>
  <c r="AIN24" i="4"/>
  <c r="AIM24" i="4"/>
  <c r="AIB24" i="4"/>
  <c r="AHX24" i="4"/>
  <c r="AHR24" i="4"/>
  <c r="AHN24" i="4"/>
  <c r="AHM24" i="4"/>
  <c r="AHI24" i="4"/>
  <c r="AGW24" i="4"/>
  <c r="AGN24" i="4"/>
  <c r="AGM24" i="4"/>
  <c r="AGI24" i="4"/>
  <c r="AGB24" i="4"/>
  <c r="AFX24" i="4"/>
  <c r="AFS24" i="4"/>
  <c r="AFR24" i="4"/>
  <c r="AFM24" i="4"/>
  <c r="AFB24" i="4"/>
  <c r="AEW24" i="4"/>
  <c r="AES24" i="4"/>
  <c r="AER24" i="4"/>
  <c r="AEM24" i="4"/>
  <c r="AEL24" i="4"/>
  <c r="AEH24" i="4"/>
  <c r="AEA24" i="4"/>
  <c r="ADW24" i="4"/>
  <c r="ADR24" i="4"/>
  <c r="ADQ24" i="4"/>
  <c r="ADM24" i="4"/>
  <c r="ADH24" i="4"/>
  <c r="ACR24" i="4"/>
  <c r="ACQ24" i="4"/>
  <c r="ACH24" i="4"/>
  <c r="ACA24" i="4"/>
  <c r="ABW24" i="4"/>
  <c r="ABV24" i="4"/>
  <c r="ABR24" i="4"/>
  <c r="ABM24" i="4"/>
  <c r="ABH24" i="4"/>
  <c r="AAW24" i="4"/>
  <c r="AAR24" i="4"/>
  <c r="AAQ24" i="4"/>
  <c r="AAM24" i="4"/>
  <c r="AAL24" i="4"/>
  <c r="AAH24" i="4"/>
  <c r="ZW24" i="4"/>
  <c r="ZV24" i="4"/>
  <c r="ZR24" i="4"/>
  <c r="ZM24" i="4"/>
  <c r="YW24" i="4"/>
  <c r="YR24" i="4"/>
  <c r="YQ24" i="4"/>
  <c r="YM24" i="4"/>
  <c r="YL24" i="4"/>
  <c r="XM24" i="4"/>
  <c r="XL24" i="4"/>
  <c r="XA24" i="4"/>
  <c r="WW24" i="4"/>
  <c r="WV24" i="4"/>
  <c r="WR24" i="4"/>
  <c r="WQ24" i="4"/>
  <c r="WM24" i="4"/>
  <c r="WL24" i="4"/>
  <c r="WH24" i="4"/>
  <c r="WA24" i="4"/>
  <c r="VW24" i="4"/>
  <c r="VV24" i="4"/>
  <c r="VQ24" i="4"/>
  <c r="VM24" i="4"/>
  <c r="VH24" i="4"/>
  <c r="VA24" i="4"/>
  <c r="UW24" i="4"/>
  <c r="UR24" i="4"/>
  <c r="UM24" i="4"/>
  <c r="UL24" i="4"/>
  <c r="UA24" i="4"/>
  <c r="TV24" i="4"/>
  <c r="TR24" i="4"/>
  <c r="TK24" i="4"/>
  <c r="SQ24" i="4"/>
  <c r="SL24" i="4"/>
  <c r="SG24" i="4"/>
  <c r="RV24" i="4"/>
  <c r="RQ24" i="4"/>
  <c r="RL24" i="4"/>
  <c r="RG24" i="4"/>
  <c r="QZ24" i="4"/>
  <c r="QV24" i="4"/>
  <c r="QU24" i="4"/>
  <c r="QQ24" i="4"/>
  <c r="QP24" i="4"/>
  <c r="QK24" i="4"/>
  <c r="PV24" i="4"/>
  <c r="PQ24" i="4"/>
  <c r="PL24" i="4"/>
  <c r="OV24" i="4"/>
  <c r="OQ24" i="4"/>
  <c r="OL24" i="4"/>
  <c r="NV24" i="4"/>
  <c r="NU24" i="4"/>
  <c r="NQ24" i="4"/>
  <c r="NL24" i="4"/>
  <c r="NG24" i="4"/>
  <c r="MZ24" i="4"/>
  <c r="MV24" i="4"/>
  <c r="MU24" i="4"/>
  <c r="MQ24" i="4"/>
  <c r="ML24" i="4"/>
  <c r="MG24" i="4"/>
  <c r="KV24" i="4"/>
  <c r="KQ24" i="4"/>
  <c r="KP24" i="4"/>
  <c r="KL24" i="4"/>
  <c r="KK24" i="4"/>
  <c r="KG24" i="4"/>
  <c r="JV24" i="4"/>
  <c r="JQ24" i="4"/>
  <c r="JP24" i="4"/>
  <c r="IP24" i="4"/>
  <c r="HL24" i="4"/>
  <c r="GQ24" i="4"/>
  <c r="FL24" i="4"/>
  <c r="EV24" i="4"/>
  <c r="DQ24" i="4"/>
  <c r="DG24" i="4"/>
  <c r="CV24" i="4"/>
  <c r="CQ24" i="4"/>
  <c r="CP24" i="4"/>
  <c r="BQ24" i="4"/>
  <c r="BP24" i="4"/>
  <c r="BL24" i="4"/>
  <c r="BK24" i="4"/>
  <c r="BG24" i="4"/>
  <c r="AZ24" i="4"/>
  <c r="AQ24" i="4"/>
  <c r="U24" i="4"/>
  <c r="Q24" i="4"/>
  <c r="P24" i="4"/>
  <c r="G24" i="4"/>
  <c r="AOP23" i="4"/>
  <c r="ANS23" i="4"/>
  <c r="ANC23" i="4"/>
  <c r="AMX23" i="4"/>
  <c r="AMX25" i="4" s="1"/>
  <c r="AMR23" i="4"/>
  <c r="ALW23" i="4"/>
  <c r="ALN23" i="4"/>
  <c r="ALI23" i="4"/>
  <c r="ALB23" i="4"/>
  <c r="AKW23" i="4"/>
  <c r="AKR23" i="4"/>
  <c r="AKM23" i="4"/>
  <c r="AJS23" i="4"/>
  <c r="AJM23" i="4"/>
  <c r="AJI23" i="4"/>
  <c r="AIX23" i="4"/>
  <c r="AIS23" i="4"/>
  <c r="AIR23" i="4"/>
  <c r="AIR25" i="4" s="1"/>
  <c r="AIN23" i="4"/>
  <c r="AIM23" i="4"/>
  <c r="AIB23" i="4"/>
  <c r="AHX23" i="4"/>
  <c r="AHN23" i="4"/>
  <c r="AHM23" i="4"/>
  <c r="AHI23" i="4"/>
  <c r="AGW23" i="4"/>
  <c r="AGN23" i="4"/>
  <c r="AGM23" i="4"/>
  <c r="AGI23" i="4"/>
  <c r="AGB23" i="4"/>
  <c r="AFX23" i="4"/>
  <c r="AFS23" i="4"/>
  <c r="AFR23" i="4"/>
  <c r="AFM23" i="4"/>
  <c r="AFB23" i="4"/>
  <c r="AEW23" i="4"/>
  <c r="AES23" i="4"/>
  <c r="AER23" i="4"/>
  <c r="AEM23" i="4"/>
  <c r="AEL23" i="4"/>
  <c r="AEH23" i="4"/>
  <c r="AEA23" i="4"/>
  <c r="ADW23" i="4"/>
  <c r="ADR23" i="4"/>
  <c r="ADQ23" i="4"/>
  <c r="ADM23" i="4"/>
  <c r="ADH23" i="4"/>
  <c r="ACR23" i="4"/>
  <c r="ACQ23" i="4"/>
  <c r="ACH23" i="4"/>
  <c r="ACA23" i="4"/>
  <c r="ABW23" i="4"/>
  <c r="ABV23" i="4"/>
  <c r="ABR23" i="4"/>
  <c r="ABM23" i="4"/>
  <c r="ABL23" i="4"/>
  <c r="ABH23" i="4"/>
  <c r="AAW23" i="4"/>
  <c r="AAR23" i="4"/>
  <c r="AAQ23" i="4"/>
  <c r="AAM23" i="4"/>
  <c r="AAL23" i="4"/>
  <c r="AAH23" i="4"/>
  <c r="ZW23" i="4"/>
  <c r="ZV23" i="4"/>
  <c r="ZV25" i="4" s="1"/>
  <c r="ZR23" i="4"/>
  <c r="ZM23" i="4"/>
  <c r="ZA23" i="4"/>
  <c r="YR23" i="4"/>
  <c r="YQ23" i="4"/>
  <c r="YM23" i="4"/>
  <c r="YL23" i="4"/>
  <c r="XM23" i="4"/>
  <c r="XL23" i="4"/>
  <c r="XA23" i="4"/>
  <c r="WW23" i="4"/>
  <c r="WV23" i="4"/>
  <c r="WR23" i="4"/>
  <c r="WQ23" i="4"/>
  <c r="WM23" i="4"/>
  <c r="WL23" i="4"/>
  <c r="WH23" i="4"/>
  <c r="WA23" i="4"/>
  <c r="VW23" i="4"/>
  <c r="VV23" i="4"/>
  <c r="VR23" i="4"/>
  <c r="VQ23" i="4"/>
  <c r="VM23" i="4"/>
  <c r="VH23" i="4"/>
  <c r="VA23" i="4"/>
  <c r="UW23" i="4"/>
  <c r="UR23" i="4"/>
  <c r="UL23" i="4"/>
  <c r="UA23" i="4"/>
  <c r="TW23" i="4"/>
  <c r="TV23" i="4"/>
  <c r="TR23" i="4"/>
  <c r="TK23" i="4"/>
  <c r="SQ23" i="4"/>
  <c r="SG23" i="4"/>
  <c r="RV23" i="4"/>
  <c r="RU23" i="4"/>
  <c r="RQ23" i="4"/>
  <c r="RL23" i="4"/>
  <c r="RG23" i="4"/>
  <c r="QZ23" i="4"/>
  <c r="QV23" i="4"/>
  <c r="QU23" i="4"/>
  <c r="QQ23" i="4"/>
  <c r="QP23" i="4"/>
  <c r="QK23" i="4"/>
  <c r="PV23" i="4"/>
  <c r="PQ23" i="4"/>
  <c r="PL23" i="4"/>
  <c r="PG23" i="4"/>
  <c r="OV23" i="4"/>
  <c r="OQ23" i="4"/>
  <c r="OL23" i="4"/>
  <c r="NV23" i="4"/>
  <c r="NU23" i="4"/>
  <c r="NU25" i="4" s="1"/>
  <c r="NQ23" i="4"/>
  <c r="NL23" i="4"/>
  <c r="NG23" i="4"/>
  <c r="MZ23" i="4"/>
  <c r="MV23" i="4"/>
  <c r="MU23" i="4"/>
  <c r="MU25" i="4" s="1"/>
  <c r="MQ23" i="4"/>
  <c r="ML23" i="4"/>
  <c r="MG23" i="4"/>
  <c r="KV23" i="4"/>
  <c r="KQ23" i="4"/>
  <c r="KP23" i="4"/>
  <c r="KL23" i="4"/>
  <c r="KK23" i="4"/>
  <c r="KG23" i="4"/>
  <c r="JV23" i="4"/>
  <c r="JQ23" i="4"/>
  <c r="JP23" i="4"/>
  <c r="IV23" i="4"/>
  <c r="IP23" i="4"/>
  <c r="HU23" i="4"/>
  <c r="HU25" i="4" s="1"/>
  <c r="HL23" i="4"/>
  <c r="GV23" i="4"/>
  <c r="GQ23" i="4"/>
  <c r="FL23" i="4"/>
  <c r="EV23" i="4"/>
  <c r="DQ23" i="4"/>
  <c r="DG23" i="4"/>
  <c r="CV23" i="4"/>
  <c r="BQ23" i="4"/>
  <c r="BP23" i="4"/>
  <c r="BL23" i="4"/>
  <c r="BK23" i="4"/>
  <c r="BG23" i="4"/>
  <c r="AZ23" i="4"/>
  <c r="AV23" i="4"/>
  <c r="AQ23" i="4"/>
  <c r="Q23" i="4"/>
  <c r="P23" i="4"/>
  <c r="G23" i="4"/>
  <c r="AOP22" i="4"/>
  <c r="AOP25" i="4" s="1"/>
  <c r="ANY22" i="4"/>
  <c r="ANS22" i="4"/>
  <c r="ANC22" i="4"/>
  <c r="AMT22" i="4"/>
  <c r="AMT25" i="4" s="1"/>
  <c r="AMR22" i="4"/>
  <c r="AMR25" i="4" s="1"/>
  <c r="AMM22" i="4"/>
  <c r="AMM25" i="4" s="1"/>
  <c r="AMI22" i="4"/>
  <c r="AMI25" i="4" s="1"/>
  <c r="AMB22" i="4"/>
  <c r="AMB25" i="4" s="1"/>
  <c r="ALW22" i="4"/>
  <c r="ALW25" i="4" s="1"/>
  <c r="ALR22" i="4"/>
  <c r="ALR25" i="4" s="1"/>
  <c r="ALM22" i="4"/>
  <c r="ALM25" i="4" s="1"/>
  <c r="ALI22" i="4"/>
  <c r="ALI25" i="4" s="1"/>
  <c r="ALB22" i="4"/>
  <c r="AKW22" i="4"/>
  <c r="AKR22" i="4"/>
  <c r="AKN22" i="4"/>
  <c r="AKN25" i="4" s="1"/>
  <c r="AKM22" i="4"/>
  <c r="AJR22" i="4"/>
  <c r="AJR25" i="4" s="1"/>
  <c r="AJN22" i="4"/>
  <c r="AJN25" i="4" s="1"/>
  <c r="AIW22" i="4"/>
  <c r="AIW25" i="4" s="1"/>
  <c r="AIR22" i="4"/>
  <c r="AIM22" i="4"/>
  <c r="AIB22" i="4"/>
  <c r="AIB25" i="4" s="1"/>
  <c r="AHR22" i="4"/>
  <c r="AHR25" i="4" s="1"/>
  <c r="AHM22" i="4"/>
  <c r="AGW22" i="4"/>
  <c r="AGS22" i="4"/>
  <c r="AGS25" i="4" s="1"/>
  <c r="AGR22" i="4"/>
  <c r="AGR25" i="4" s="1"/>
  <c r="AGM22" i="4"/>
  <c r="AGB22" i="4"/>
  <c r="AFW22" i="4"/>
  <c r="AFW25" i="4" s="1"/>
  <c r="AFR22" i="4"/>
  <c r="AFR25" i="4" s="1"/>
  <c r="AFM22" i="4"/>
  <c r="AFB22" i="4"/>
  <c r="AEW22" i="4"/>
  <c r="AER22" i="4"/>
  <c r="AEL22" i="4"/>
  <c r="AEA22" i="4"/>
  <c r="ADV22" i="4"/>
  <c r="ADV25" i="4" s="1"/>
  <c r="ADQ22" i="4"/>
  <c r="ADL22" i="4"/>
  <c r="ADL25" i="4" s="1"/>
  <c r="ACV22" i="4"/>
  <c r="ACQ22" i="4"/>
  <c r="ACL22" i="4"/>
  <c r="ACL25" i="4" s="1"/>
  <c r="ACA22" i="4"/>
  <c r="ABV22" i="4"/>
  <c r="ABQ22" i="4"/>
  <c r="ABQ25" i="4" s="1"/>
  <c r="ABL22" i="4"/>
  <c r="ABL25" i="4" s="1"/>
  <c r="AAQ22" i="4"/>
  <c r="AAL22" i="4"/>
  <c r="AAA22" i="4"/>
  <c r="AAA25" i="4" s="1"/>
  <c r="ZW22" i="4"/>
  <c r="ZW25" i="4" s="1"/>
  <c r="ZH22" i="4"/>
  <c r="ZH25" i="4" s="1"/>
  <c r="ZA22" i="4"/>
  <c r="YV22" i="4"/>
  <c r="YV25" i="4" s="1"/>
  <c r="YL22" i="4"/>
  <c r="YL25" i="4" s="1"/>
  <c r="YH22" i="4"/>
  <c r="YH25" i="4" s="1"/>
  <c r="YA22" i="4"/>
  <c r="YA25" i="4" s="1"/>
  <c r="XW22" i="4"/>
  <c r="XV22" i="4"/>
  <c r="XV25" i="4" s="1"/>
  <c r="XR22" i="4"/>
  <c r="XR25" i="4" s="1"/>
  <c r="XQ22" i="4"/>
  <c r="XQ25" i="4" s="1"/>
  <c r="XL22" i="4"/>
  <c r="XH22" i="4"/>
  <c r="XH25" i="4" s="1"/>
  <c r="XA22" i="4"/>
  <c r="WV22" i="4"/>
  <c r="WV25" i="4" s="1"/>
  <c r="WQ22" i="4"/>
  <c r="WL22" i="4"/>
  <c r="WA22" i="4"/>
  <c r="VV22" i="4"/>
  <c r="VV25" i="4" s="1"/>
  <c r="VQ22" i="4"/>
  <c r="VL22" i="4"/>
  <c r="VL25" i="4" s="1"/>
  <c r="VA22" i="4"/>
  <c r="UL22" i="4"/>
  <c r="UH22" i="4"/>
  <c r="UH25" i="4" s="1"/>
  <c r="UA22" i="4"/>
  <c r="TW22" i="4"/>
  <c r="TV22" i="4"/>
  <c r="TV25" i="4" s="1"/>
  <c r="TQ22" i="4"/>
  <c r="TQ25" i="4" s="1"/>
  <c r="TK22" i="4"/>
  <c r="SZ22" i="4"/>
  <c r="SZ25" i="4" s="1"/>
  <c r="SV22" i="4"/>
  <c r="SV25" i="4" s="1"/>
  <c r="SU22" i="4"/>
  <c r="SU25" i="4" s="1"/>
  <c r="SP22" i="4"/>
  <c r="SP25" i="4" s="1"/>
  <c r="SL22" i="4"/>
  <c r="SL25" i="4" s="1"/>
  <c r="SK22" i="4"/>
  <c r="SK25" i="4" s="1"/>
  <c r="SG22" i="4"/>
  <c r="RZ22" i="4"/>
  <c r="RZ25" i="4" s="1"/>
  <c r="RU22" i="4"/>
  <c r="RP22" i="4"/>
  <c r="RP25" i="4" s="1"/>
  <c r="QU22" i="4"/>
  <c r="QQ22" i="4"/>
  <c r="QP22" i="4"/>
  <c r="QP25" i="4" s="1"/>
  <c r="QL22" i="4"/>
  <c r="QL25" i="4" s="1"/>
  <c r="QK22" i="4"/>
  <c r="QG22" i="4"/>
  <c r="QG25" i="4" s="1"/>
  <c r="PZ22" i="4"/>
  <c r="PZ25" i="4" s="1"/>
  <c r="PU22" i="4"/>
  <c r="PU25" i="4" s="1"/>
  <c r="PP22" i="4"/>
  <c r="PP25" i="4" s="1"/>
  <c r="PK22" i="4"/>
  <c r="PK25" i="4" s="1"/>
  <c r="PG22" i="4"/>
  <c r="OU22" i="4"/>
  <c r="OU25" i="4" s="1"/>
  <c r="OP22" i="4"/>
  <c r="OP25" i="4" s="1"/>
  <c r="OK22" i="4"/>
  <c r="OK25" i="4" s="1"/>
  <c r="NZ22" i="4"/>
  <c r="NZ25" i="4" s="1"/>
  <c r="NU22" i="4"/>
  <c r="NP22" i="4"/>
  <c r="NP25" i="4" s="1"/>
  <c r="NK22" i="4"/>
  <c r="NK25" i="4" s="1"/>
  <c r="MZ22" i="4"/>
  <c r="MU22" i="4"/>
  <c r="MP22" i="4"/>
  <c r="MP25" i="4" s="1"/>
  <c r="MK22" i="4"/>
  <c r="MK25" i="4" s="1"/>
  <c r="LZ22" i="4"/>
  <c r="LZ25" i="4" s="1"/>
  <c r="LV22" i="4"/>
  <c r="LV25" i="4" s="1"/>
  <c r="LU22" i="4"/>
  <c r="LU25" i="4" s="1"/>
  <c r="LQ22" i="4"/>
  <c r="LQ25" i="4" s="1"/>
  <c r="LP22" i="4"/>
  <c r="LP25" i="4" s="1"/>
  <c r="LL22" i="4"/>
  <c r="LL25" i="4" s="1"/>
  <c r="LK22" i="4"/>
  <c r="LK25" i="4" s="1"/>
  <c r="LG22" i="4"/>
  <c r="LG25" i="4" s="1"/>
  <c r="KZ22" i="4"/>
  <c r="KZ25" i="4" s="1"/>
  <c r="KU22" i="4"/>
  <c r="KU25" i="4" s="1"/>
  <c r="KP22" i="4"/>
  <c r="KK22" i="4"/>
  <c r="KK25" i="4" s="1"/>
  <c r="KK18" i="4" s="1"/>
  <c r="JZ22" i="4"/>
  <c r="JZ25" i="4" s="1"/>
  <c r="JU22" i="4"/>
  <c r="JU25" i="4" s="1"/>
  <c r="JP22" i="4"/>
  <c r="JL22" i="4"/>
  <c r="JL25" i="4" s="1"/>
  <c r="JO18" i="4" s="1"/>
  <c r="JK22" i="4"/>
  <c r="JK25" i="4" s="1"/>
  <c r="JG22" i="4"/>
  <c r="JG25" i="4" s="1"/>
  <c r="JJ18" i="4" s="1"/>
  <c r="IZ22" i="4"/>
  <c r="IZ25" i="4" s="1"/>
  <c r="IV22" i="4"/>
  <c r="IU22" i="4"/>
  <c r="IU25" i="4" s="1"/>
  <c r="IQ22" i="4"/>
  <c r="IQ25" i="4" s="1"/>
  <c r="IL22" i="4"/>
  <c r="IL25" i="4" s="1"/>
  <c r="IK22" i="4"/>
  <c r="IK25" i="4" s="1"/>
  <c r="IG22" i="4"/>
  <c r="IG25" i="4" s="1"/>
  <c r="HZ22" i="4"/>
  <c r="HZ25" i="4" s="1"/>
  <c r="HV22" i="4"/>
  <c r="HV25" i="4" s="1"/>
  <c r="HU22" i="4"/>
  <c r="HQ22" i="4"/>
  <c r="HQ25" i="4" s="1"/>
  <c r="HP22" i="4"/>
  <c r="HP25" i="4" s="1"/>
  <c r="HK22" i="4"/>
  <c r="HK25" i="4" s="1"/>
  <c r="HG22" i="4"/>
  <c r="HG25" i="4" s="1"/>
  <c r="GZ22" i="4"/>
  <c r="GZ25" i="4" s="1"/>
  <c r="GV22" i="4"/>
  <c r="GU22" i="4"/>
  <c r="GU25" i="4" s="1"/>
  <c r="GP22" i="4"/>
  <c r="GP25" i="4" s="1"/>
  <c r="GL22" i="4"/>
  <c r="GL25" i="4" s="1"/>
  <c r="GK22" i="4"/>
  <c r="GK25" i="4" s="1"/>
  <c r="GG22" i="4"/>
  <c r="GG25" i="4" s="1"/>
  <c r="FZ22" i="4"/>
  <c r="FZ25" i="4" s="1"/>
  <c r="FV22" i="4"/>
  <c r="FV25" i="4" s="1"/>
  <c r="FU22" i="4"/>
  <c r="FU25" i="4" s="1"/>
  <c r="FQ22" i="4"/>
  <c r="FQ25" i="4" s="1"/>
  <c r="FP22" i="4"/>
  <c r="FP25" i="4" s="1"/>
  <c r="FG22" i="4"/>
  <c r="FG25" i="4" s="1"/>
  <c r="EZ22" i="4"/>
  <c r="EZ25" i="4" s="1"/>
  <c r="EU22" i="4"/>
  <c r="EU25" i="4" s="1"/>
  <c r="EP22" i="4"/>
  <c r="EP25" i="4" s="1"/>
  <c r="EL22" i="4"/>
  <c r="EL25" i="4" s="1"/>
  <c r="EK22" i="4"/>
  <c r="EK25" i="4" s="1"/>
  <c r="EG22" i="4"/>
  <c r="EG25" i="4" s="1"/>
  <c r="DZ22" i="4"/>
  <c r="DZ25" i="4" s="1"/>
  <c r="DV22" i="4"/>
  <c r="DV25" i="4" s="1"/>
  <c r="DU22" i="4"/>
  <c r="DU25" i="4" s="1"/>
  <c r="DP22" i="4"/>
  <c r="DP25" i="4" s="1"/>
  <c r="DL22" i="4"/>
  <c r="DL25" i="4" s="1"/>
  <c r="DK22" i="4"/>
  <c r="DK25" i="4" s="1"/>
  <c r="DK18" i="4" s="1"/>
  <c r="CZ22" i="4"/>
  <c r="CZ25" i="4" s="1"/>
  <c r="CU22" i="4"/>
  <c r="CU25" i="4" s="1"/>
  <c r="CU18" i="4" s="1"/>
  <c r="CP22" i="4"/>
  <c r="CP25" i="4" s="1"/>
  <c r="CK22" i="4"/>
  <c r="CK25" i="4" s="1"/>
  <c r="CK18" i="4" s="1"/>
  <c r="CG22" i="4"/>
  <c r="CG25" i="4" s="1"/>
  <c r="BZ22" i="4"/>
  <c r="BZ25" i="4" s="1"/>
  <c r="BZ18" i="4" s="1"/>
  <c r="BV22" i="4"/>
  <c r="BV25" i="4" s="1"/>
  <c r="BU22" i="4"/>
  <c r="BU25" i="4" s="1"/>
  <c r="BP22" i="4"/>
  <c r="BK22" i="4"/>
  <c r="BK25" i="4" s="1"/>
  <c r="BK18" i="4" s="1"/>
  <c r="AZ22" i="4"/>
  <c r="AV22" i="4"/>
  <c r="AU22" i="4"/>
  <c r="AU25" i="4" s="1"/>
  <c r="AP22" i="4"/>
  <c r="AP25" i="4" s="1"/>
  <c r="AL22" i="4"/>
  <c r="AL25" i="4" s="1"/>
  <c r="AK22" i="4"/>
  <c r="AK25" i="4" s="1"/>
  <c r="AG22" i="4"/>
  <c r="AG25" i="4" s="1"/>
  <c r="Z22" i="4"/>
  <c r="Z25" i="4" s="1"/>
  <c r="V22" i="4"/>
  <c r="V25" i="4" s="1"/>
  <c r="Y18" i="4" s="1"/>
  <c r="U22" i="4"/>
  <c r="U25" i="4" s="1"/>
  <c r="P22" i="4"/>
  <c r="K22" i="4"/>
  <c r="K25" i="4" s="1"/>
  <c r="AOP21" i="4"/>
  <c r="ALN21" i="4"/>
  <c r="AHX21" i="4"/>
  <c r="ACR21" i="4"/>
  <c r="AAM21" i="4"/>
  <c r="AAH21" i="4"/>
  <c r="DQ21" i="4"/>
  <c r="AOP20" i="4"/>
  <c r="ALN20" i="4"/>
  <c r="AKS20" i="4"/>
  <c r="AHX20" i="4"/>
  <c r="AGN20" i="4"/>
  <c r="AGI20" i="4"/>
  <c r="AFX20" i="4"/>
  <c r="AFS20" i="4"/>
  <c r="AFN20" i="4"/>
  <c r="AES20" i="4"/>
  <c r="AEM20" i="4"/>
  <c r="AEH20" i="4"/>
  <c r="ADW20" i="4"/>
  <c r="ADR20" i="4"/>
  <c r="ADM20" i="4"/>
  <c r="ADH20" i="4"/>
  <c r="ACR20" i="4"/>
  <c r="ACH20" i="4"/>
  <c r="ABW20" i="4"/>
  <c r="ABR20" i="4"/>
  <c r="ABM20" i="4"/>
  <c r="AAW20" i="4"/>
  <c r="AAR20" i="4"/>
  <c r="AAM20" i="4"/>
  <c r="AAH20" i="4"/>
  <c r="ZR20" i="4"/>
  <c r="ZM20" i="4"/>
  <c r="YW20" i="4"/>
  <c r="YR20" i="4"/>
  <c r="YM20" i="4"/>
  <c r="XM20" i="4"/>
  <c r="WW20" i="4"/>
  <c r="WR20" i="4"/>
  <c r="WR22" i="4" s="1"/>
  <c r="WR25" i="4" s="1"/>
  <c r="WM20" i="4"/>
  <c r="WH20" i="4"/>
  <c r="VW20" i="4"/>
  <c r="VR20" i="4"/>
  <c r="VM20" i="4"/>
  <c r="VH20" i="4"/>
  <c r="UW20" i="4"/>
  <c r="UR20" i="4"/>
  <c r="UR22" i="4" s="1"/>
  <c r="UR25" i="4" s="1"/>
  <c r="UM20" i="4"/>
  <c r="TR20" i="4"/>
  <c r="SQ20" i="4"/>
  <c r="RV20" i="4"/>
  <c r="RQ20" i="4"/>
  <c r="RL20" i="4"/>
  <c r="RG20" i="4"/>
  <c r="QZ20" i="4"/>
  <c r="QZ22" i="4" s="1"/>
  <c r="QV20" i="4"/>
  <c r="PL20" i="4"/>
  <c r="OV20" i="4"/>
  <c r="OQ20" i="4"/>
  <c r="OG20" i="4"/>
  <c r="NV20" i="4"/>
  <c r="NQ20" i="4"/>
  <c r="NL20" i="4"/>
  <c r="NG20" i="4"/>
  <c r="MV20" i="4"/>
  <c r="MQ20" i="4"/>
  <c r="ML20" i="4"/>
  <c r="MG20" i="4"/>
  <c r="KV20" i="4"/>
  <c r="KQ20" i="4"/>
  <c r="KL20" i="4"/>
  <c r="KG20" i="4"/>
  <c r="JV20" i="4"/>
  <c r="JQ20" i="4"/>
  <c r="IP20" i="4"/>
  <c r="IP22" i="4" s="1"/>
  <c r="GQ20" i="4"/>
  <c r="FL20" i="4"/>
  <c r="EV20" i="4"/>
  <c r="DQ20" i="4"/>
  <c r="DG20" i="4"/>
  <c r="CV20" i="4"/>
  <c r="BQ20" i="4"/>
  <c r="BL20" i="4"/>
  <c r="BL22" i="4" s="1"/>
  <c r="BL25" i="4" s="1"/>
  <c r="BO18" i="4" s="1"/>
  <c r="AQ20" i="4"/>
  <c r="Q20" i="4"/>
  <c r="L20" i="4"/>
  <c r="L22" i="4" s="1"/>
  <c r="L25" i="4" s="1"/>
  <c r="G20" i="4"/>
  <c r="AOP19" i="4"/>
  <c r="ALN19" i="4"/>
  <c r="ALN22" i="4" s="1"/>
  <c r="AKS19" i="4"/>
  <c r="AJS19" i="4"/>
  <c r="AJS22" i="4" s="1"/>
  <c r="AJS25" i="4" s="1"/>
  <c r="AJM19" i="4"/>
  <c r="AJM22" i="4" s="1"/>
  <c r="AJM25" i="4" s="1"/>
  <c r="AJI19" i="4"/>
  <c r="AJI22" i="4" s="1"/>
  <c r="AIX19" i="4"/>
  <c r="AIX22" i="4" s="1"/>
  <c r="AIS19" i="4"/>
  <c r="AIS22" i="4" s="1"/>
  <c r="AIN19" i="4"/>
  <c r="AIN22" i="4" s="1"/>
  <c r="AHX19" i="4"/>
  <c r="AHX22" i="4" s="1"/>
  <c r="AHX25" i="4" s="1"/>
  <c r="AHN19" i="4"/>
  <c r="AHN22" i="4" s="1"/>
  <c r="AHI19" i="4"/>
  <c r="AHI22" i="4" s="1"/>
  <c r="AHI25" i="4" s="1"/>
  <c r="AGN19" i="4"/>
  <c r="AGN22" i="4" s="1"/>
  <c r="AGI19" i="4"/>
  <c r="AGI22" i="4" s="1"/>
  <c r="AFX19" i="4"/>
  <c r="AFX22" i="4" s="1"/>
  <c r="AFS19" i="4"/>
  <c r="AFS22" i="4" s="1"/>
  <c r="AFN19" i="4"/>
  <c r="AES19" i="4"/>
  <c r="AES22" i="4" s="1"/>
  <c r="AEM19" i="4"/>
  <c r="AEM22" i="4" s="1"/>
  <c r="AEH19" i="4"/>
  <c r="AEH22" i="4" s="1"/>
  <c r="ADW19" i="4"/>
  <c r="ADW22" i="4" s="1"/>
  <c r="ADR19" i="4"/>
  <c r="ADR22" i="4" s="1"/>
  <c r="ADM19" i="4"/>
  <c r="ADM22" i="4" s="1"/>
  <c r="ADM25" i="4" s="1"/>
  <c r="ADH19" i="4"/>
  <c r="ADH22" i="4" s="1"/>
  <c r="ACR19" i="4"/>
  <c r="ACH19" i="4"/>
  <c r="ACH22" i="4" s="1"/>
  <c r="ABW19" i="4"/>
  <c r="ABR19" i="4"/>
  <c r="ABR22" i="4" s="1"/>
  <c r="ABR25" i="4" s="1"/>
  <c r="ABM19" i="4"/>
  <c r="ABM22" i="4" s="1"/>
  <c r="ABH19" i="4"/>
  <c r="ABH22" i="4" s="1"/>
  <c r="ABH25" i="4" s="1"/>
  <c r="AAW19" i="4"/>
  <c r="AAW22" i="4" s="1"/>
  <c r="AAR19" i="4"/>
  <c r="AAR22" i="4" s="1"/>
  <c r="AAM19" i="4"/>
  <c r="AAM22" i="4" s="1"/>
  <c r="AAM25" i="4" s="1"/>
  <c r="AAH19" i="4"/>
  <c r="ZR19" i="4"/>
  <c r="ZR22" i="4" s="1"/>
  <c r="ZM19" i="4"/>
  <c r="ZM22" i="4" s="1"/>
  <c r="YW19" i="4"/>
  <c r="YW22" i="4" s="1"/>
  <c r="YW25" i="4" s="1"/>
  <c r="YR19" i="4"/>
  <c r="YR22" i="4" s="1"/>
  <c r="YQ19" i="4"/>
  <c r="YQ22" i="4" s="1"/>
  <c r="YM19" i="4"/>
  <c r="YM22" i="4" s="1"/>
  <c r="XM19" i="4"/>
  <c r="XM22" i="4" s="1"/>
  <c r="WW19" i="4"/>
  <c r="WW22" i="4" s="1"/>
  <c r="WR19" i="4"/>
  <c r="WM19" i="4"/>
  <c r="WM22" i="4" s="1"/>
  <c r="WH19" i="4"/>
  <c r="WH22" i="4" s="1"/>
  <c r="WH25" i="4" s="1"/>
  <c r="VW19" i="4"/>
  <c r="VW22" i="4" s="1"/>
  <c r="VR19" i="4"/>
  <c r="VR22" i="4" s="1"/>
  <c r="VR25" i="4" s="1"/>
  <c r="VM19" i="4"/>
  <c r="VM22" i="4" s="1"/>
  <c r="VH19" i="4"/>
  <c r="VH22" i="4" s="1"/>
  <c r="VH25" i="4" s="1"/>
  <c r="UW19" i="4"/>
  <c r="UW22" i="4" s="1"/>
  <c r="UR19" i="4"/>
  <c r="UM19" i="4"/>
  <c r="UM22" i="4" s="1"/>
  <c r="UM25" i="4" s="1"/>
  <c r="TR19" i="4"/>
  <c r="TR22" i="4" s="1"/>
  <c r="TR25" i="4" s="1"/>
  <c r="SQ19" i="4"/>
  <c r="SQ22" i="4" s="1"/>
  <c r="RV19" i="4"/>
  <c r="RV22" i="4" s="1"/>
  <c r="RV25" i="4" s="1"/>
  <c r="RQ19" i="4"/>
  <c r="RQ22" i="4" s="1"/>
  <c r="RL19" i="4"/>
  <c r="RL22" i="4" s="1"/>
  <c r="RL25" i="4" s="1"/>
  <c r="RK19" i="4"/>
  <c r="RK22" i="4" s="1"/>
  <c r="RG19" i="4"/>
  <c r="QV19" i="4"/>
  <c r="QV22" i="4" s="1"/>
  <c r="QV25" i="4" s="1"/>
  <c r="PV19" i="4"/>
  <c r="PV22" i="4" s="1"/>
  <c r="PV25" i="4" s="1"/>
  <c r="PQ19" i="4"/>
  <c r="PQ22" i="4" s="1"/>
  <c r="PL19" i="4"/>
  <c r="PL22" i="4" s="1"/>
  <c r="OV19" i="4"/>
  <c r="OV22" i="4" s="1"/>
  <c r="OQ19" i="4"/>
  <c r="OQ22" i="4" s="1"/>
  <c r="OL19" i="4"/>
  <c r="OL22" i="4" s="1"/>
  <c r="OL25" i="4" s="1"/>
  <c r="OG19" i="4"/>
  <c r="OG22" i="4" s="1"/>
  <c r="OG25" i="4" s="1"/>
  <c r="NV19" i="4"/>
  <c r="NV22" i="4" s="1"/>
  <c r="NQ19" i="4"/>
  <c r="NQ22" i="4" s="1"/>
  <c r="NL19" i="4"/>
  <c r="NG19" i="4"/>
  <c r="NG22" i="4" s="1"/>
  <c r="MV19" i="4"/>
  <c r="MV22" i="4" s="1"/>
  <c r="MQ19" i="4"/>
  <c r="MQ22" i="4" s="1"/>
  <c r="ML19" i="4"/>
  <c r="ML22" i="4" s="1"/>
  <c r="ML25" i="4" s="1"/>
  <c r="MG19" i="4"/>
  <c r="MG22" i="4" s="1"/>
  <c r="KV19" i="4"/>
  <c r="KV22" i="4" s="1"/>
  <c r="KQ19" i="4"/>
  <c r="KQ22" i="4" s="1"/>
  <c r="KL19" i="4"/>
  <c r="KG19" i="4"/>
  <c r="KG22" i="4" s="1"/>
  <c r="JV19" i="4"/>
  <c r="JV22" i="4" s="1"/>
  <c r="JQ19" i="4"/>
  <c r="JQ22" i="4" s="1"/>
  <c r="HL19" i="4"/>
  <c r="HL22" i="4" s="1"/>
  <c r="HL25" i="4" s="1"/>
  <c r="GQ19" i="4"/>
  <c r="FL19" i="4"/>
  <c r="FL22" i="4" s="1"/>
  <c r="FL25" i="4" s="1"/>
  <c r="EV19" i="4"/>
  <c r="EV22" i="4" s="1"/>
  <c r="EQ19" i="4"/>
  <c r="EQ22" i="4" s="1"/>
  <c r="EQ25" i="4" s="1"/>
  <c r="DQ19" i="4"/>
  <c r="DQ22" i="4" s="1"/>
  <c r="DG19" i="4"/>
  <c r="DG22" i="4" s="1"/>
  <c r="CV19" i="4"/>
  <c r="CV22" i="4" s="1"/>
  <c r="CQ19" i="4"/>
  <c r="CQ22" i="4" s="1"/>
  <c r="CQ25" i="4" s="1"/>
  <c r="CT18" i="4" s="1"/>
  <c r="CL19" i="4"/>
  <c r="CL22" i="4" s="1"/>
  <c r="CL25" i="4" s="1"/>
  <c r="BQ19" i="4"/>
  <c r="BQ22" i="4" s="1"/>
  <c r="BG19" i="4"/>
  <c r="BG22" i="4" s="1"/>
  <c r="AQ19" i="4"/>
  <c r="AQ22" i="4" s="1"/>
  <c r="Q19" i="4"/>
  <c r="Q22" i="4" s="1"/>
  <c r="G19" i="4"/>
  <c r="G22" i="4" s="1"/>
  <c r="ACR22" i="4" l="1"/>
  <c r="ACR25" i="4" s="1"/>
  <c r="AFN22" i="4"/>
  <c r="AZ25" i="4"/>
  <c r="AZ18" i="4" s="1"/>
  <c r="IV25" i="4"/>
  <c r="NG25" i="4"/>
  <c r="PG25" i="4"/>
  <c r="WA25" i="4"/>
  <c r="XA25" i="4"/>
  <c r="ACA25" i="4"/>
  <c r="AFB25" i="4"/>
  <c r="AIN25" i="4"/>
  <c r="AKR25" i="4"/>
  <c r="ANC25" i="4"/>
  <c r="BG25" i="4"/>
  <c r="BJ18" i="4" s="1"/>
  <c r="EV25" i="4"/>
  <c r="EY18" i="4" s="1"/>
  <c r="JP25" i="4"/>
  <c r="KV25" i="4"/>
  <c r="PL25" i="4"/>
  <c r="QZ25" i="4"/>
  <c r="TK25" i="4"/>
  <c r="VA25" i="4"/>
  <c r="XL25" i="4"/>
  <c r="ZR25" i="4"/>
  <c r="AAW25" i="4"/>
  <c r="ACH25" i="4"/>
  <c r="AEA25" i="4"/>
  <c r="AFM25" i="4"/>
  <c r="AGW25" i="4"/>
  <c r="AKW25" i="4"/>
  <c r="ANS25" i="4"/>
  <c r="YQ25" i="4"/>
  <c r="RG22" i="4"/>
  <c r="MG25" i="4"/>
  <c r="WL25" i="4"/>
  <c r="ALB25" i="4"/>
  <c r="KL22" i="4"/>
  <c r="KL25" i="4" s="1"/>
  <c r="KO18" i="4" s="1"/>
  <c r="NL22" i="4"/>
  <c r="G25" i="4"/>
  <c r="GQ25" i="4"/>
  <c r="JV25" i="4"/>
  <c r="VM25" i="4"/>
  <c r="AEL25" i="4"/>
  <c r="AFS25" i="4"/>
  <c r="AHM25" i="4"/>
  <c r="AIX25" i="4"/>
  <c r="GQ22" i="4"/>
  <c r="P25" i="4"/>
  <c r="BP25" i="4"/>
  <c r="BP18" i="4" s="1"/>
  <c r="GV25" i="4"/>
  <c r="KG25" i="4"/>
  <c r="NV25" i="4"/>
  <c r="QK25" i="4"/>
  <c r="TW25" i="4"/>
  <c r="VQ25" i="4"/>
  <c r="WQ25" i="4"/>
  <c r="RU25" i="4"/>
  <c r="UA25" i="4"/>
  <c r="AAL25" i="4"/>
  <c r="AGB25" i="4"/>
  <c r="QQ25" i="4"/>
  <c r="UL25" i="4"/>
  <c r="ADQ25" i="4"/>
  <c r="AAH22" i="4"/>
  <c r="AAH25" i="4" s="1"/>
  <c r="ABW22" i="4"/>
  <c r="AKS22" i="4"/>
  <c r="AKS25" i="4" s="1"/>
  <c r="AV25" i="4"/>
  <c r="AY18" i="4" s="1"/>
  <c r="KP25" i="4"/>
  <c r="KP18" i="4" s="1"/>
  <c r="MZ25" i="4"/>
  <c r="QU25" i="4"/>
  <c r="SG25" i="4"/>
  <c r="ZA25" i="4"/>
  <c r="AEW25" i="4"/>
  <c r="AGM25" i="4"/>
  <c r="AIM25" i="4"/>
  <c r="AKM25" i="4"/>
  <c r="NL25" i="4"/>
  <c r="JQ25" i="4"/>
  <c r="JT18" i="4" s="1"/>
  <c r="NQ25" i="4"/>
  <c r="PQ25" i="4"/>
  <c r="RG25" i="4"/>
  <c r="XM25" i="4"/>
  <c r="AEH25" i="4"/>
  <c r="AIS25" i="4"/>
  <c r="WM25" i="4"/>
  <c r="MQ25" i="4"/>
  <c r="RQ25" i="4"/>
  <c r="YM25" i="4"/>
  <c r="ABM25" i="4"/>
  <c r="ADH25" i="4"/>
  <c r="AEM25" i="4"/>
  <c r="AFX25" i="4"/>
  <c r="AHN25" i="4"/>
  <c r="AJI25" i="4"/>
  <c r="ALN25" i="4"/>
  <c r="Q25" i="4"/>
  <c r="BQ25" i="4"/>
  <c r="BT18" i="4" s="1"/>
  <c r="AQ25" i="4"/>
  <c r="CV25" i="4"/>
  <c r="CY18" i="4" s="1"/>
  <c r="MV25" i="4"/>
  <c r="OQ25" i="4"/>
  <c r="YR25" i="4"/>
  <c r="AES25" i="4"/>
  <c r="AGI25" i="4"/>
  <c r="DG25" i="4"/>
  <c r="DJ18" i="4" s="1"/>
  <c r="IP25" i="4"/>
  <c r="OV25" i="4"/>
  <c r="VW25" i="4"/>
  <c r="WW25" i="4"/>
  <c r="ABW25" i="4"/>
  <c r="ADR25" i="4"/>
  <c r="DQ25" i="4"/>
  <c r="KQ25" i="4"/>
  <c r="SQ25" i="4"/>
  <c r="UW25" i="4"/>
  <c r="ZM25" i="4"/>
  <c r="AAR25" i="4"/>
  <c r="ADW25" i="4"/>
  <c r="AGN25" i="4"/>
  <c r="RK25" i="4"/>
  <c r="VM16" i="3" l="1"/>
  <c r="VM17" i="3"/>
  <c r="VN18" i="3"/>
  <c r="VO18" i="3"/>
  <c r="VN19" i="3"/>
  <c r="VM23" i="3"/>
  <c r="VM26" i="3"/>
  <c r="VQ26" i="3" l="1"/>
  <c r="VQ23" i="3"/>
  <c r="VQ17" i="3"/>
  <c r="VQ16" i="3"/>
  <c r="TK23" i="1" l="1"/>
  <c r="TK26" i="1" s="1"/>
  <c r="TF23" i="1" l="1"/>
  <c r="TF26" i="1" s="1"/>
  <c r="TA23" i="1"/>
  <c r="TA26" i="1" s="1"/>
  <c r="SK23" i="1" l="1"/>
  <c r="SK26" i="1" s="1"/>
  <c r="SK17" i="1"/>
  <c r="SK16" i="1"/>
  <c r="SF23" i="1" l="1"/>
  <c r="SF26" i="1" s="1"/>
  <c r="SF17" i="1"/>
  <c r="SF16" i="1"/>
  <c r="SP23" i="1"/>
  <c r="SP26" i="1" s="1"/>
  <c r="SA23" i="1"/>
  <c r="SA26" i="1" s="1"/>
  <c r="SA17" i="1"/>
  <c r="SA16" i="1"/>
  <c r="RO17" i="1" l="1"/>
  <c r="RO16" i="1"/>
  <c r="RO23" i="1" l="1"/>
  <c r="RO26" i="1" s="1"/>
  <c r="RJ23" i="1" l="1"/>
  <c r="RJ26" i="1" s="1"/>
  <c r="RJ17" i="1"/>
  <c r="RJ16" i="1"/>
  <c r="RE23" i="1" l="1"/>
  <c r="RE26" i="1" s="1"/>
  <c r="RE17" i="1"/>
  <c r="RE16" i="1"/>
  <c r="QZ17" i="1" l="1"/>
  <c r="QZ16" i="1"/>
  <c r="QZ23" i="1"/>
  <c r="QZ26" i="1" s="1"/>
  <c r="QO23" i="1" l="1"/>
  <c r="QJ23" i="1" l="1"/>
  <c r="QJ24" i="1" s="1"/>
  <c r="PN23" i="1"/>
  <c r="PN26" i="1" l="1"/>
  <c r="PO19" i="1"/>
  <c r="PP18" i="1"/>
  <c r="PO18" i="1"/>
  <c r="PN17" i="1"/>
  <c r="PN16" i="1"/>
  <c r="PI23" i="1" l="1"/>
  <c r="PI26" i="1" s="1"/>
  <c r="PJ19" i="1"/>
  <c r="PK18" i="1"/>
  <c r="PJ18" i="1"/>
  <c r="PI17" i="1"/>
  <c r="PI16" i="1"/>
  <c r="PD23" i="1"/>
  <c r="PD26" i="1" s="1"/>
  <c r="OY23" i="1"/>
  <c r="OY26" i="1" s="1"/>
  <c r="PE19" i="1"/>
  <c r="OZ19" i="1"/>
  <c r="PF18" i="1"/>
  <c r="PE18" i="1"/>
  <c r="PA18" i="1"/>
  <c r="OZ18" i="1"/>
  <c r="PD17" i="1"/>
  <c r="OY17" i="1"/>
  <c r="PD16" i="1"/>
  <c r="OY16" i="1"/>
  <c r="OM23" i="1" l="1"/>
  <c r="OM26" i="1" s="1"/>
  <c r="ON19" i="1"/>
  <c r="OO18" i="1"/>
  <c r="ON18" i="1"/>
  <c r="OM17" i="1"/>
  <c r="OM16" i="1"/>
  <c r="OH23" i="1" l="1"/>
  <c r="OH26" i="1" s="1"/>
  <c r="OI19" i="1"/>
  <c r="OJ18" i="1"/>
  <c r="OI18" i="1"/>
  <c r="OH17" i="1"/>
  <c r="OH16" i="1"/>
  <c r="NX23" i="1" l="1"/>
  <c r="NX26" i="1" s="1"/>
  <c r="NY19" i="1"/>
  <c r="NZ18" i="1"/>
  <c r="NY18" i="1"/>
  <c r="NX17" i="1"/>
  <c r="NX16" i="1"/>
  <c r="OC23" i="1"/>
  <c r="OC26" i="1" s="1"/>
  <c r="OD19" i="1"/>
  <c r="OE18" i="1"/>
  <c r="OD18" i="1"/>
  <c r="OC17" i="1"/>
  <c r="OC16" i="1"/>
  <c r="NL23" i="1" l="1"/>
  <c r="NL26" i="1" s="1"/>
  <c r="NM19" i="1"/>
  <c r="NN18" i="1"/>
  <c r="NM18" i="1"/>
  <c r="NL17" i="1"/>
  <c r="NL16" i="1"/>
  <c r="NG23" i="1" l="1"/>
  <c r="NH19" i="1"/>
  <c r="NI18" i="1"/>
  <c r="NH18" i="1"/>
  <c r="NG17" i="1"/>
  <c r="NG16" i="1"/>
  <c r="NB23" i="1" l="1"/>
  <c r="NB26" i="1" s="1"/>
  <c r="NC19" i="1"/>
  <c r="ND18" i="1"/>
  <c r="NC18" i="1"/>
  <c r="NB17" i="1"/>
  <c r="NB16" i="1"/>
  <c r="MW23" i="1" l="1"/>
  <c r="MW26" i="1" s="1"/>
  <c r="MX19" i="1"/>
  <c r="MY18" i="1"/>
  <c r="MX18" i="1"/>
  <c r="MW17" i="1"/>
  <c r="MW16" i="1"/>
  <c r="MG23" i="1" l="1"/>
  <c r="MG17" i="1"/>
  <c r="MG16" i="1"/>
  <c r="MB23" i="1" l="1"/>
  <c r="MB26" i="1" s="1"/>
  <c r="MC19" i="1"/>
  <c r="MD18" i="1"/>
  <c r="MC18" i="1"/>
  <c r="MB17" i="1"/>
  <c r="MB16" i="1"/>
  <c r="MA23" i="1" l="1"/>
  <c r="LW23" i="1" l="1"/>
  <c r="LW26" i="1" s="1"/>
  <c r="LX19" i="1"/>
  <c r="LY18" i="1"/>
  <c r="LX18" i="1"/>
  <c r="LW17" i="1"/>
  <c r="LW16" i="1"/>
  <c r="LR23" i="1" l="1"/>
  <c r="LR26" i="1" s="1"/>
  <c r="LS19" i="1"/>
  <c r="LT18" i="1"/>
  <c r="LS18" i="1"/>
  <c r="LR17" i="1"/>
  <c r="LR16" i="1"/>
  <c r="LG23" i="1" l="1"/>
  <c r="LG26" i="1" s="1"/>
  <c r="LH19" i="1"/>
  <c r="LI18" i="1"/>
  <c r="LH18" i="1"/>
  <c r="LG17" i="1"/>
  <c r="LG16" i="1"/>
  <c r="LF23" i="1" l="1"/>
  <c r="LB23" i="1" l="1"/>
  <c r="LB26" i="1" s="1"/>
  <c r="LC19" i="1"/>
  <c r="LD18" i="1"/>
  <c r="LC18" i="1"/>
  <c r="LB17" i="1"/>
  <c r="LB16" i="1"/>
  <c r="KW23" i="1" l="1"/>
  <c r="KW26" i="1" s="1"/>
  <c r="KE17" i="1" l="1"/>
  <c r="KE16" i="1"/>
  <c r="KG23" i="1"/>
  <c r="KG26" i="1" s="1"/>
  <c r="KH19" i="1"/>
  <c r="KI18" i="1"/>
  <c r="KH18" i="1"/>
  <c r="KG17" i="1"/>
  <c r="KG16" i="1"/>
  <c r="KA23" i="1" l="1"/>
  <c r="KA26" i="1" s="1"/>
  <c r="KB19" i="1"/>
  <c r="KC18" i="1"/>
  <c r="KB18" i="1"/>
  <c r="KA17" i="1"/>
  <c r="KA16" i="1"/>
  <c r="JV23" i="1" l="1"/>
  <c r="JV26" i="1" s="1"/>
  <c r="JW19" i="1"/>
  <c r="JX18" i="1"/>
  <c r="JW18" i="1"/>
  <c r="JV17" i="1"/>
  <c r="JV16" i="1"/>
  <c r="JQ23" i="1"/>
  <c r="JQ26" i="1" s="1"/>
  <c r="JR19" i="1"/>
  <c r="JS18" i="1"/>
  <c r="JR18" i="1"/>
  <c r="JQ17" i="1"/>
  <c r="JQ16" i="1"/>
  <c r="JU23" i="1"/>
  <c r="JF23" i="1" l="1"/>
  <c r="JF26" i="1" s="1"/>
  <c r="JG19" i="1"/>
  <c r="JH18" i="1"/>
  <c r="JG18" i="1"/>
  <c r="JF17" i="1"/>
  <c r="JF16" i="1"/>
  <c r="JA23" i="1" l="1"/>
  <c r="JA26" i="1" s="1"/>
  <c r="JB19" i="1"/>
  <c r="JC18" i="1"/>
  <c r="JB18" i="1"/>
  <c r="JA17" i="1"/>
  <c r="JA16" i="1"/>
  <c r="IV23" i="1" l="1"/>
  <c r="IV26" i="1" s="1"/>
  <c r="IW19" i="1"/>
  <c r="IX18" i="1"/>
  <c r="IW18" i="1"/>
  <c r="IV17" i="1"/>
  <c r="IV16" i="1"/>
  <c r="IU23" i="1" l="1"/>
  <c r="IQ16" i="1"/>
  <c r="IQ23" i="1" l="1"/>
  <c r="IQ26" i="1" s="1"/>
  <c r="IR19" i="1"/>
  <c r="IS18" i="1"/>
  <c r="IR18" i="1"/>
  <c r="IQ17" i="1"/>
  <c r="II23" i="1" l="1"/>
  <c r="IH23" i="1"/>
  <c r="IG23" i="1"/>
  <c r="IF23" i="1"/>
  <c r="IF26" i="1" s="1"/>
  <c r="IG19" i="1"/>
  <c r="IH18" i="1"/>
  <c r="IG18" i="1"/>
  <c r="IF17" i="1"/>
  <c r="IF16" i="1"/>
  <c r="ID23" i="1" l="1"/>
  <c r="IC23" i="1"/>
  <c r="IB23" i="1"/>
  <c r="IA23" i="1"/>
  <c r="IA26" i="1" s="1"/>
  <c r="IB19" i="1"/>
  <c r="IC18" i="1"/>
  <c r="IB18" i="1"/>
  <c r="IA17" i="1"/>
  <c r="IA16" i="1"/>
  <c r="HY23" i="1"/>
  <c r="HX23" i="1"/>
  <c r="HW23" i="1"/>
  <c r="HV23" i="1"/>
  <c r="HV26" i="1" s="1"/>
  <c r="HW19" i="1"/>
  <c r="HX18" i="1"/>
  <c r="HW18" i="1"/>
  <c r="HV17" i="1"/>
  <c r="HV16" i="1"/>
  <c r="HU23" i="1"/>
  <c r="HJ23" i="1"/>
  <c r="HE23" i="1"/>
  <c r="HQ23" i="1"/>
  <c r="HQ26" i="1" s="1"/>
  <c r="HR19" i="1"/>
  <c r="HS18" i="1"/>
  <c r="HR18" i="1"/>
  <c r="HQ17" i="1"/>
  <c r="HQ16" i="1"/>
  <c r="ER18" i="1"/>
  <c r="HF17" i="1"/>
  <c r="HF16" i="1"/>
  <c r="HA23" i="1"/>
  <c r="HA26" i="1" s="1"/>
  <c r="HB19" i="1"/>
  <c r="HC18" i="1"/>
  <c r="HB18" i="1"/>
  <c r="HA17" i="1"/>
  <c r="HA16" i="1"/>
  <c r="GU23" i="1"/>
  <c r="GJ23" i="1"/>
  <c r="GF16" i="1"/>
  <c r="GV23" i="1"/>
  <c r="GV26" i="1" s="1"/>
  <c r="GW19" i="1"/>
  <c r="GX18" i="1"/>
  <c r="GW18" i="1"/>
  <c r="GV17" i="1"/>
  <c r="GV16" i="1"/>
  <c r="GQ23" i="1"/>
  <c r="GQ26" i="1" s="1"/>
  <c r="GR19" i="1"/>
  <c r="GS18" i="1"/>
  <c r="GR18" i="1"/>
  <c r="GQ17" i="1"/>
  <c r="GQ16" i="1"/>
  <c r="GF23" i="1"/>
  <c r="GF26" i="1" s="1"/>
  <c r="GG19" i="1"/>
  <c r="GH18" i="1"/>
  <c r="GG18" i="1"/>
  <c r="GF17" i="1"/>
  <c r="GE23" i="1"/>
  <c r="FZ23" i="1"/>
  <c r="FZ26" i="1" s="1"/>
  <c r="GA23" i="1"/>
  <c r="GA26" i="1" s="1"/>
  <c r="GB19" i="1"/>
  <c r="GC18" i="1"/>
  <c r="GB18" i="1"/>
  <c r="GA17" i="1"/>
  <c r="GA16" i="1"/>
  <c r="FU23" i="1"/>
  <c r="FU26" i="1" s="1"/>
  <c r="FI23" i="1"/>
  <c r="FI26" i="1" s="1"/>
  <c r="FQ23" i="1"/>
  <c r="FQ26" i="1" s="1"/>
  <c r="FR19" i="1"/>
  <c r="FS18" i="1"/>
  <c r="FR18" i="1"/>
  <c r="FQ17" i="1"/>
  <c r="FQ16" i="1"/>
  <c r="FE23" i="1"/>
  <c r="FE26" i="1" s="1"/>
  <c r="FF19" i="1"/>
  <c r="FG18" i="1"/>
  <c r="FF18" i="1"/>
  <c r="FE17" i="1"/>
  <c r="FE16" i="1"/>
  <c r="FV23" i="1"/>
  <c r="FV26" i="1" s="1"/>
  <c r="FW19" i="1"/>
  <c r="FX18" i="1"/>
  <c r="FW18" i="1"/>
  <c r="FV17" i="1"/>
  <c r="FV16" i="1"/>
  <c r="FD23" i="1"/>
  <c r="FD26" i="1" s="1"/>
  <c r="EY23" i="1"/>
  <c r="EY26" i="1" s="1"/>
  <c r="FA19" i="1"/>
  <c r="FB18" i="1"/>
  <c r="FA18" i="1"/>
  <c r="EZ16" i="1"/>
  <c r="EZ17" i="1"/>
  <c r="EZ23" i="1"/>
  <c r="EZ26" i="1" s="1"/>
  <c r="EU23" i="1"/>
  <c r="EU26" i="1" s="1"/>
  <c r="EV19" i="1"/>
  <c r="EW18" i="1"/>
  <c r="EV18" i="1"/>
  <c r="EU17" i="1"/>
  <c r="EU16" i="1"/>
  <c r="ET23" i="1"/>
  <c r="ET26" i="1" s="1"/>
  <c r="EP23" i="1"/>
  <c r="EP26" i="1" s="1"/>
  <c r="EQ19" i="1"/>
  <c r="EQ18" i="1"/>
  <c r="EP17" i="1"/>
  <c r="EP16" i="1"/>
  <c r="EI23" i="1"/>
  <c r="EI26" i="1" s="1"/>
  <c r="ED23" i="1"/>
  <c r="ED26" i="1" s="1"/>
  <c r="EE23" i="1"/>
  <c r="EE26" i="1" s="1"/>
  <c r="EF19" i="1"/>
  <c r="EG18" i="1"/>
  <c r="EF18" i="1"/>
  <c r="EE17" i="1"/>
  <c r="EE16" i="1"/>
  <c r="DZ23" i="1"/>
  <c r="DZ26" i="1" s="1"/>
  <c r="EA19" i="1"/>
  <c r="EB18" i="1"/>
  <c r="EA18" i="1"/>
  <c r="DZ17" i="1"/>
  <c r="DZ16" i="1"/>
  <c r="DP16" i="1"/>
  <c r="DT16" i="1"/>
  <c r="DU16" i="1"/>
  <c r="DY16" i="1"/>
  <c r="DP17" i="1"/>
  <c r="DT17" i="1"/>
  <c r="DU17" i="1"/>
  <c r="DY17" i="1"/>
  <c r="DQ18" i="1"/>
  <c r="DR18" i="1"/>
  <c r="DV18" i="1"/>
  <c r="DW18" i="1"/>
  <c r="HG18" i="1"/>
  <c r="HH18" i="1"/>
  <c r="DQ19" i="1"/>
  <c r="DV19" i="1"/>
  <c r="HG19" i="1"/>
  <c r="H23" i="1"/>
  <c r="I23" i="1"/>
  <c r="J23" i="1"/>
  <c r="K23" i="1"/>
  <c r="L23" i="1"/>
  <c r="M23" i="1"/>
  <c r="N23" i="1"/>
  <c r="O23" i="1"/>
  <c r="V23" i="1"/>
  <c r="W23" i="1"/>
  <c r="X23" i="1"/>
  <c r="Y23" i="1"/>
  <c r="Z23" i="1"/>
  <c r="AA23" i="1"/>
  <c r="AJ23" i="1"/>
  <c r="AK23" i="1"/>
  <c r="AQ23" i="1"/>
  <c r="AX23" i="1"/>
  <c r="AY23" i="1"/>
  <c r="AY26" i="1" s="1"/>
  <c r="BA23" i="1"/>
  <c r="BA26" i="1" s="1"/>
  <c r="BB23" i="1"/>
  <c r="BB26" i="1" s="1"/>
  <c r="BB18" i="1" s="1"/>
  <c r="BC23" i="1"/>
  <c r="BC26" i="1" s="1"/>
  <c r="BN23" i="1"/>
  <c r="BN26" i="1" s="1"/>
  <c r="BN18" i="1" s="1"/>
  <c r="CT23" i="1"/>
  <c r="DP23" i="1"/>
  <c r="DP26" i="1" s="1"/>
  <c r="DT23" i="1"/>
  <c r="DT26" i="1" s="1"/>
  <c r="DU23" i="1"/>
  <c r="DU26" i="1" s="1"/>
  <c r="DY23" i="1"/>
  <c r="DY26" i="1" s="1"/>
  <c r="HF23" i="1"/>
  <c r="HF26" i="1" s="1"/>
  <c r="H22" i="2"/>
  <c r="I22" i="2"/>
  <c r="J22" i="2"/>
  <c r="K22" i="2"/>
  <c r="L22" i="2"/>
  <c r="M22" i="2"/>
  <c r="N22" i="2"/>
  <c r="O22" i="2"/>
  <c r="V22" i="2"/>
  <c r="W22" i="2"/>
  <c r="X22" i="2"/>
  <c r="Y22" i="2"/>
  <c r="Z22" i="2"/>
  <c r="AA22" i="2"/>
  <c r="AB22" i="2"/>
  <c r="AC22" i="2"/>
  <c r="AJ22" i="2"/>
  <c r="AK22" i="2"/>
  <c r="AL22" i="2"/>
  <c r="AM22" i="2"/>
  <c r="AN22" i="2"/>
  <c r="AO22" i="2"/>
  <c r="AP22" i="2"/>
  <c r="BB22" i="2"/>
  <c r="BC22" i="2"/>
  <c r="BD22" i="2"/>
  <c r="BE22" i="2"/>
  <c r="BL22" i="2"/>
  <c r="BM22" i="2"/>
  <c r="BN22" i="2"/>
  <c r="BO22" i="2"/>
  <c r="BP22" i="2"/>
  <c r="BQ22" i="2"/>
  <c r="BR22" i="2"/>
  <c r="BS22" i="2"/>
  <c r="BZ22" i="2"/>
  <c r="CA22" i="2"/>
  <c r="CB22" i="2"/>
  <c r="CC22" i="2"/>
  <c r="CD22" i="2"/>
  <c r="CE22" i="2"/>
  <c r="CF22" i="2"/>
  <c r="CN22" i="2"/>
  <c r="CP22" i="2"/>
  <c r="H25" i="2"/>
  <c r="J25" i="2"/>
  <c r="K25" i="2"/>
  <c r="QO26" i="1" l="1"/>
</calcChain>
</file>

<file path=xl/sharedStrings.xml><?xml version="1.0" encoding="utf-8"?>
<sst xmlns="http://schemas.openxmlformats.org/spreadsheetml/2006/main" count="13179" uniqueCount="885">
  <si>
    <t>対象エリア：九州エリア　本土</t>
    <rPh sb="0" eb="2">
      <t>タイショウ</t>
    </rPh>
    <rPh sb="6" eb="8">
      <t>キュウシュウ</t>
    </rPh>
    <rPh sb="12" eb="14">
      <t>ホンド</t>
    </rPh>
    <phoneticPr fontId="7"/>
  </si>
  <si>
    <t>最大余剰電力
発生時刻</t>
    <rPh sb="0" eb="2">
      <t>サイダイ</t>
    </rPh>
    <rPh sb="2" eb="4">
      <t>ヨジョウ</t>
    </rPh>
    <rPh sb="4" eb="6">
      <t>デンリョク</t>
    </rPh>
    <rPh sb="7" eb="9">
      <t>ハッセイ</t>
    </rPh>
    <rPh sb="9" eb="11">
      <t>ジコク</t>
    </rPh>
    <phoneticPr fontId="7"/>
  </si>
  <si>
    <t>～</t>
    <phoneticPr fontId="6"/>
  </si>
  <si>
    <t>再エネ
出力制御期間</t>
    <rPh sb="0" eb="1">
      <t>サイ</t>
    </rPh>
    <rPh sb="4" eb="6">
      <t>シュツリョク</t>
    </rPh>
    <rPh sb="6" eb="8">
      <t>セイギョ</t>
    </rPh>
    <rPh sb="8" eb="10">
      <t>キカン</t>
    </rPh>
    <phoneticPr fontId="7"/>
  </si>
  <si>
    <t>①</t>
    <phoneticPr fontId="6"/>
  </si>
  <si>
    <t>(再掲)再エネ出力</t>
    <rPh sb="1" eb="3">
      <t>サイケイ</t>
    </rPh>
    <rPh sb="4" eb="5">
      <t>サイ</t>
    </rPh>
    <rPh sb="7" eb="9">
      <t>シュツリョク</t>
    </rPh>
    <phoneticPr fontId="7"/>
  </si>
  <si>
    <t>④</t>
    <phoneticPr fontId="6"/>
  </si>
  <si>
    <t>⑤</t>
    <phoneticPr fontId="6"/>
  </si>
  <si>
    <t>予想需給状況</t>
    <rPh sb="0" eb="2">
      <t>ヨソウ</t>
    </rPh>
    <rPh sb="2" eb="4">
      <t>ジュキュウ</t>
    </rPh>
    <rPh sb="4" eb="6">
      <t>ジョウキョウ</t>
    </rPh>
    <phoneticPr fontId="6"/>
  </si>
  <si>
    <t>通し番号</t>
    <rPh sb="0" eb="1">
      <t>トオ</t>
    </rPh>
    <rPh sb="2" eb="4">
      <t>バンゴウ</t>
    </rPh>
    <phoneticPr fontId="7"/>
  </si>
  <si>
    <t>（前日指示）</t>
    <rPh sb="1" eb="3">
      <t>ゼンジツ</t>
    </rPh>
    <rPh sb="3" eb="5">
      <t>シジ</t>
    </rPh>
    <phoneticPr fontId="6"/>
  </si>
  <si>
    <t>再エネ出力制御量</t>
    <rPh sb="0" eb="1">
      <t>サイ</t>
    </rPh>
    <rPh sb="3" eb="5">
      <t>シュツリョク</t>
    </rPh>
    <rPh sb="5" eb="7">
      <t>セイギョ</t>
    </rPh>
    <rPh sb="7" eb="8">
      <t>リョウ</t>
    </rPh>
    <phoneticPr fontId="6"/>
  </si>
  <si>
    <t>[万kW]</t>
    <rPh sb="1" eb="2">
      <t>マン</t>
    </rPh>
    <phoneticPr fontId="6"/>
  </si>
  <si>
    <t>発　信　日</t>
    <rPh sb="0" eb="1">
      <t>ハッ</t>
    </rPh>
    <rPh sb="2" eb="3">
      <t>シン</t>
    </rPh>
    <rPh sb="4" eb="5">
      <t>ニチ</t>
    </rPh>
    <phoneticPr fontId="7"/>
  </si>
  <si>
    <t>出力制御内容</t>
    <rPh sb="0" eb="2">
      <t>シュツリョク</t>
    </rPh>
    <rPh sb="2" eb="4">
      <t>セイギョ</t>
    </rPh>
    <rPh sb="4" eb="6">
      <t>ナイヨウ</t>
    </rPh>
    <phoneticPr fontId="6"/>
  </si>
  <si>
    <t>②</t>
    <phoneticPr fontId="6"/>
  </si>
  <si>
    <t>③</t>
    <phoneticPr fontId="6"/>
  </si>
  <si>
    <t>再エネ出力制御必要量
(⑤＝①＋②＋③－④)</t>
    <rPh sb="0" eb="1">
      <t>サイ</t>
    </rPh>
    <rPh sb="3" eb="5">
      <t>シュツリョク</t>
    </rPh>
    <rPh sb="5" eb="7">
      <t>セイギョ</t>
    </rPh>
    <rPh sb="7" eb="9">
      <t>ヒツヨウ</t>
    </rPh>
    <rPh sb="9" eb="10">
      <t>リョウ</t>
    </rPh>
    <phoneticPr fontId="7"/>
  </si>
  <si>
    <t>小　計</t>
    <rPh sb="0" eb="1">
      <t>ショウ</t>
    </rPh>
    <rPh sb="2" eb="3">
      <t>ケイ</t>
    </rPh>
    <phoneticPr fontId="6"/>
  </si>
  <si>
    <t>10/12（金）16時頃</t>
    <rPh sb="6" eb="7">
      <t>キン</t>
    </rPh>
    <rPh sb="10" eb="11">
      <t>ジ</t>
    </rPh>
    <rPh sb="11" eb="12">
      <t>ゴロ</t>
    </rPh>
    <phoneticPr fontId="6"/>
  </si>
  <si>
    <t>10/13（土）</t>
    <rPh sb="6" eb="7">
      <t>ド</t>
    </rPh>
    <phoneticPr fontId="6"/>
  </si>
  <si>
    <t>9時00分～16時00分</t>
    <rPh sb="1" eb="2">
      <t>ジ</t>
    </rPh>
    <rPh sb="4" eb="5">
      <t>フン</t>
    </rPh>
    <rPh sb="8" eb="9">
      <t>ジ</t>
    </rPh>
    <rPh sb="11" eb="12">
      <t>フン</t>
    </rPh>
    <phoneticPr fontId="7"/>
  </si>
  <si>
    <t>(注1)最新の再エネ(太陽光・風力)設備量に基づき都度算定</t>
    <rPh sb="1" eb="2">
      <t>チュウ</t>
    </rPh>
    <rPh sb="4" eb="6">
      <t>サイシン</t>
    </rPh>
    <rPh sb="7" eb="8">
      <t>サイ</t>
    </rPh>
    <rPh sb="11" eb="14">
      <t>タイヨウコウ</t>
    </rPh>
    <rPh sb="15" eb="17">
      <t>フウリョク</t>
    </rPh>
    <rPh sb="18" eb="20">
      <t>セツビ</t>
    </rPh>
    <rPh sb="20" eb="21">
      <t>リョウ</t>
    </rPh>
    <rPh sb="22" eb="23">
      <t>モト</t>
    </rPh>
    <rPh sb="25" eb="27">
      <t>ツド</t>
    </rPh>
    <rPh sb="27" eb="29">
      <t>サンテイ</t>
    </rPh>
    <phoneticPr fontId="7"/>
  </si>
  <si>
    <t>(注2)最大余剰電力発生時刻におけるエリア需要</t>
    <rPh sb="1" eb="2">
      <t>チュウ</t>
    </rPh>
    <rPh sb="4" eb="6">
      <t>サイダイ</t>
    </rPh>
    <rPh sb="6" eb="8">
      <t>ヨジョウ</t>
    </rPh>
    <rPh sb="8" eb="10">
      <t>デンリョク</t>
    </rPh>
    <rPh sb="10" eb="12">
      <t>ハッセイ</t>
    </rPh>
    <rPh sb="12" eb="14">
      <t>ジコク</t>
    </rPh>
    <rPh sb="21" eb="23">
      <t>ジュヨウ</t>
    </rPh>
    <phoneticPr fontId="7"/>
  </si>
  <si>
    <t>(注3)揚水発電所を最大限活用</t>
    <rPh sb="1" eb="2">
      <t>チュウ</t>
    </rPh>
    <rPh sb="4" eb="6">
      <t>ヨウスイ</t>
    </rPh>
    <rPh sb="6" eb="8">
      <t>ハツデン</t>
    </rPh>
    <rPh sb="8" eb="9">
      <t>ショ</t>
    </rPh>
    <rPh sb="10" eb="13">
      <t>サイダイゲン</t>
    </rPh>
    <rPh sb="13" eb="15">
      <t>カツヨウ</t>
    </rPh>
    <phoneticPr fontId="7"/>
  </si>
  <si>
    <t>(注4)関門連系線を最大限活用し、域外へ送電</t>
    <rPh sb="1" eb="2">
      <t>チュウ</t>
    </rPh>
    <rPh sb="4" eb="6">
      <t>カンモン</t>
    </rPh>
    <rPh sb="6" eb="8">
      <t>レンケイ</t>
    </rPh>
    <rPh sb="8" eb="9">
      <t>セン</t>
    </rPh>
    <rPh sb="10" eb="13">
      <t>サイダイゲン</t>
    </rPh>
    <rPh sb="13" eb="15">
      <t>カツヨウ</t>
    </rPh>
    <rPh sb="17" eb="19">
      <t>イキガイ</t>
    </rPh>
    <rPh sb="20" eb="22">
      <t>ソウデン</t>
    </rPh>
    <phoneticPr fontId="7"/>
  </si>
  <si>
    <t>(注5)優先給電ルールに基づき火力発電等を最大限抑制</t>
    <rPh sb="1" eb="2">
      <t>チュウ</t>
    </rPh>
    <rPh sb="4" eb="6">
      <t>ユウセン</t>
    </rPh>
    <rPh sb="6" eb="8">
      <t>キュウデン</t>
    </rPh>
    <rPh sb="12" eb="13">
      <t>モト</t>
    </rPh>
    <rPh sb="15" eb="17">
      <t>カリョク</t>
    </rPh>
    <rPh sb="17" eb="19">
      <t>ハツデン</t>
    </rPh>
    <rPh sb="19" eb="20">
      <t>トウ</t>
    </rPh>
    <rPh sb="21" eb="24">
      <t>サイダイゲン</t>
    </rPh>
    <rPh sb="24" eb="26">
      <t>ヨクセイ</t>
    </rPh>
    <phoneticPr fontId="7"/>
  </si>
  <si>
    <t>〔 7% 〕</t>
    <phoneticPr fontId="6"/>
  </si>
  <si>
    <t>10/13（土）9時頃</t>
    <rPh sb="6" eb="7">
      <t>ド</t>
    </rPh>
    <rPh sb="9" eb="10">
      <t>ジ</t>
    </rPh>
    <rPh sb="10" eb="11">
      <t>ゴロ</t>
    </rPh>
    <phoneticPr fontId="6"/>
  </si>
  <si>
    <t>(注6)最新（当日5時）の気象データに基づきエリア需要と再エネ出力を見直し</t>
    <rPh sb="1" eb="2">
      <t>チュウ</t>
    </rPh>
    <rPh sb="4" eb="6">
      <t>サイシン</t>
    </rPh>
    <rPh sb="7" eb="9">
      <t>トウジツ</t>
    </rPh>
    <rPh sb="10" eb="11">
      <t>ジ</t>
    </rPh>
    <rPh sb="13" eb="15">
      <t>キショウ</t>
    </rPh>
    <rPh sb="19" eb="20">
      <t>モト</t>
    </rPh>
    <rPh sb="25" eb="27">
      <t>ジュヨウ</t>
    </rPh>
    <rPh sb="28" eb="29">
      <t>サイ</t>
    </rPh>
    <rPh sb="31" eb="33">
      <t>シュツリョク</t>
    </rPh>
    <rPh sb="34" eb="36">
      <t>ミナオ</t>
    </rPh>
    <phoneticPr fontId="7"/>
  </si>
  <si>
    <t>10/13（土）16時頃</t>
    <rPh sb="6" eb="7">
      <t>ド</t>
    </rPh>
    <rPh sb="10" eb="11">
      <t>ジ</t>
    </rPh>
    <rPh sb="11" eb="12">
      <t>ゴロ</t>
    </rPh>
    <phoneticPr fontId="6"/>
  </si>
  <si>
    <t>10/14（日）</t>
    <rPh sb="6" eb="7">
      <t>ニチ</t>
    </rPh>
    <phoneticPr fontId="6"/>
  </si>
  <si>
    <t>〔 11% 〕</t>
    <phoneticPr fontId="6"/>
  </si>
  <si>
    <t>10/14（日）9時頃</t>
    <rPh sb="6" eb="7">
      <t>ニチ</t>
    </rPh>
    <rPh sb="9" eb="10">
      <t>ジ</t>
    </rPh>
    <rPh sb="10" eb="11">
      <t>ゴロ</t>
    </rPh>
    <phoneticPr fontId="6"/>
  </si>
  <si>
    <t>〔 12% 〕</t>
    <phoneticPr fontId="6"/>
  </si>
  <si>
    <t>(注)再エネ出力制御量の増減については、需給状況を踏まえ遠隔制御が可能な事業者にて対応</t>
    <rPh sb="1" eb="2">
      <t>チュウ</t>
    </rPh>
    <rPh sb="3" eb="4">
      <t>サイ</t>
    </rPh>
    <rPh sb="6" eb="8">
      <t>シュツリョク</t>
    </rPh>
    <rPh sb="8" eb="10">
      <t>セイギョ</t>
    </rPh>
    <rPh sb="10" eb="11">
      <t>リョウ</t>
    </rPh>
    <rPh sb="12" eb="14">
      <t>ゾウゲン</t>
    </rPh>
    <rPh sb="20" eb="22">
      <t>ジュキュウ</t>
    </rPh>
    <rPh sb="22" eb="24">
      <t>ジョウキョウ</t>
    </rPh>
    <rPh sb="25" eb="26">
      <t>フ</t>
    </rPh>
    <rPh sb="28" eb="30">
      <t>エンカク</t>
    </rPh>
    <rPh sb="30" eb="32">
      <t>セイギョ</t>
    </rPh>
    <rPh sb="33" eb="35">
      <t>カノウ</t>
    </rPh>
    <rPh sb="36" eb="39">
      <t>ジギョウシャ</t>
    </rPh>
    <rPh sb="41" eb="43">
      <t>タイオウ</t>
    </rPh>
    <phoneticPr fontId="7"/>
  </si>
  <si>
    <t>10/19（金）16時頃</t>
    <rPh sb="6" eb="7">
      <t>キン</t>
    </rPh>
    <rPh sb="10" eb="11">
      <t>ジ</t>
    </rPh>
    <rPh sb="11" eb="12">
      <t>ゴロ</t>
    </rPh>
    <phoneticPr fontId="6"/>
  </si>
  <si>
    <t>10/20（土）</t>
    <rPh sb="6" eb="7">
      <t>ド</t>
    </rPh>
    <phoneticPr fontId="6"/>
  </si>
  <si>
    <t>10/20（土）9時頃</t>
    <rPh sb="6" eb="7">
      <t>ド</t>
    </rPh>
    <rPh sb="9" eb="10">
      <t>ジ</t>
    </rPh>
    <rPh sb="10" eb="11">
      <t>ゴロ</t>
    </rPh>
    <phoneticPr fontId="6"/>
  </si>
  <si>
    <t>10/20（土）16時頃</t>
    <rPh sb="6" eb="7">
      <t>ド</t>
    </rPh>
    <rPh sb="10" eb="11">
      <t>ジ</t>
    </rPh>
    <rPh sb="11" eb="12">
      <t>ゴロ</t>
    </rPh>
    <phoneticPr fontId="6"/>
  </si>
  <si>
    <t>10/21（日）</t>
    <rPh sb="6" eb="7">
      <t>ニチ</t>
    </rPh>
    <phoneticPr fontId="6"/>
  </si>
  <si>
    <t>〔 19% 〕</t>
    <phoneticPr fontId="6"/>
  </si>
  <si>
    <t>10/21（日）9時頃</t>
    <rPh sb="6" eb="7">
      <t>ニチ</t>
    </rPh>
    <rPh sb="9" eb="10">
      <t>ジ</t>
    </rPh>
    <rPh sb="10" eb="11">
      <t>ゴロ</t>
    </rPh>
    <phoneticPr fontId="6"/>
  </si>
  <si>
    <t>1１/3（土）</t>
    <rPh sb="5" eb="6">
      <t>ド</t>
    </rPh>
    <phoneticPr fontId="6"/>
  </si>
  <si>
    <t>11/2（金）16時頃</t>
    <rPh sb="5" eb="6">
      <t>キン</t>
    </rPh>
    <rPh sb="9" eb="10">
      <t>ジ</t>
    </rPh>
    <rPh sb="10" eb="11">
      <t>ゴロ</t>
    </rPh>
    <phoneticPr fontId="6"/>
  </si>
  <si>
    <t>11/3（土）9時頃</t>
    <rPh sb="5" eb="6">
      <t>ド</t>
    </rPh>
    <rPh sb="8" eb="9">
      <t>ジ</t>
    </rPh>
    <rPh sb="9" eb="10">
      <t>ゴロ</t>
    </rPh>
    <phoneticPr fontId="6"/>
  </si>
  <si>
    <t>11/3（土）16時頃</t>
    <rPh sb="5" eb="6">
      <t>ド</t>
    </rPh>
    <rPh sb="9" eb="10">
      <t>ジ</t>
    </rPh>
    <rPh sb="10" eb="11">
      <t>ゴロ</t>
    </rPh>
    <phoneticPr fontId="6"/>
  </si>
  <si>
    <t>1１/4（日）</t>
    <rPh sb="5" eb="6">
      <t>ニチ</t>
    </rPh>
    <phoneticPr fontId="6"/>
  </si>
  <si>
    <t>11/4（日）9時頃</t>
    <rPh sb="5" eb="6">
      <t>ニチ</t>
    </rPh>
    <rPh sb="8" eb="9">
      <t>ジ</t>
    </rPh>
    <rPh sb="9" eb="10">
      <t>ゴロ</t>
    </rPh>
    <phoneticPr fontId="6"/>
  </si>
  <si>
    <t>1１/10（土）</t>
    <rPh sb="6" eb="7">
      <t>ド</t>
    </rPh>
    <phoneticPr fontId="6"/>
  </si>
  <si>
    <t>11/9（金）16時頃</t>
    <rPh sb="5" eb="6">
      <t>キン</t>
    </rPh>
    <rPh sb="9" eb="10">
      <t>ジ</t>
    </rPh>
    <rPh sb="10" eb="11">
      <t>ゴロ</t>
    </rPh>
    <phoneticPr fontId="6"/>
  </si>
  <si>
    <t>11/10（土）16時頃</t>
    <rPh sb="6" eb="7">
      <t>ド</t>
    </rPh>
    <rPh sb="10" eb="11">
      <t>ジ</t>
    </rPh>
    <rPh sb="11" eb="12">
      <t>ゴロ</t>
    </rPh>
    <phoneticPr fontId="6"/>
  </si>
  <si>
    <t>11/11（日）</t>
    <rPh sb="6" eb="7">
      <t>ニチ</t>
    </rPh>
    <phoneticPr fontId="6"/>
  </si>
  <si>
    <t>11/10（土）9時頃</t>
    <rPh sb="6" eb="7">
      <t>ド</t>
    </rPh>
    <rPh sb="9" eb="10">
      <t>ジ</t>
    </rPh>
    <rPh sb="10" eb="11">
      <t>ゴロ</t>
    </rPh>
    <phoneticPr fontId="6"/>
  </si>
  <si>
    <t>11/11（日）9時頃</t>
    <rPh sb="6" eb="7">
      <t>ニチ</t>
    </rPh>
    <rPh sb="9" eb="10">
      <t>ジ</t>
    </rPh>
    <rPh sb="10" eb="11">
      <t>ゴロ</t>
    </rPh>
    <phoneticPr fontId="6"/>
  </si>
  <si>
    <t>9時00分～16時00分</t>
    <phoneticPr fontId="6"/>
  </si>
  <si>
    <t>1/2(水）16時頃</t>
    <rPh sb="4" eb="5">
      <t>スイ</t>
    </rPh>
    <rPh sb="8" eb="9">
      <t>ジ</t>
    </rPh>
    <rPh sb="9" eb="10">
      <t>ゴロ</t>
    </rPh>
    <phoneticPr fontId="6"/>
  </si>
  <si>
    <t>1/3（木）</t>
    <rPh sb="4" eb="5">
      <t>モク</t>
    </rPh>
    <phoneticPr fontId="6"/>
  </si>
  <si>
    <t>1/3(木）9時頃</t>
    <rPh sb="4" eb="5">
      <t>モク</t>
    </rPh>
    <rPh sb="7" eb="8">
      <t>ジ</t>
    </rPh>
    <rPh sb="8" eb="9">
      <t>ゴロ</t>
    </rPh>
    <phoneticPr fontId="6"/>
  </si>
  <si>
    <r>
      <t>（当日見直し）</t>
    </r>
    <r>
      <rPr>
        <vertAlign val="superscript"/>
        <sz val="18"/>
        <rFont val="ＭＳ ゴシック"/>
        <family val="3"/>
        <charset val="128"/>
      </rPr>
      <t>（注6）</t>
    </r>
    <rPh sb="1" eb="3">
      <t>トウジツ</t>
    </rPh>
    <rPh sb="3" eb="5">
      <t>ミナオ</t>
    </rPh>
    <rPh sb="8" eb="9">
      <t>チュウ</t>
    </rPh>
    <phoneticPr fontId="6"/>
  </si>
  <si>
    <r>
      <t>〔再エネ接続量に対する比率〕</t>
    </r>
    <r>
      <rPr>
        <vertAlign val="superscript"/>
        <sz val="18"/>
        <rFont val="ＭＳ ゴシック"/>
        <family val="3"/>
        <charset val="128"/>
      </rPr>
      <t>(注1)</t>
    </r>
    <rPh sb="1" eb="2">
      <t>サイ</t>
    </rPh>
    <rPh sb="4" eb="6">
      <t>セツゾク</t>
    </rPh>
    <rPh sb="6" eb="7">
      <t>リョウ</t>
    </rPh>
    <rPh sb="8" eb="9">
      <t>タイ</t>
    </rPh>
    <rPh sb="11" eb="13">
      <t>ヒリツ</t>
    </rPh>
    <rPh sb="15" eb="16">
      <t>チュウ</t>
    </rPh>
    <phoneticPr fontId="7"/>
  </si>
  <si>
    <r>
      <t>[ 15%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</si>
  <si>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r>
      <t>[ 21%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</si>
  <si>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r>
      <t>[ 11%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</si>
  <si>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r>
      <t>[ 14%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</si>
  <si>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r>
      <t>[ 18%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</si>
  <si>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r>
      <t xml:space="preserve">[ 12%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</si>
  <si>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r>
      <t>エリア需要</t>
    </r>
    <r>
      <rPr>
        <vertAlign val="superscript"/>
        <sz val="18"/>
        <rFont val="ＭＳ ゴシック"/>
        <family val="3"/>
        <charset val="128"/>
      </rPr>
      <t>(注2)</t>
    </r>
    <rPh sb="3" eb="5">
      <t>ジュヨウ</t>
    </rPh>
    <rPh sb="6" eb="7">
      <t>チュウ</t>
    </rPh>
    <phoneticPr fontId="7"/>
  </si>
  <si>
    <r>
      <t>域外送電</t>
    </r>
    <r>
      <rPr>
        <vertAlign val="superscript"/>
        <sz val="18"/>
        <rFont val="ＭＳ ゴシック"/>
        <family val="3"/>
        <charset val="128"/>
      </rPr>
      <t>(注4)</t>
    </r>
    <rPh sb="0" eb="2">
      <t>イキガイ</t>
    </rPh>
    <rPh sb="2" eb="4">
      <t>ソウデン</t>
    </rPh>
    <rPh sb="5" eb="6">
      <t>チュウ</t>
    </rPh>
    <phoneticPr fontId="7"/>
  </si>
  <si>
    <r>
      <t>供給力</t>
    </r>
    <r>
      <rPr>
        <vertAlign val="superscript"/>
        <sz val="18"/>
        <rFont val="ＭＳ ゴシック"/>
        <family val="3"/>
        <charset val="128"/>
      </rPr>
      <t>(注5)</t>
    </r>
    <rPh sb="0" eb="3">
      <t>キョウキュウリョク</t>
    </rPh>
    <phoneticPr fontId="7"/>
  </si>
  <si>
    <t>2018年度実績</t>
    <rPh sb="4" eb="6">
      <t>ネンド</t>
    </rPh>
    <rPh sb="6" eb="8">
      <t>ジッセキ</t>
    </rPh>
    <phoneticPr fontId="7"/>
  </si>
  <si>
    <t>余剰電力を満たす発電事業者さまに対して、以下の内容で、出力抑制の指示等を行いました。</t>
    <phoneticPr fontId="6"/>
  </si>
  <si>
    <t>　当社は、電力の安定供給確保の観点から、火力機抑制などの回避措置を行ったとしても、電気の供給量（発電出力合計）が、その需要量等（エリア需要予想、連系線運用容量）を上回ることが見込まれたことから、</t>
    <phoneticPr fontId="6"/>
  </si>
  <si>
    <r>
      <t>大容量蓄電池の充電
・揚水運転</t>
    </r>
    <r>
      <rPr>
        <vertAlign val="superscript"/>
        <sz val="18"/>
        <rFont val="ＭＳ ゴシック"/>
        <family val="3"/>
        <charset val="128"/>
      </rPr>
      <t>(注3)</t>
    </r>
    <rPh sb="0" eb="3">
      <t>ダイヨウリョウ</t>
    </rPh>
    <rPh sb="3" eb="6">
      <t>チクデンチ</t>
    </rPh>
    <rPh sb="7" eb="9">
      <t>ジュウデン</t>
    </rPh>
    <rPh sb="16" eb="17">
      <t>チュウ</t>
    </rPh>
    <phoneticPr fontId="7"/>
  </si>
  <si>
    <t>2/23(土）16時頃</t>
    <rPh sb="5" eb="6">
      <t>ド</t>
    </rPh>
    <rPh sb="9" eb="10">
      <t>ジ</t>
    </rPh>
    <rPh sb="10" eb="11">
      <t>ゴロ</t>
    </rPh>
    <phoneticPr fontId="6"/>
  </si>
  <si>
    <t>2/24（日）</t>
    <rPh sb="5" eb="6">
      <t>ニチ</t>
    </rPh>
    <phoneticPr fontId="6"/>
  </si>
  <si>
    <t>『再生可能エネルギーの固定価格買取制度』に基づく再エネ出力制御指示に関する報告</t>
    <phoneticPr fontId="6"/>
  </si>
  <si>
    <r>
      <t xml:space="preserve">[ 29%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</si>
  <si>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2/24(日）9時頃</t>
    <rPh sb="5" eb="6">
      <t>ニチ</t>
    </rPh>
    <rPh sb="8" eb="9">
      <t>ジ</t>
    </rPh>
    <rPh sb="9" eb="10">
      <t>コロ</t>
    </rPh>
    <phoneticPr fontId="6"/>
  </si>
  <si>
    <t>3/1(金）16時頃</t>
    <rPh sb="4" eb="5">
      <t>キン</t>
    </rPh>
    <rPh sb="8" eb="9">
      <t>ジ</t>
    </rPh>
    <rPh sb="9" eb="10">
      <t>ゴロ</t>
    </rPh>
    <phoneticPr fontId="6"/>
  </si>
  <si>
    <t>3/2（土）</t>
    <rPh sb="4" eb="5">
      <t>ド</t>
    </rPh>
    <phoneticPr fontId="6"/>
  </si>
  <si>
    <r>
      <t xml:space="preserve">[ 21%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</si>
  <si>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3/2(土）9時頃</t>
    <rPh sb="4" eb="5">
      <t>ド</t>
    </rPh>
    <rPh sb="7" eb="8">
      <t>ジ</t>
    </rPh>
    <rPh sb="8" eb="9">
      <t>コロ</t>
    </rPh>
    <phoneticPr fontId="6"/>
  </si>
  <si>
    <t>3/5（火）</t>
    <rPh sb="4" eb="5">
      <t>カ</t>
    </rPh>
    <phoneticPr fontId="6"/>
  </si>
  <si>
    <t>3/4(月）16時頃</t>
    <rPh sb="4" eb="5">
      <t>ゲツ</t>
    </rPh>
    <rPh sb="8" eb="9">
      <t>ジ</t>
    </rPh>
    <rPh sb="9" eb="10">
      <t>ゴロ</t>
    </rPh>
    <phoneticPr fontId="6"/>
  </si>
  <si>
    <t>[ 12%  ]</t>
  </si>
  <si>
    <t>3/5(火）9時頃</t>
    <rPh sb="4" eb="5">
      <t>カ</t>
    </rPh>
    <rPh sb="7" eb="8">
      <t>ジ</t>
    </rPh>
    <rPh sb="8" eb="9">
      <t>ゴロ</t>
    </rPh>
    <phoneticPr fontId="6"/>
  </si>
  <si>
    <t>3/7(木）16時頃</t>
    <rPh sb="4" eb="5">
      <t>モク</t>
    </rPh>
    <rPh sb="8" eb="9">
      <t>ジ</t>
    </rPh>
    <rPh sb="9" eb="10">
      <t>ゴロ</t>
    </rPh>
    <phoneticPr fontId="6"/>
  </si>
  <si>
    <t>3/8（金）</t>
    <rPh sb="4" eb="5">
      <t>キン</t>
    </rPh>
    <phoneticPr fontId="6"/>
  </si>
  <si>
    <r>
      <t xml:space="preserve">[ 18%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</si>
  <si>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3/8(金）9時頃</t>
    <rPh sb="4" eb="5">
      <t>キン</t>
    </rPh>
    <rPh sb="7" eb="8">
      <t>ジ</t>
    </rPh>
    <rPh sb="8" eb="9">
      <t>ゴロ</t>
    </rPh>
    <phoneticPr fontId="6"/>
  </si>
  <si>
    <t>3/10(日）16時頃</t>
    <rPh sb="5" eb="6">
      <t>ニチ</t>
    </rPh>
    <rPh sb="9" eb="10">
      <t>ジ</t>
    </rPh>
    <rPh sb="10" eb="11">
      <t>ゴロ</t>
    </rPh>
    <phoneticPr fontId="6"/>
  </si>
  <si>
    <t>3/11（月）</t>
    <rPh sb="5" eb="6">
      <t>ゲツ</t>
    </rPh>
    <phoneticPr fontId="6"/>
  </si>
  <si>
    <t>9時00分～16時00分</t>
    <rPh sb="1" eb="2">
      <t>ジ</t>
    </rPh>
    <rPh sb="4" eb="5">
      <t>フン</t>
    </rPh>
    <rPh sb="8" eb="9">
      <t>ジ</t>
    </rPh>
    <rPh sb="11" eb="12">
      <t>フン</t>
    </rPh>
    <phoneticPr fontId="6"/>
  </si>
  <si>
    <r>
      <t xml:space="preserve">[ 8%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</si>
  <si>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3/11(月）9時頃</t>
    <rPh sb="5" eb="6">
      <t>ゲツ</t>
    </rPh>
    <rPh sb="8" eb="9">
      <t>ジ</t>
    </rPh>
    <rPh sb="9" eb="10">
      <t>ゴロ</t>
    </rPh>
    <phoneticPr fontId="6"/>
  </si>
  <si>
    <t>3/11(月）16時頃</t>
    <rPh sb="5" eb="6">
      <t>ゲツ</t>
    </rPh>
    <rPh sb="9" eb="10">
      <t>ジ</t>
    </rPh>
    <rPh sb="10" eb="11">
      <t>ゴロ</t>
    </rPh>
    <phoneticPr fontId="6"/>
  </si>
  <si>
    <t>3/12（火）</t>
    <rPh sb="5" eb="6">
      <t>カ</t>
    </rPh>
    <phoneticPr fontId="6"/>
  </si>
  <si>
    <r>
      <t xml:space="preserve">[ 19%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</si>
  <si>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3/12(火）9時頃</t>
    <rPh sb="5" eb="6">
      <t>カ</t>
    </rPh>
    <rPh sb="8" eb="9">
      <t>ジ</t>
    </rPh>
    <rPh sb="9" eb="10">
      <t>ゴロ</t>
    </rPh>
    <phoneticPr fontId="6"/>
  </si>
  <si>
    <r>
      <t xml:space="preserve">[ 15%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</si>
  <si>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3/12(火）16時頃</t>
    <rPh sb="5" eb="6">
      <t>カ</t>
    </rPh>
    <rPh sb="9" eb="10">
      <t>ジ</t>
    </rPh>
    <rPh sb="10" eb="11">
      <t>ゴロ</t>
    </rPh>
    <phoneticPr fontId="6"/>
  </si>
  <si>
    <t>3/13（水）</t>
    <rPh sb="5" eb="6">
      <t>スイ</t>
    </rPh>
    <phoneticPr fontId="6"/>
  </si>
  <si>
    <t>3/13(水）9時頃</t>
    <rPh sb="5" eb="6">
      <t>スイ</t>
    </rPh>
    <rPh sb="8" eb="9">
      <t>ジ</t>
    </rPh>
    <rPh sb="9" eb="10">
      <t>ゴロ</t>
    </rPh>
    <phoneticPr fontId="6"/>
  </si>
  <si>
    <t>3/14(木）16時頃</t>
    <rPh sb="5" eb="6">
      <t>モク</t>
    </rPh>
    <rPh sb="9" eb="10">
      <t>ジ</t>
    </rPh>
    <rPh sb="10" eb="11">
      <t>ゴロ</t>
    </rPh>
    <phoneticPr fontId="6"/>
  </si>
  <si>
    <t>3/15（金）</t>
    <rPh sb="5" eb="6">
      <t>キン</t>
    </rPh>
    <phoneticPr fontId="6"/>
  </si>
  <si>
    <r>
      <t xml:space="preserve">[ 6%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</si>
  <si>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3/15(金）9時頃</t>
    <rPh sb="5" eb="6">
      <t>キン</t>
    </rPh>
    <rPh sb="8" eb="9">
      <t>ジ</t>
    </rPh>
    <rPh sb="9" eb="10">
      <t>ゴロ</t>
    </rPh>
    <phoneticPr fontId="6"/>
  </si>
  <si>
    <r>
      <t xml:space="preserve">[ 22%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</si>
  <si>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3/15(金）16時頃</t>
    <rPh sb="5" eb="6">
      <t>キン</t>
    </rPh>
    <rPh sb="9" eb="10">
      <t>ジ</t>
    </rPh>
    <rPh sb="10" eb="11">
      <t>ゴロ</t>
    </rPh>
    <phoneticPr fontId="6"/>
  </si>
  <si>
    <t>3/16（土）</t>
    <rPh sb="5" eb="6">
      <t>ド</t>
    </rPh>
    <phoneticPr fontId="6"/>
  </si>
  <si>
    <t>3/16(土）9時頃</t>
    <rPh sb="5" eb="6">
      <t>ド</t>
    </rPh>
    <rPh sb="8" eb="9">
      <t>ジ</t>
    </rPh>
    <rPh sb="9" eb="10">
      <t>ゴロ</t>
    </rPh>
    <phoneticPr fontId="6"/>
  </si>
  <si>
    <t>3/16(土）16時頃</t>
    <rPh sb="5" eb="6">
      <t>ド</t>
    </rPh>
    <rPh sb="9" eb="10">
      <t>ジ</t>
    </rPh>
    <rPh sb="10" eb="11">
      <t>ゴロ</t>
    </rPh>
    <phoneticPr fontId="6"/>
  </si>
  <si>
    <t>3/17（日）</t>
    <rPh sb="5" eb="6">
      <t>ニチ</t>
    </rPh>
    <phoneticPr fontId="6"/>
  </si>
  <si>
    <r>
      <t xml:space="preserve">[ 25%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</si>
  <si>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3/17(日）9時頃</t>
    <rPh sb="5" eb="6">
      <t>ニチ</t>
    </rPh>
    <rPh sb="8" eb="9">
      <t>ジ</t>
    </rPh>
    <rPh sb="9" eb="10">
      <t>ゴロ</t>
    </rPh>
    <phoneticPr fontId="6"/>
  </si>
  <si>
    <t>3/19(火）16時頃</t>
    <rPh sb="5" eb="6">
      <t>カ</t>
    </rPh>
    <rPh sb="9" eb="10">
      <t>ジ</t>
    </rPh>
    <rPh sb="10" eb="11">
      <t>ゴロ</t>
    </rPh>
    <phoneticPr fontId="6"/>
  </si>
  <si>
    <t>3/20（水）</t>
    <rPh sb="5" eb="6">
      <t>スイ</t>
    </rPh>
    <phoneticPr fontId="6"/>
  </si>
  <si>
    <t>[ 17%  ]</t>
    <phoneticPr fontId="6"/>
  </si>
  <si>
    <t>3/20(水）9時頃</t>
    <rPh sb="5" eb="6">
      <t>スイ</t>
    </rPh>
    <rPh sb="8" eb="9">
      <t>ジ</t>
    </rPh>
    <rPh sb="9" eb="10">
      <t>ゴロ</t>
    </rPh>
    <phoneticPr fontId="6"/>
  </si>
  <si>
    <t>3/22(金）16時頃</t>
    <rPh sb="5" eb="6">
      <t>キン</t>
    </rPh>
    <rPh sb="9" eb="10">
      <t>ジ</t>
    </rPh>
    <rPh sb="10" eb="11">
      <t>ゴロ</t>
    </rPh>
    <phoneticPr fontId="6"/>
  </si>
  <si>
    <t>3/23（土）</t>
    <rPh sb="5" eb="6">
      <t>ツチ</t>
    </rPh>
    <phoneticPr fontId="6"/>
  </si>
  <si>
    <t>3/23(土）9時頃</t>
    <rPh sb="5" eb="6">
      <t>ド</t>
    </rPh>
    <rPh sb="8" eb="9">
      <t>ジ</t>
    </rPh>
    <rPh sb="9" eb="10">
      <t>ゴロ</t>
    </rPh>
    <phoneticPr fontId="6"/>
  </si>
  <si>
    <t>3/23(土）16時頃</t>
    <rPh sb="5" eb="6">
      <t>ド</t>
    </rPh>
    <rPh sb="9" eb="10">
      <t>ジ</t>
    </rPh>
    <rPh sb="10" eb="11">
      <t>ゴロ</t>
    </rPh>
    <phoneticPr fontId="6"/>
  </si>
  <si>
    <t>3/24（日）</t>
    <rPh sb="5" eb="6">
      <t>ニチ</t>
    </rPh>
    <phoneticPr fontId="6"/>
  </si>
  <si>
    <r>
      <t xml:space="preserve">[ 30%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</si>
  <si>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3/24(日）9時頃</t>
    <rPh sb="5" eb="6">
      <t>ニチ</t>
    </rPh>
    <rPh sb="8" eb="9">
      <t>ジ</t>
    </rPh>
    <rPh sb="9" eb="10">
      <t>ゴロ</t>
    </rPh>
    <phoneticPr fontId="6"/>
  </si>
  <si>
    <t>3/25(月）16時頃</t>
    <rPh sb="5" eb="6">
      <t>ゲツ</t>
    </rPh>
    <rPh sb="9" eb="10">
      <t>ジ</t>
    </rPh>
    <rPh sb="10" eb="11">
      <t>ゴロ</t>
    </rPh>
    <phoneticPr fontId="6"/>
  </si>
  <si>
    <t>3/26（火）</t>
    <rPh sb="5" eb="6">
      <t>カ</t>
    </rPh>
    <phoneticPr fontId="6"/>
  </si>
  <si>
    <r>
      <t xml:space="preserve">[ 16%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</si>
  <si>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3/26(火）9時頃</t>
    <rPh sb="5" eb="6">
      <t>カ</t>
    </rPh>
    <rPh sb="8" eb="9">
      <t>ジ</t>
    </rPh>
    <rPh sb="9" eb="10">
      <t>ゴロ</t>
    </rPh>
    <phoneticPr fontId="6"/>
  </si>
  <si>
    <t>3/26(火）16時頃</t>
    <rPh sb="5" eb="6">
      <t>カ</t>
    </rPh>
    <rPh sb="9" eb="10">
      <t>ジ</t>
    </rPh>
    <rPh sb="10" eb="11">
      <t>ゴロ</t>
    </rPh>
    <phoneticPr fontId="6"/>
  </si>
  <si>
    <t>3/27（水）</t>
    <rPh sb="5" eb="6">
      <t>スイ</t>
    </rPh>
    <phoneticPr fontId="6"/>
  </si>
  <si>
    <r>
      <t xml:space="preserve">[ 14%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</si>
  <si>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3/27(水）9時頃</t>
    <rPh sb="5" eb="6">
      <t>スイ</t>
    </rPh>
    <rPh sb="8" eb="9">
      <t>ジ</t>
    </rPh>
    <rPh sb="9" eb="10">
      <t>ゴロ</t>
    </rPh>
    <phoneticPr fontId="6"/>
  </si>
  <si>
    <t>[ 14%  ]</t>
  </si>
  <si>
    <t xml:space="preserve">  (参考) 2月末設備量　895万kW（太陽光：844万kW、風力：51万kW）</t>
    <rPh sb="3" eb="5">
      <t>サンコウ</t>
    </rPh>
    <rPh sb="8" eb="10">
      <t>ガツマツ</t>
    </rPh>
    <rPh sb="10" eb="12">
      <t>セツビ</t>
    </rPh>
    <rPh sb="12" eb="13">
      <t>リョウ</t>
    </rPh>
    <rPh sb="17" eb="18">
      <t>マン</t>
    </rPh>
    <rPh sb="21" eb="24">
      <t>タイヨウコウ</t>
    </rPh>
    <rPh sb="28" eb="29">
      <t>マン</t>
    </rPh>
    <rPh sb="32" eb="34">
      <t>フウリョク</t>
    </rPh>
    <rPh sb="37" eb="38">
      <t>マン</t>
    </rPh>
    <phoneticPr fontId="6"/>
  </si>
  <si>
    <t>3/29(金）16時頃</t>
    <rPh sb="5" eb="6">
      <t>キン</t>
    </rPh>
    <rPh sb="9" eb="10">
      <t>ジ</t>
    </rPh>
    <rPh sb="10" eb="11">
      <t>ゴロ</t>
    </rPh>
    <phoneticPr fontId="6"/>
  </si>
  <si>
    <t>3/30（土）</t>
    <rPh sb="5" eb="6">
      <t>ド</t>
    </rPh>
    <phoneticPr fontId="6"/>
  </si>
  <si>
    <r>
      <t xml:space="preserve">[ 17% </t>
    </r>
    <r>
      <rPr>
        <vertAlign val="superscript"/>
        <sz val="18"/>
        <rFont val="ＭＳ ゴシック"/>
        <family val="3"/>
        <charset val="128"/>
      </rPr>
      <t xml:space="preserve"> </t>
    </r>
    <r>
      <rPr>
        <sz val="18"/>
        <rFont val="ＭＳ ゴシック"/>
        <family val="3"/>
        <charset val="128"/>
      </rPr>
      <t>]</t>
    </r>
    <phoneticPr fontId="6"/>
  </si>
  <si>
    <t>3/30(土）9時頃</t>
    <rPh sb="5" eb="6">
      <t>ド</t>
    </rPh>
    <rPh sb="8" eb="9">
      <t>ジ</t>
    </rPh>
    <rPh sb="9" eb="10">
      <t>ゴロ</t>
    </rPh>
    <phoneticPr fontId="6"/>
  </si>
  <si>
    <t>[ 17%  ]</t>
  </si>
  <si>
    <t>3/30(土）16時頃</t>
    <rPh sb="5" eb="6">
      <t>ド</t>
    </rPh>
    <rPh sb="9" eb="10">
      <t>ジ</t>
    </rPh>
    <rPh sb="10" eb="11">
      <t>ゴロ</t>
    </rPh>
    <phoneticPr fontId="6"/>
  </si>
  <si>
    <t>3/31（日）</t>
    <rPh sb="5" eb="6">
      <t>ニチ</t>
    </rPh>
    <phoneticPr fontId="6"/>
  </si>
  <si>
    <t>[ 31%  ]</t>
    <phoneticPr fontId="6"/>
  </si>
  <si>
    <t>3/31(日）9時頃</t>
    <rPh sb="5" eb="6">
      <t>ニチ</t>
    </rPh>
    <rPh sb="8" eb="9">
      <t>ジ</t>
    </rPh>
    <rPh sb="9" eb="10">
      <t>ゴロ</t>
    </rPh>
    <phoneticPr fontId="6"/>
  </si>
  <si>
    <t>[ 31%  ]</t>
  </si>
  <si>
    <t>2019年度実績</t>
    <rPh sb="4" eb="6">
      <t>ネンド</t>
    </rPh>
    <rPh sb="6" eb="8">
      <t>ジッセキ</t>
    </rPh>
    <phoneticPr fontId="7"/>
  </si>
  <si>
    <t>3/31(日）16時頃</t>
    <rPh sb="5" eb="6">
      <t>ニチ</t>
    </rPh>
    <rPh sb="9" eb="10">
      <t>ジ</t>
    </rPh>
    <rPh sb="10" eb="11">
      <t>ゴロ</t>
    </rPh>
    <phoneticPr fontId="6"/>
  </si>
  <si>
    <t>4/1（月）</t>
    <rPh sb="4" eb="5">
      <t>ゲツ</t>
    </rPh>
    <phoneticPr fontId="6"/>
  </si>
  <si>
    <t>8時00分～16時00分</t>
    <phoneticPr fontId="6"/>
  </si>
  <si>
    <t>(注6)当日見直しがあった場合は、速やかにお知らせ</t>
    <rPh sb="1" eb="2">
      <t>チュウ</t>
    </rPh>
    <rPh sb="4" eb="6">
      <t>トウジツ</t>
    </rPh>
    <rPh sb="6" eb="8">
      <t>ミナオ</t>
    </rPh>
    <rPh sb="13" eb="15">
      <t>バアイ</t>
    </rPh>
    <rPh sb="17" eb="18">
      <t>スミ</t>
    </rPh>
    <rPh sb="22" eb="23">
      <t>シ</t>
    </rPh>
    <phoneticPr fontId="7"/>
  </si>
  <si>
    <t>4/1(月）16時頃</t>
    <rPh sb="4" eb="5">
      <t>ゲツ</t>
    </rPh>
    <rPh sb="8" eb="9">
      <t>ジ</t>
    </rPh>
    <rPh sb="9" eb="10">
      <t>ゴロ</t>
    </rPh>
    <phoneticPr fontId="6"/>
  </si>
  <si>
    <t>4/2（火）</t>
    <rPh sb="4" eb="5">
      <t>カ</t>
    </rPh>
    <phoneticPr fontId="6"/>
  </si>
  <si>
    <t>4/2(火）16時頃</t>
    <rPh sb="4" eb="5">
      <t>カ</t>
    </rPh>
    <rPh sb="8" eb="9">
      <t>ジ</t>
    </rPh>
    <rPh sb="9" eb="10">
      <t>ゴロ</t>
    </rPh>
    <phoneticPr fontId="6"/>
  </si>
  <si>
    <t>4/3（水）</t>
    <rPh sb="4" eb="5">
      <t>スイ</t>
    </rPh>
    <phoneticPr fontId="6"/>
  </si>
  <si>
    <t>[ 23%  ]</t>
    <phoneticPr fontId="6"/>
  </si>
  <si>
    <t>4/1(月）実績</t>
    <rPh sb="4" eb="5">
      <t>ゲツ</t>
    </rPh>
    <rPh sb="6" eb="8">
      <t>ジッセキ</t>
    </rPh>
    <phoneticPr fontId="6"/>
  </si>
  <si>
    <t>（速報）</t>
    <rPh sb="1" eb="3">
      <t>ソクホウ</t>
    </rPh>
    <phoneticPr fontId="6"/>
  </si>
  <si>
    <t>8時00分～16時00分</t>
  </si>
  <si>
    <t>～</t>
  </si>
  <si>
    <t>4/3(水）16時頃</t>
    <rPh sb="4" eb="5">
      <t>スイ</t>
    </rPh>
    <rPh sb="8" eb="9">
      <t>ジ</t>
    </rPh>
    <rPh sb="9" eb="10">
      <t>ゴロ</t>
    </rPh>
    <phoneticPr fontId="6"/>
  </si>
  <si>
    <t>4/4（木）</t>
    <rPh sb="4" eb="5">
      <t>モク</t>
    </rPh>
    <phoneticPr fontId="6"/>
  </si>
  <si>
    <t>4/2(火）実績</t>
    <rPh sb="4" eb="5">
      <t>ヒ</t>
    </rPh>
    <rPh sb="6" eb="8">
      <t>ジッセキ</t>
    </rPh>
    <phoneticPr fontId="6"/>
  </si>
  <si>
    <t>4/2（火）</t>
    <rPh sb="4" eb="5">
      <t>ヒ</t>
    </rPh>
    <phoneticPr fontId="6"/>
  </si>
  <si>
    <t>4/3(水）実績</t>
    <rPh sb="4" eb="5">
      <t>スイ</t>
    </rPh>
    <rPh sb="6" eb="8">
      <t>ジッセキ</t>
    </rPh>
    <phoneticPr fontId="6"/>
  </si>
  <si>
    <t>4/4(木）実績</t>
    <rPh sb="4" eb="5">
      <t>モク</t>
    </rPh>
    <rPh sb="6" eb="8">
      <t>ジッセキ</t>
    </rPh>
    <phoneticPr fontId="6"/>
  </si>
  <si>
    <t>4/4（木）</t>
    <phoneticPr fontId="6"/>
  </si>
  <si>
    <t>4/5(金）16時頃</t>
    <rPh sb="4" eb="5">
      <t>キン</t>
    </rPh>
    <rPh sb="8" eb="9">
      <t>ジ</t>
    </rPh>
    <rPh sb="9" eb="10">
      <t>ゴロ</t>
    </rPh>
    <phoneticPr fontId="6"/>
  </si>
  <si>
    <t>4/6（土）</t>
    <rPh sb="4" eb="5">
      <t>ド</t>
    </rPh>
    <phoneticPr fontId="6"/>
  </si>
  <si>
    <t>4/6(土）16時頃</t>
    <rPh sb="4" eb="5">
      <t>ド</t>
    </rPh>
    <rPh sb="8" eb="9">
      <t>ジ</t>
    </rPh>
    <rPh sb="9" eb="10">
      <t>ゴロ</t>
    </rPh>
    <phoneticPr fontId="6"/>
  </si>
  <si>
    <t>4/7（日）</t>
    <rPh sb="4" eb="5">
      <t>ニチ</t>
    </rPh>
    <phoneticPr fontId="6"/>
  </si>
  <si>
    <t>4/7(日）16時頃</t>
    <rPh sb="4" eb="5">
      <t>ニチ</t>
    </rPh>
    <rPh sb="8" eb="9">
      <t>ジ</t>
    </rPh>
    <rPh sb="9" eb="10">
      <t>ゴロ</t>
    </rPh>
    <phoneticPr fontId="6"/>
  </si>
  <si>
    <t>4/8（月）</t>
    <rPh sb="4" eb="5">
      <t>ゲツ</t>
    </rPh>
    <phoneticPr fontId="6"/>
  </si>
  <si>
    <t>4/6(土）実績</t>
    <rPh sb="4" eb="5">
      <t>ド</t>
    </rPh>
    <rPh sb="6" eb="8">
      <t>ジッセキ</t>
    </rPh>
    <phoneticPr fontId="6"/>
  </si>
  <si>
    <t>4/7(日）実績</t>
    <rPh sb="4" eb="5">
      <t>ニチ</t>
    </rPh>
    <rPh sb="6" eb="8">
      <t>ジッセキ</t>
    </rPh>
    <phoneticPr fontId="6"/>
  </si>
  <si>
    <t>(注7)実績（速報）は制御量最大となる時間帯</t>
    <rPh sb="1" eb="2">
      <t>チュウ</t>
    </rPh>
    <rPh sb="4" eb="6">
      <t>ジッセキ</t>
    </rPh>
    <rPh sb="7" eb="9">
      <t>ソクホウ</t>
    </rPh>
    <rPh sb="11" eb="13">
      <t>セイギョ</t>
    </rPh>
    <rPh sb="13" eb="14">
      <t>リョウ</t>
    </rPh>
    <rPh sb="14" eb="16">
      <t>サイダイ</t>
    </rPh>
    <rPh sb="19" eb="21">
      <t>ジカン</t>
    </rPh>
    <rPh sb="21" eb="22">
      <t>オビ</t>
    </rPh>
    <phoneticPr fontId="7"/>
  </si>
  <si>
    <t>4/8(月）16時頃</t>
    <rPh sb="4" eb="5">
      <t>ゲツ</t>
    </rPh>
    <rPh sb="8" eb="9">
      <t>ジ</t>
    </rPh>
    <rPh sb="9" eb="10">
      <t>ゴロ</t>
    </rPh>
    <phoneticPr fontId="6"/>
  </si>
  <si>
    <t>4/9（火）</t>
    <rPh sb="4" eb="5">
      <t>カ</t>
    </rPh>
    <phoneticPr fontId="6"/>
  </si>
  <si>
    <t>4/8(月）実績</t>
    <rPh sb="4" eb="5">
      <t>ゲツ</t>
    </rPh>
    <rPh sb="6" eb="8">
      <t>ジッセキ</t>
    </rPh>
    <phoneticPr fontId="6"/>
  </si>
  <si>
    <t>4/9(火）実績</t>
    <rPh sb="4" eb="5">
      <t>ヒ</t>
    </rPh>
    <rPh sb="6" eb="8">
      <t>ジッセキ</t>
    </rPh>
    <phoneticPr fontId="6"/>
  </si>
  <si>
    <t>4/11(木）16時頃</t>
    <rPh sb="5" eb="6">
      <t>モク</t>
    </rPh>
    <rPh sb="9" eb="10">
      <t>ジ</t>
    </rPh>
    <rPh sb="10" eb="11">
      <t>ゴロ</t>
    </rPh>
    <phoneticPr fontId="6"/>
  </si>
  <si>
    <t>4/12（金）</t>
    <rPh sb="5" eb="6">
      <t>キン</t>
    </rPh>
    <phoneticPr fontId="6"/>
  </si>
  <si>
    <t>4/12(金）16時頃</t>
    <rPh sb="5" eb="6">
      <t>キン</t>
    </rPh>
    <rPh sb="9" eb="10">
      <t>ジ</t>
    </rPh>
    <rPh sb="10" eb="11">
      <t>ゴロ</t>
    </rPh>
    <phoneticPr fontId="6"/>
  </si>
  <si>
    <t>4/13（土）</t>
    <rPh sb="5" eb="6">
      <t>ド</t>
    </rPh>
    <phoneticPr fontId="6"/>
  </si>
  <si>
    <t>[ 12% ]</t>
    <phoneticPr fontId="6"/>
  </si>
  <si>
    <t>[ 22% ]</t>
    <phoneticPr fontId="6"/>
  </si>
  <si>
    <t>[ 13% ]</t>
    <phoneticPr fontId="6"/>
  </si>
  <si>
    <t>[ 17% ]</t>
    <phoneticPr fontId="6"/>
  </si>
  <si>
    <t>[ 18% ]</t>
    <phoneticPr fontId="6"/>
  </si>
  <si>
    <t>[ 14% ]</t>
    <phoneticPr fontId="6"/>
  </si>
  <si>
    <t>[ 16% ]</t>
    <phoneticPr fontId="6"/>
  </si>
  <si>
    <t>[ 37% ]</t>
    <phoneticPr fontId="6"/>
  </si>
  <si>
    <t>[ 30% ]</t>
    <phoneticPr fontId="6"/>
  </si>
  <si>
    <t>[ 38% ]</t>
    <phoneticPr fontId="6"/>
  </si>
  <si>
    <t>[ 27% ]</t>
    <phoneticPr fontId="6"/>
  </si>
  <si>
    <t>[ 25% ]</t>
    <phoneticPr fontId="6"/>
  </si>
  <si>
    <t>4/14（日）16時頃</t>
    <rPh sb="5" eb="6">
      <t>ニチ</t>
    </rPh>
    <rPh sb="9" eb="10">
      <t>ジ</t>
    </rPh>
    <rPh sb="10" eb="11">
      <t>ゴロ</t>
    </rPh>
    <phoneticPr fontId="6"/>
  </si>
  <si>
    <t>4/15（月）</t>
    <rPh sb="5" eb="6">
      <t>ゲツ</t>
    </rPh>
    <phoneticPr fontId="6"/>
  </si>
  <si>
    <t>[ 24% ]</t>
    <phoneticPr fontId="6"/>
  </si>
  <si>
    <t>4/12(金）実績</t>
    <rPh sb="5" eb="6">
      <t>キン</t>
    </rPh>
    <rPh sb="7" eb="9">
      <t>ジッセキ</t>
    </rPh>
    <phoneticPr fontId="6"/>
  </si>
  <si>
    <t>4/13(土）実績</t>
    <rPh sb="5" eb="6">
      <t>ド</t>
    </rPh>
    <rPh sb="7" eb="9">
      <t>ジッセキ</t>
    </rPh>
    <phoneticPr fontId="6"/>
  </si>
  <si>
    <t>（速報）</t>
    <phoneticPr fontId="6"/>
  </si>
  <si>
    <t>4/15（月）16時頃</t>
    <rPh sb="5" eb="6">
      <t>ゲツ</t>
    </rPh>
    <rPh sb="9" eb="10">
      <t>ジ</t>
    </rPh>
    <rPh sb="10" eb="11">
      <t>ゴロ</t>
    </rPh>
    <phoneticPr fontId="6"/>
  </si>
  <si>
    <t>4/16（火）</t>
    <rPh sb="5" eb="6">
      <t>カ</t>
    </rPh>
    <phoneticPr fontId="6"/>
  </si>
  <si>
    <t>[ 12% ]</t>
  </si>
  <si>
    <t>4/15（月）実績</t>
    <rPh sb="5" eb="6">
      <t>ゲツ</t>
    </rPh>
    <rPh sb="7" eb="9">
      <t>ジッセキ</t>
    </rPh>
    <phoneticPr fontId="6"/>
  </si>
  <si>
    <t>4/16（火）実績</t>
    <rPh sb="5" eb="6">
      <t>ヒ</t>
    </rPh>
    <rPh sb="7" eb="9">
      <t>ジッセキ</t>
    </rPh>
    <phoneticPr fontId="6"/>
  </si>
  <si>
    <t>[ 6% ]</t>
    <phoneticPr fontId="6"/>
  </si>
  <si>
    <t>4/17(水）16時頃</t>
    <rPh sb="5" eb="6">
      <t>スイ</t>
    </rPh>
    <rPh sb="9" eb="10">
      <t>ジ</t>
    </rPh>
    <rPh sb="10" eb="11">
      <t>ゴロ</t>
    </rPh>
    <phoneticPr fontId="6"/>
  </si>
  <si>
    <t>4/18（木）</t>
    <rPh sb="5" eb="6">
      <t>モク</t>
    </rPh>
    <phoneticPr fontId="6"/>
  </si>
  <si>
    <t>[ 20% ]</t>
    <phoneticPr fontId="6"/>
  </si>
  <si>
    <t>4/18(木）16時頃</t>
    <rPh sb="5" eb="6">
      <t>モク</t>
    </rPh>
    <rPh sb="9" eb="10">
      <t>ジ</t>
    </rPh>
    <rPh sb="10" eb="11">
      <t>ゴロ</t>
    </rPh>
    <phoneticPr fontId="6"/>
  </si>
  <si>
    <t>4/19（金）</t>
    <rPh sb="5" eb="6">
      <t>キン</t>
    </rPh>
    <phoneticPr fontId="6"/>
  </si>
  <si>
    <t>[ 22% ]</t>
  </si>
  <si>
    <t>4/18（木）実績</t>
    <rPh sb="5" eb="6">
      <t>モク</t>
    </rPh>
    <rPh sb="7" eb="9">
      <t>ジッセキ</t>
    </rPh>
    <phoneticPr fontId="6"/>
  </si>
  <si>
    <t>[ 15% ]</t>
    <phoneticPr fontId="6"/>
  </si>
  <si>
    <t>4/19(金）16時頃</t>
    <rPh sb="5" eb="6">
      <t>キン</t>
    </rPh>
    <rPh sb="9" eb="10">
      <t>ジ</t>
    </rPh>
    <rPh sb="10" eb="11">
      <t>ゴロ</t>
    </rPh>
    <phoneticPr fontId="6"/>
  </si>
  <si>
    <t>4/20（土）</t>
    <rPh sb="5" eb="6">
      <t>ド</t>
    </rPh>
    <phoneticPr fontId="6"/>
  </si>
  <si>
    <t>4/20(土）16時頃</t>
    <rPh sb="5" eb="6">
      <t>ド</t>
    </rPh>
    <rPh sb="9" eb="10">
      <t>ジ</t>
    </rPh>
    <rPh sb="10" eb="11">
      <t>ゴロ</t>
    </rPh>
    <phoneticPr fontId="6"/>
  </si>
  <si>
    <t>4/21（日）</t>
    <rPh sb="5" eb="6">
      <t>ニチ</t>
    </rPh>
    <phoneticPr fontId="6"/>
  </si>
  <si>
    <t>4/21(日）16時頃</t>
    <rPh sb="5" eb="6">
      <t>ニチ</t>
    </rPh>
    <rPh sb="9" eb="10">
      <t>ジ</t>
    </rPh>
    <rPh sb="10" eb="11">
      <t>ゴロ</t>
    </rPh>
    <phoneticPr fontId="6"/>
  </si>
  <si>
    <t>4/22（月）</t>
    <rPh sb="5" eb="6">
      <t>ゲツ</t>
    </rPh>
    <phoneticPr fontId="6"/>
  </si>
  <si>
    <t>4/19(金）実績</t>
    <rPh sb="5" eb="6">
      <t>キン</t>
    </rPh>
    <rPh sb="7" eb="9">
      <t>ジッセキ</t>
    </rPh>
    <phoneticPr fontId="6"/>
  </si>
  <si>
    <t>[ 35% ]</t>
  </si>
  <si>
    <t>4/20(土）実績</t>
    <rPh sb="5" eb="6">
      <t>ド</t>
    </rPh>
    <rPh sb="7" eb="9">
      <t>ジッセキ</t>
    </rPh>
    <phoneticPr fontId="6"/>
  </si>
  <si>
    <t>4/21(日）実績</t>
    <rPh sb="5" eb="6">
      <t>ニチ</t>
    </rPh>
    <rPh sb="7" eb="9">
      <t>ジッセキ</t>
    </rPh>
    <phoneticPr fontId="6"/>
  </si>
  <si>
    <t>[ 29% ]</t>
    <phoneticPr fontId="6"/>
  </si>
  <si>
    <t>4/22（月）実績</t>
    <rPh sb="5" eb="6">
      <t>ゲツ</t>
    </rPh>
    <rPh sb="7" eb="9">
      <t>ジッセキ</t>
    </rPh>
    <phoneticPr fontId="6"/>
  </si>
  <si>
    <t>[ 28% ]</t>
    <phoneticPr fontId="6"/>
  </si>
  <si>
    <t>4/25(木）16時頃</t>
    <rPh sb="5" eb="6">
      <t>モク</t>
    </rPh>
    <rPh sb="9" eb="10">
      <t>ジ</t>
    </rPh>
    <rPh sb="10" eb="11">
      <t>ゴロ</t>
    </rPh>
    <phoneticPr fontId="6"/>
  </si>
  <si>
    <t>[ 5% ]</t>
    <phoneticPr fontId="6"/>
  </si>
  <si>
    <t>4/26（金）</t>
    <rPh sb="5" eb="6">
      <t>キン</t>
    </rPh>
    <phoneticPr fontId="6"/>
  </si>
  <si>
    <t>4/26(金）16時頃</t>
    <rPh sb="5" eb="6">
      <t>キン</t>
    </rPh>
    <rPh sb="9" eb="10">
      <t>ジ</t>
    </rPh>
    <rPh sb="10" eb="11">
      <t>ゴロ</t>
    </rPh>
    <phoneticPr fontId="6"/>
  </si>
  <si>
    <t>4/27（土）</t>
    <rPh sb="5" eb="6">
      <t>ド</t>
    </rPh>
    <phoneticPr fontId="6"/>
  </si>
  <si>
    <t xml:space="preserve">  (参考) 3月末設備量　904万kW（太陽光：853万kW、風力：51万kW）</t>
    <rPh sb="3" eb="5">
      <t>サンコウ</t>
    </rPh>
    <rPh sb="8" eb="10">
      <t>ガツマツ</t>
    </rPh>
    <rPh sb="10" eb="12">
      <t>セツビ</t>
    </rPh>
    <rPh sb="12" eb="13">
      <t>リョウ</t>
    </rPh>
    <rPh sb="17" eb="18">
      <t>マン</t>
    </rPh>
    <rPh sb="21" eb="24">
      <t>タイヨウコウ</t>
    </rPh>
    <rPh sb="28" eb="29">
      <t>マン</t>
    </rPh>
    <rPh sb="32" eb="34">
      <t>フウリョク</t>
    </rPh>
    <rPh sb="37" eb="38">
      <t>マン</t>
    </rPh>
    <phoneticPr fontId="6"/>
  </si>
  <si>
    <t>4/27(土）16時頃</t>
    <rPh sb="5" eb="6">
      <t>ド</t>
    </rPh>
    <rPh sb="9" eb="10">
      <t>ジ</t>
    </rPh>
    <rPh sb="10" eb="11">
      <t>ゴロ</t>
    </rPh>
    <phoneticPr fontId="6"/>
  </si>
  <si>
    <t>4/28（日）</t>
    <rPh sb="5" eb="6">
      <t>ニチ</t>
    </rPh>
    <phoneticPr fontId="6"/>
  </si>
  <si>
    <t>5/1(水）16時頃</t>
    <rPh sb="4" eb="5">
      <t>スイ</t>
    </rPh>
    <rPh sb="8" eb="9">
      <t>ジ</t>
    </rPh>
    <rPh sb="9" eb="10">
      <t>ゴロ</t>
    </rPh>
    <phoneticPr fontId="6"/>
  </si>
  <si>
    <t>5/2（木）</t>
    <rPh sb="4" eb="5">
      <t>モク</t>
    </rPh>
    <phoneticPr fontId="6"/>
  </si>
  <si>
    <t>5/2(木）16時頃</t>
    <rPh sb="4" eb="5">
      <t>モク</t>
    </rPh>
    <rPh sb="8" eb="9">
      <t>ジ</t>
    </rPh>
    <rPh sb="9" eb="10">
      <t>ゴロ</t>
    </rPh>
    <phoneticPr fontId="6"/>
  </si>
  <si>
    <t>5/3（金）</t>
    <rPh sb="4" eb="5">
      <t>キン</t>
    </rPh>
    <phoneticPr fontId="6"/>
  </si>
  <si>
    <t>5/3(金）16時頃</t>
    <rPh sb="4" eb="5">
      <t>キン</t>
    </rPh>
    <rPh sb="8" eb="9">
      <t>ジ</t>
    </rPh>
    <rPh sb="9" eb="10">
      <t>ゴロ</t>
    </rPh>
    <phoneticPr fontId="6"/>
  </si>
  <si>
    <t>5/4（土）</t>
    <rPh sb="4" eb="5">
      <t>ド</t>
    </rPh>
    <phoneticPr fontId="6"/>
  </si>
  <si>
    <t>5/4(土）16時頃</t>
    <rPh sb="4" eb="5">
      <t>ド</t>
    </rPh>
    <rPh sb="8" eb="9">
      <t>ジ</t>
    </rPh>
    <rPh sb="9" eb="10">
      <t>ゴロ</t>
    </rPh>
    <phoneticPr fontId="6"/>
  </si>
  <si>
    <t>5/5（日）</t>
    <rPh sb="4" eb="5">
      <t>ニチ</t>
    </rPh>
    <phoneticPr fontId="6"/>
  </si>
  <si>
    <t>5/5(日）16時頃</t>
    <rPh sb="4" eb="5">
      <t>ニチ</t>
    </rPh>
    <rPh sb="8" eb="9">
      <t>ジ</t>
    </rPh>
    <rPh sb="9" eb="10">
      <t>ゴロ</t>
    </rPh>
    <phoneticPr fontId="6"/>
  </si>
  <si>
    <t>5/6（月）</t>
    <rPh sb="4" eb="5">
      <t>ゲツ</t>
    </rPh>
    <phoneticPr fontId="6"/>
  </si>
  <si>
    <t>5/6(月）16時頃</t>
    <rPh sb="4" eb="5">
      <t>ゲツ</t>
    </rPh>
    <rPh sb="8" eb="9">
      <t>ジ</t>
    </rPh>
    <rPh sb="9" eb="10">
      <t>ゴロ</t>
    </rPh>
    <phoneticPr fontId="6"/>
  </si>
  <si>
    <t>5/7（火）</t>
    <rPh sb="4" eb="5">
      <t>カ</t>
    </rPh>
    <phoneticPr fontId="6"/>
  </si>
  <si>
    <t>[ 33% ]</t>
  </si>
  <si>
    <t>[ 29% ]</t>
  </si>
  <si>
    <t>[ 28% ]</t>
  </si>
  <si>
    <t>[ 17% ]</t>
  </si>
  <si>
    <t>[ 30% ]</t>
  </si>
  <si>
    <t>[ 32% ]</t>
  </si>
  <si>
    <t>[ 27% ]</t>
  </si>
  <si>
    <t>4/26（金）実績</t>
    <rPh sb="5" eb="6">
      <t>キン</t>
    </rPh>
    <rPh sb="7" eb="9">
      <t>ジッセキ</t>
    </rPh>
    <phoneticPr fontId="6"/>
  </si>
  <si>
    <t>[ 0% ]</t>
    <phoneticPr fontId="6"/>
  </si>
  <si>
    <t>4/27（土）実績</t>
    <rPh sb="5" eb="6">
      <t>ド</t>
    </rPh>
    <rPh sb="7" eb="9">
      <t>ジッセキ</t>
    </rPh>
    <phoneticPr fontId="6"/>
  </si>
  <si>
    <t>4/28（日）実績</t>
    <rPh sb="5" eb="6">
      <t>ヒ</t>
    </rPh>
    <rPh sb="7" eb="9">
      <t>ジッセキ</t>
    </rPh>
    <phoneticPr fontId="6"/>
  </si>
  <si>
    <t>5/2（木）実績</t>
    <rPh sb="4" eb="5">
      <t>モク</t>
    </rPh>
    <rPh sb="6" eb="8">
      <t>ジッセキ</t>
    </rPh>
    <phoneticPr fontId="6"/>
  </si>
  <si>
    <t>5/3（金）実績</t>
    <rPh sb="4" eb="5">
      <t>キン</t>
    </rPh>
    <rPh sb="6" eb="8">
      <t>ジッセキ</t>
    </rPh>
    <phoneticPr fontId="6"/>
  </si>
  <si>
    <t>5/4（土）実績</t>
    <rPh sb="4" eb="5">
      <t>ド</t>
    </rPh>
    <rPh sb="6" eb="8">
      <t>ジッセキ</t>
    </rPh>
    <phoneticPr fontId="6"/>
  </si>
  <si>
    <t>5/5（日）実績</t>
    <rPh sb="4" eb="5">
      <t>ヒ</t>
    </rPh>
    <rPh sb="6" eb="8">
      <t>ジッセキ</t>
    </rPh>
    <phoneticPr fontId="6"/>
  </si>
  <si>
    <t>5/6（月）実績</t>
    <rPh sb="4" eb="5">
      <t>ゲツ</t>
    </rPh>
    <rPh sb="6" eb="8">
      <t>ジッセキ</t>
    </rPh>
    <phoneticPr fontId="6"/>
  </si>
  <si>
    <t>[ 9% ]</t>
    <phoneticPr fontId="6"/>
  </si>
  <si>
    <t>5/7(火）16時頃</t>
    <rPh sb="4" eb="5">
      <t>カ</t>
    </rPh>
    <rPh sb="8" eb="9">
      <t>ジ</t>
    </rPh>
    <rPh sb="9" eb="10">
      <t>ゴロ</t>
    </rPh>
    <phoneticPr fontId="6"/>
  </si>
  <si>
    <t>5/8（水）</t>
    <rPh sb="4" eb="5">
      <t>スイ</t>
    </rPh>
    <phoneticPr fontId="6"/>
  </si>
  <si>
    <t>[ 10% ]</t>
  </si>
  <si>
    <t>5/7（火）実績</t>
    <rPh sb="4" eb="5">
      <t>ヒ</t>
    </rPh>
    <rPh sb="6" eb="8">
      <t>ジッセキ</t>
    </rPh>
    <phoneticPr fontId="6"/>
  </si>
  <si>
    <t>5/8（水）実績</t>
    <rPh sb="4" eb="5">
      <t>スイ</t>
    </rPh>
    <rPh sb="6" eb="8">
      <t>ジッセキ</t>
    </rPh>
    <phoneticPr fontId="6"/>
  </si>
  <si>
    <t>[ 8% ]</t>
    <phoneticPr fontId="6"/>
  </si>
  <si>
    <t>5/9(木）16時頃</t>
    <rPh sb="4" eb="5">
      <t>モク</t>
    </rPh>
    <rPh sb="8" eb="9">
      <t>ジ</t>
    </rPh>
    <rPh sb="9" eb="10">
      <t>ゴロ</t>
    </rPh>
    <phoneticPr fontId="6"/>
  </si>
  <si>
    <t>5/10（金）</t>
    <rPh sb="5" eb="6">
      <t>キン</t>
    </rPh>
    <phoneticPr fontId="6"/>
  </si>
  <si>
    <t>5/10(金）16時頃</t>
    <rPh sb="5" eb="6">
      <t>キン</t>
    </rPh>
    <rPh sb="9" eb="10">
      <t>ジ</t>
    </rPh>
    <rPh sb="10" eb="11">
      <t>ゴロ</t>
    </rPh>
    <phoneticPr fontId="6"/>
  </si>
  <si>
    <t>5/11（土）</t>
    <rPh sb="5" eb="6">
      <t>ド</t>
    </rPh>
    <phoneticPr fontId="6"/>
  </si>
  <si>
    <t>5/11(土）16時頃</t>
    <rPh sb="5" eb="6">
      <t>ド</t>
    </rPh>
    <rPh sb="9" eb="10">
      <t>ジ</t>
    </rPh>
    <rPh sb="10" eb="11">
      <t>ゴロ</t>
    </rPh>
    <phoneticPr fontId="6"/>
  </si>
  <si>
    <t>5/12（日）</t>
    <rPh sb="5" eb="6">
      <t>ニチ</t>
    </rPh>
    <phoneticPr fontId="6"/>
  </si>
  <si>
    <t>[ 31% ]</t>
  </si>
  <si>
    <t>5/10（金）実績</t>
    <rPh sb="5" eb="6">
      <t>キン</t>
    </rPh>
    <rPh sb="7" eb="9">
      <t>ジッセキ</t>
    </rPh>
    <phoneticPr fontId="6"/>
  </si>
  <si>
    <t>5/11（土）実績</t>
    <rPh sb="5" eb="6">
      <t>ド</t>
    </rPh>
    <rPh sb="7" eb="9">
      <t>ジッセキ</t>
    </rPh>
    <phoneticPr fontId="6"/>
  </si>
  <si>
    <t>5/12（日）実績</t>
    <rPh sb="5" eb="6">
      <t>ヒ</t>
    </rPh>
    <rPh sb="7" eb="9">
      <t>ジッセキ</t>
    </rPh>
    <phoneticPr fontId="6"/>
  </si>
  <si>
    <t>[ 26% ]</t>
    <phoneticPr fontId="6"/>
  </si>
  <si>
    <t xml:space="preserve">   予想需給状況</t>
    <rPh sb="3" eb="5">
      <t>ヨソウ</t>
    </rPh>
    <rPh sb="5" eb="7">
      <t>ジュキュウ</t>
    </rPh>
    <rPh sb="7" eb="9">
      <t>ジョウキョウ</t>
    </rPh>
    <phoneticPr fontId="6"/>
  </si>
  <si>
    <t>(注6)</t>
    <phoneticPr fontId="6"/>
  </si>
  <si>
    <t>【特記事項】</t>
    <rPh sb="1" eb="3">
      <t>トッキ</t>
    </rPh>
    <rPh sb="3" eb="5">
      <t>ジコウ</t>
    </rPh>
    <phoneticPr fontId="6"/>
  </si>
  <si>
    <t>※ オフライン制御で確保する制御量</t>
    <rPh sb="7" eb="9">
      <t>セイギョ</t>
    </rPh>
    <rPh sb="10" eb="12">
      <t>カクホ</t>
    </rPh>
    <rPh sb="14" eb="16">
      <t>セイギョ</t>
    </rPh>
    <rPh sb="16" eb="17">
      <t>リョウ</t>
    </rPh>
    <phoneticPr fontId="12"/>
  </si>
  <si>
    <t>　・再エネ出力制御量のうちオフライン制御量を超えるものは、</t>
    <rPh sb="18" eb="20">
      <t>セイギョ</t>
    </rPh>
    <rPh sb="20" eb="21">
      <t>リョウ</t>
    </rPh>
    <rPh sb="22" eb="23">
      <t>コ</t>
    </rPh>
    <phoneticPr fontId="6"/>
  </si>
  <si>
    <t>　　需給状況を踏まえ、オンライン制御で対応</t>
    <rPh sb="2" eb="4">
      <t>ジュキュウ</t>
    </rPh>
    <rPh sb="4" eb="6">
      <t>ジョウキョウ</t>
    </rPh>
    <rPh sb="7" eb="8">
      <t>フ</t>
    </rPh>
    <phoneticPr fontId="6"/>
  </si>
  <si>
    <t>(注6)最大誤差相当を考慮した予想需給状況【当日見直す場合は、10時に公表】</t>
    <rPh sb="1" eb="2">
      <t>チュウ</t>
    </rPh>
    <rPh sb="4" eb="6">
      <t>サイダイ</t>
    </rPh>
    <rPh sb="6" eb="8">
      <t>ゴサ</t>
    </rPh>
    <rPh sb="8" eb="10">
      <t>ソウトウ</t>
    </rPh>
    <rPh sb="11" eb="13">
      <t>コウリョ</t>
    </rPh>
    <rPh sb="15" eb="17">
      <t>ヨソウ</t>
    </rPh>
    <rPh sb="17" eb="19">
      <t>ジュキュウ</t>
    </rPh>
    <rPh sb="19" eb="21">
      <t>ジョウキョウ</t>
    </rPh>
    <rPh sb="22" eb="24">
      <t>トウジツ</t>
    </rPh>
    <rPh sb="24" eb="26">
      <t>ミナオ</t>
    </rPh>
    <rPh sb="27" eb="29">
      <t>バアイ</t>
    </rPh>
    <rPh sb="33" eb="34">
      <t>ジ</t>
    </rPh>
    <rPh sb="35" eb="37">
      <t>コウヒョウ</t>
    </rPh>
    <phoneticPr fontId="7"/>
  </si>
  <si>
    <t>[万kW]</t>
    <phoneticPr fontId="6"/>
  </si>
  <si>
    <t xml:space="preserve">  (参考) 8月末設備量　939万kW（太陽光：882万kW、風力：57万kW）</t>
    <rPh sb="3" eb="5">
      <t>サンコウ</t>
    </rPh>
    <rPh sb="8" eb="10">
      <t>ガツマツ</t>
    </rPh>
    <rPh sb="10" eb="12">
      <t>セツビ</t>
    </rPh>
    <rPh sb="12" eb="13">
      <t>リョウ</t>
    </rPh>
    <rPh sb="17" eb="18">
      <t>マン</t>
    </rPh>
    <rPh sb="21" eb="24">
      <t>タイヨウコウ</t>
    </rPh>
    <rPh sb="28" eb="29">
      <t>マン</t>
    </rPh>
    <rPh sb="32" eb="34">
      <t>フウリョク</t>
    </rPh>
    <rPh sb="37" eb="38">
      <t>マン</t>
    </rPh>
    <phoneticPr fontId="6"/>
  </si>
  <si>
    <t>10/12（土）16時頃</t>
    <rPh sb="6" eb="7">
      <t>ド</t>
    </rPh>
    <rPh sb="10" eb="11">
      <t>ジ</t>
    </rPh>
    <rPh sb="11" eb="12">
      <t>ゴロ</t>
    </rPh>
    <phoneticPr fontId="6"/>
  </si>
  <si>
    <t>10/13（日）16時頃</t>
    <rPh sb="6" eb="7">
      <t>ニチ</t>
    </rPh>
    <rPh sb="10" eb="11">
      <t>ジ</t>
    </rPh>
    <rPh sb="11" eb="12">
      <t>ゴロ</t>
    </rPh>
    <phoneticPr fontId="6"/>
  </si>
  <si>
    <t>10/13（日）実績</t>
    <rPh sb="6" eb="7">
      <t>ニチ</t>
    </rPh>
    <rPh sb="8" eb="10">
      <t>ジッセキ</t>
    </rPh>
    <phoneticPr fontId="6"/>
  </si>
  <si>
    <t>10/14（月）実績</t>
    <rPh sb="6" eb="7">
      <t>ゲツ</t>
    </rPh>
    <rPh sb="8" eb="10">
      <t>ジッセキ</t>
    </rPh>
    <phoneticPr fontId="6"/>
  </si>
  <si>
    <t>[6%]</t>
    <phoneticPr fontId="6"/>
  </si>
  <si>
    <t>[2%]</t>
    <phoneticPr fontId="6"/>
  </si>
  <si>
    <t>10/26（土）16時頃</t>
    <rPh sb="6" eb="7">
      <t>ド</t>
    </rPh>
    <rPh sb="10" eb="11">
      <t>ジ</t>
    </rPh>
    <rPh sb="11" eb="12">
      <t>ゴロ</t>
    </rPh>
    <phoneticPr fontId="6"/>
  </si>
  <si>
    <t>10/27（日）16時頃</t>
    <rPh sb="6" eb="7">
      <t>ニチ</t>
    </rPh>
    <rPh sb="10" eb="11">
      <t>ジ</t>
    </rPh>
    <rPh sb="11" eb="12">
      <t>ゴロ</t>
    </rPh>
    <phoneticPr fontId="6"/>
  </si>
  <si>
    <t>10/27（日）実績</t>
    <rPh sb="6" eb="7">
      <t>ニチ</t>
    </rPh>
    <rPh sb="8" eb="10">
      <t>ジッセキ</t>
    </rPh>
    <phoneticPr fontId="6"/>
  </si>
  <si>
    <t>出力制御なし</t>
    <rPh sb="0" eb="2">
      <t>シュツリョク</t>
    </rPh>
    <rPh sb="2" eb="4">
      <t>セイギョ</t>
    </rPh>
    <phoneticPr fontId="6"/>
  </si>
  <si>
    <t>　・実績（速報）は制御量最大となる時間帯（出力制御がない場合は前日指示時間帯）</t>
    <rPh sb="21" eb="23">
      <t>シュツリョク</t>
    </rPh>
    <rPh sb="23" eb="25">
      <t>セイギョ</t>
    </rPh>
    <rPh sb="28" eb="30">
      <t>バアイ</t>
    </rPh>
    <rPh sb="31" eb="33">
      <t>ゼンジツ</t>
    </rPh>
    <rPh sb="33" eb="35">
      <t>シジ</t>
    </rPh>
    <rPh sb="35" eb="37">
      <t>ジカン</t>
    </rPh>
    <rPh sb="37" eb="38">
      <t>オビ</t>
    </rPh>
    <phoneticPr fontId="6"/>
  </si>
  <si>
    <t>10/28（月）実績</t>
    <rPh sb="6" eb="7">
      <t>ゲツ</t>
    </rPh>
    <rPh sb="8" eb="10">
      <t>ジッセキ</t>
    </rPh>
    <phoneticPr fontId="6"/>
  </si>
  <si>
    <t>10/29（火）16時頃</t>
    <rPh sb="6" eb="7">
      <t>カ</t>
    </rPh>
    <rPh sb="10" eb="11">
      <t>ジ</t>
    </rPh>
    <rPh sb="11" eb="12">
      <t>ゴロ</t>
    </rPh>
    <phoneticPr fontId="6"/>
  </si>
  <si>
    <t xml:space="preserve">  (参考) 9月末設備量　943万kW（太陽光：886万kW、風力：57万kW）</t>
    <rPh sb="3" eb="5">
      <t>サンコウ</t>
    </rPh>
    <rPh sb="8" eb="10">
      <t>ガツマツ</t>
    </rPh>
    <rPh sb="10" eb="12">
      <t>セツビ</t>
    </rPh>
    <rPh sb="12" eb="13">
      <t>リョウ</t>
    </rPh>
    <rPh sb="17" eb="18">
      <t>マン</t>
    </rPh>
    <rPh sb="21" eb="24">
      <t>タイヨウコウ</t>
    </rPh>
    <rPh sb="28" eb="29">
      <t>マン</t>
    </rPh>
    <rPh sb="32" eb="34">
      <t>フウリョク</t>
    </rPh>
    <rPh sb="37" eb="38">
      <t>マン</t>
    </rPh>
    <phoneticPr fontId="6"/>
  </si>
  <si>
    <t>10/30（水）16時頃</t>
    <rPh sb="6" eb="7">
      <t>スイ</t>
    </rPh>
    <rPh sb="7" eb="8">
      <t>スイ</t>
    </rPh>
    <rPh sb="10" eb="11">
      <t>ジ</t>
    </rPh>
    <rPh sb="11" eb="12">
      <t>ゴロ</t>
    </rPh>
    <phoneticPr fontId="6"/>
  </si>
  <si>
    <r>
      <t>エリア需要</t>
    </r>
    <r>
      <rPr>
        <vertAlign val="superscript"/>
        <sz val="18"/>
        <rFont val="ＭＳ ゴシック"/>
        <family val="3"/>
        <charset val="128"/>
      </rPr>
      <t>(注2)</t>
    </r>
  </si>
  <si>
    <t>10/30（水）実績</t>
    <rPh sb="6" eb="7">
      <t>スイ</t>
    </rPh>
    <rPh sb="7" eb="8">
      <t>スイ</t>
    </rPh>
    <rPh sb="8" eb="10">
      <t>ジッセキ</t>
    </rPh>
    <phoneticPr fontId="6"/>
  </si>
  <si>
    <t>10/31（木）16時頃</t>
    <rPh sb="6" eb="7">
      <t>モク</t>
    </rPh>
    <rPh sb="7" eb="8">
      <t>スイ</t>
    </rPh>
    <rPh sb="10" eb="11">
      <t>ジ</t>
    </rPh>
    <rPh sb="11" eb="12">
      <t>ゴロ</t>
    </rPh>
    <phoneticPr fontId="6"/>
  </si>
  <si>
    <t>10/31（木）実績</t>
    <rPh sb="6" eb="7">
      <t>モク</t>
    </rPh>
    <rPh sb="7" eb="8">
      <t>スイ</t>
    </rPh>
    <rPh sb="8" eb="10">
      <t>ジッセキ</t>
    </rPh>
    <phoneticPr fontId="6"/>
  </si>
  <si>
    <t>11/1（金）16時頃</t>
    <rPh sb="5" eb="6">
      <t>キン</t>
    </rPh>
    <rPh sb="6" eb="7">
      <t>スイ</t>
    </rPh>
    <rPh sb="9" eb="10">
      <t>ジ</t>
    </rPh>
    <rPh sb="10" eb="11">
      <t>ゴロ</t>
    </rPh>
    <phoneticPr fontId="6"/>
  </si>
  <si>
    <t>11/3（日）16時頃</t>
    <rPh sb="5" eb="6">
      <t>ニチ</t>
    </rPh>
    <rPh sb="6" eb="7">
      <t>スイ</t>
    </rPh>
    <rPh sb="9" eb="10">
      <t>ジ</t>
    </rPh>
    <rPh sb="10" eb="11">
      <t>ゴロ</t>
    </rPh>
    <phoneticPr fontId="6"/>
  </si>
  <si>
    <t>11/4（月）16時頃</t>
    <rPh sb="5" eb="6">
      <t>ツキ</t>
    </rPh>
    <rPh sb="6" eb="7">
      <t>スイ</t>
    </rPh>
    <rPh sb="9" eb="10">
      <t>ジ</t>
    </rPh>
    <rPh sb="10" eb="11">
      <t>ゴロ</t>
    </rPh>
    <phoneticPr fontId="6"/>
  </si>
  <si>
    <t>11/1（金）実績</t>
    <rPh sb="5" eb="6">
      <t>キン</t>
    </rPh>
    <rPh sb="6" eb="7">
      <t>スイ</t>
    </rPh>
    <rPh sb="7" eb="9">
      <t>ジッセキ</t>
    </rPh>
    <phoneticPr fontId="6"/>
  </si>
  <si>
    <t>11/2（土）実績</t>
    <rPh sb="5" eb="6">
      <t>ド</t>
    </rPh>
    <rPh sb="7" eb="9">
      <t>ジッセキ</t>
    </rPh>
    <phoneticPr fontId="6"/>
  </si>
  <si>
    <t>11/4（月）実績</t>
    <rPh sb="5" eb="6">
      <t>ゲツ</t>
    </rPh>
    <rPh sb="6" eb="7">
      <t>スイ</t>
    </rPh>
    <rPh sb="7" eb="9">
      <t>ジッセキ</t>
    </rPh>
    <phoneticPr fontId="6"/>
  </si>
  <si>
    <t>[ 11% ]</t>
    <phoneticPr fontId="6"/>
  </si>
  <si>
    <t>11/5（火）16時頃</t>
    <rPh sb="5" eb="6">
      <t>カ</t>
    </rPh>
    <rPh sb="6" eb="7">
      <t>スイ</t>
    </rPh>
    <rPh sb="9" eb="10">
      <t>ジ</t>
    </rPh>
    <rPh sb="10" eb="11">
      <t>ゴロ</t>
    </rPh>
    <phoneticPr fontId="6"/>
  </si>
  <si>
    <t>11/5（火)実績</t>
    <rPh sb="5" eb="6">
      <t>カ</t>
    </rPh>
    <rPh sb="7" eb="9">
      <t>ジッセキ</t>
    </rPh>
    <phoneticPr fontId="6"/>
  </si>
  <si>
    <t>11/6（水）実績</t>
    <rPh sb="5" eb="6">
      <t>スイ</t>
    </rPh>
    <rPh sb="6" eb="7">
      <t>スイ</t>
    </rPh>
    <rPh sb="7" eb="9">
      <t>ジッセキ</t>
    </rPh>
    <phoneticPr fontId="6"/>
  </si>
  <si>
    <t>11/6(水)</t>
    <rPh sb="5" eb="6">
      <t>スイ</t>
    </rPh>
    <phoneticPr fontId="6"/>
  </si>
  <si>
    <t>11/8（金）16時頃</t>
    <rPh sb="5" eb="6">
      <t>キン</t>
    </rPh>
    <rPh sb="6" eb="7">
      <t>スイ</t>
    </rPh>
    <rPh sb="9" eb="10">
      <t>ジ</t>
    </rPh>
    <rPh sb="10" eb="11">
      <t>ゴロ</t>
    </rPh>
    <phoneticPr fontId="6"/>
  </si>
  <si>
    <t>11/9（土）16時頃</t>
    <rPh sb="5" eb="6">
      <t>ド</t>
    </rPh>
    <rPh sb="6" eb="7">
      <t>スイ</t>
    </rPh>
    <rPh sb="9" eb="10">
      <t>ジ</t>
    </rPh>
    <rPh sb="10" eb="11">
      <t>ゴロ</t>
    </rPh>
    <phoneticPr fontId="6"/>
  </si>
  <si>
    <t>11/11（月）16時頃</t>
    <rPh sb="6" eb="7">
      <t>ゲツ</t>
    </rPh>
    <rPh sb="7" eb="8">
      <t>スイ</t>
    </rPh>
    <rPh sb="10" eb="11">
      <t>ジ</t>
    </rPh>
    <rPh sb="11" eb="12">
      <t>ゴロ</t>
    </rPh>
    <phoneticPr fontId="6"/>
  </si>
  <si>
    <t>11/9（土）実績</t>
    <rPh sb="5" eb="6">
      <t>ド</t>
    </rPh>
    <rPh sb="6" eb="7">
      <t>スイ</t>
    </rPh>
    <rPh sb="7" eb="9">
      <t>ジッセキ</t>
    </rPh>
    <phoneticPr fontId="6"/>
  </si>
  <si>
    <t>[7%]</t>
    <phoneticPr fontId="6"/>
  </si>
  <si>
    <t>11/10（日）実績</t>
    <rPh sb="6" eb="7">
      <t>ヒ</t>
    </rPh>
    <rPh sb="7" eb="8">
      <t>スイ</t>
    </rPh>
    <rPh sb="8" eb="10">
      <t>ジッセキ</t>
    </rPh>
    <phoneticPr fontId="6"/>
  </si>
  <si>
    <t>[10%]</t>
    <phoneticPr fontId="6"/>
  </si>
  <si>
    <t>11/12（火）実績</t>
    <rPh sb="6" eb="7">
      <t>ヒ</t>
    </rPh>
    <rPh sb="7" eb="8">
      <t>スイ</t>
    </rPh>
    <rPh sb="8" eb="10">
      <t>ジッセキ</t>
    </rPh>
    <phoneticPr fontId="6"/>
  </si>
  <si>
    <t>[8%]</t>
    <phoneticPr fontId="6"/>
  </si>
  <si>
    <t>11/14（木）16時頃</t>
    <rPh sb="6" eb="7">
      <t>モク</t>
    </rPh>
    <rPh sb="7" eb="8">
      <t>スイ</t>
    </rPh>
    <rPh sb="10" eb="11">
      <t>ジ</t>
    </rPh>
    <rPh sb="11" eb="12">
      <t>ゴロ</t>
    </rPh>
    <phoneticPr fontId="6"/>
  </si>
  <si>
    <t>11/15（金）16時頃</t>
    <rPh sb="6" eb="7">
      <t>キン</t>
    </rPh>
    <rPh sb="7" eb="8">
      <t>スイ</t>
    </rPh>
    <rPh sb="10" eb="11">
      <t>ジ</t>
    </rPh>
    <rPh sb="11" eb="12">
      <t>ゴロ</t>
    </rPh>
    <phoneticPr fontId="6"/>
  </si>
  <si>
    <t>11/16（土）16時頃</t>
    <rPh sb="6" eb="7">
      <t>ド</t>
    </rPh>
    <rPh sb="7" eb="8">
      <t>スイ</t>
    </rPh>
    <rPh sb="10" eb="11">
      <t>ジ</t>
    </rPh>
    <rPh sb="11" eb="12">
      <t>ゴロ</t>
    </rPh>
    <phoneticPr fontId="6"/>
  </si>
  <si>
    <t>11/15（金）実績</t>
    <rPh sb="6" eb="7">
      <t>キン</t>
    </rPh>
    <rPh sb="7" eb="8">
      <t>スイ</t>
    </rPh>
    <rPh sb="8" eb="10">
      <t>ジッセキ</t>
    </rPh>
    <phoneticPr fontId="6"/>
  </si>
  <si>
    <t>11/16（土）実績</t>
    <rPh sb="6" eb="7">
      <t>ド</t>
    </rPh>
    <rPh sb="7" eb="8">
      <t>スイ</t>
    </rPh>
    <rPh sb="8" eb="10">
      <t>ジッセキ</t>
    </rPh>
    <phoneticPr fontId="6"/>
  </si>
  <si>
    <t>11/17（日）実績</t>
    <rPh sb="6" eb="7">
      <t>ニチ</t>
    </rPh>
    <rPh sb="7" eb="8">
      <t>スイ</t>
    </rPh>
    <rPh sb="8" eb="10">
      <t>ジッセキ</t>
    </rPh>
    <phoneticPr fontId="6"/>
  </si>
  <si>
    <t>[12%]</t>
    <phoneticPr fontId="6"/>
  </si>
  <si>
    <t>[15%]</t>
    <phoneticPr fontId="6"/>
  </si>
  <si>
    <t>[13%]</t>
    <phoneticPr fontId="6"/>
  </si>
  <si>
    <t>11/20（水）16時頃</t>
    <rPh sb="6" eb="7">
      <t>スイ</t>
    </rPh>
    <rPh sb="7" eb="8">
      <t>スイ</t>
    </rPh>
    <rPh sb="10" eb="11">
      <t>ジ</t>
    </rPh>
    <rPh sb="11" eb="12">
      <t>ゴロ</t>
    </rPh>
    <phoneticPr fontId="6"/>
  </si>
  <si>
    <t>11/21（木）実績</t>
    <rPh sb="6" eb="7">
      <t>モク</t>
    </rPh>
    <rPh sb="7" eb="8">
      <t>スイ</t>
    </rPh>
    <rPh sb="8" eb="10">
      <t>ジッセキ</t>
    </rPh>
    <phoneticPr fontId="6"/>
  </si>
  <si>
    <t>11/22（金）16時頃</t>
    <rPh sb="6" eb="7">
      <t>キン</t>
    </rPh>
    <rPh sb="7" eb="8">
      <t>スイ</t>
    </rPh>
    <rPh sb="10" eb="11">
      <t>ジ</t>
    </rPh>
    <rPh sb="11" eb="12">
      <t>ゴロ</t>
    </rPh>
    <phoneticPr fontId="6"/>
  </si>
  <si>
    <t>11/23(土）実績</t>
    <rPh sb="6" eb="7">
      <t>ド</t>
    </rPh>
    <rPh sb="8" eb="10">
      <t>ジッセキ</t>
    </rPh>
    <phoneticPr fontId="6"/>
  </si>
  <si>
    <t>11/29（金）16時頃</t>
    <rPh sb="6" eb="7">
      <t>キン</t>
    </rPh>
    <rPh sb="7" eb="8">
      <t>スイ</t>
    </rPh>
    <rPh sb="10" eb="11">
      <t>ジ</t>
    </rPh>
    <rPh sb="11" eb="12">
      <t>ゴロ</t>
    </rPh>
    <phoneticPr fontId="6"/>
  </si>
  <si>
    <t xml:space="preserve">  (参考) 10月末設備量　953万kW（太陽光：896万kW、風力：57万kW）</t>
    <rPh sb="3" eb="5">
      <t>サンコウ</t>
    </rPh>
    <rPh sb="9" eb="11">
      <t>ガツマツ</t>
    </rPh>
    <rPh sb="11" eb="13">
      <t>セツビ</t>
    </rPh>
    <rPh sb="13" eb="14">
      <t>リョウ</t>
    </rPh>
    <rPh sb="18" eb="19">
      <t>マン</t>
    </rPh>
    <rPh sb="22" eb="25">
      <t>タイヨウコウ</t>
    </rPh>
    <rPh sb="29" eb="30">
      <t>マン</t>
    </rPh>
    <rPh sb="33" eb="35">
      <t>フウリョク</t>
    </rPh>
    <rPh sb="38" eb="39">
      <t>マン</t>
    </rPh>
    <phoneticPr fontId="6"/>
  </si>
  <si>
    <t>11/30(土）実績</t>
    <rPh sb="6" eb="7">
      <t>ド</t>
    </rPh>
    <rPh sb="8" eb="10">
      <t>ジッセキ</t>
    </rPh>
    <phoneticPr fontId="6"/>
  </si>
  <si>
    <t>11/30(土）</t>
    <rPh sb="6" eb="7">
      <t>ド</t>
    </rPh>
    <phoneticPr fontId="6"/>
  </si>
  <si>
    <t>～</t>
    <phoneticPr fontId="6"/>
  </si>
  <si>
    <t>[6%]</t>
    <phoneticPr fontId="6"/>
  </si>
  <si>
    <t>12/14（土）16時頃</t>
    <rPh sb="6" eb="7">
      <t>ド</t>
    </rPh>
    <rPh sb="7" eb="8">
      <t>スイ</t>
    </rPh>
    <rPh sb="10" eb="11">
      <t>ジ</t>
    </rPh>
    <rPh sb="11" eb="12">
      <t>ゴロ</t>
    </rPh>
    <phoneticPr fontId="6"/>
  </si>
  <si>
    <t>12/15(日）実績</t>
    <rPh sb="6" eb="7">
      <t>ニチ</t>
    </rPh>
    <phoneticPr fontId="6"/>
  </si>
  <si>
    <t>～</t>
    <phoneticPr fontId="6"/>
  </si>
  <si>
    <t>[6%]</t>
  </si>
  <si>
    <t xml:space="preserve">  (参考) 11月末設備量　961万kW（太陽光：904万kW、風力：57万kW）</t>
    <rPh sb="3" eb="5">
      <t>サンコウ</t>
    </rPh>
    <rPh sb="9" eb="11">
      <t>ガツマツ</t>
    </rPh>
    <rPh sb="11" eb="13">
      <t>セツビ</t>
    </rPh>
    <rPh sb="13" eb="14">
      <t>リョウ</t>
    </rPh>
    <rPh sb="18" eb="19">
      <t>マン</t>
    </rPh>
    <rPh sb="22" eb="25">
      <t>タイヨウコウ</t>
    </rPh>
    <rPh sb="29" eb="30">
      <t>マン</t>
    </rPh>
    <rPh sb="33" eb="35">
      <t>フウリョク</t>
    </rPh>
    <rPh sb="38" eb="39">
      <t>マン</t>
    </rPh>
    <phoneticPr fontId="6"/>
  </si>
  <si>
    <t>12/31（火）16時頃</t>
    <rPh sb="6" eb="7">
      <t>カ</t>
    </rPh>
    <rPh sb="7" eb="8">
      <t>スイ</t>
    </rPh>
    <rPh sb="10" eb="11">
      <t>ジ</t>
    </rPh>
    <rPh sb="11" eb="12">
      <t>ゴロ</t>
    </rPh>
    <phoneticPr fontId="6"/>
  </si>
  <si>
    <t>1/1（水）16時頃</t>
    <rPh sb="4" eb="5">
      <t>スイ</t>
    </rPh>
    <rPh sb="5" eb="6">
      <t>スイ</t>
    </rPh>
    <rPh sb="8" eb="9">
      <t>ジ</t>
    </rPh>
    <rPh sb="9" eb="10">
      <t>ゴロ</t>
    </rPh>
    <phoneticPr fontId="6"/>
  </si>
  <si>
    <t>1/2（木）16時頃</t>
    <rPh sb="4" eb="5">
      <t>モク</t>
    </rPh>
    <rPh sb="5" eb="6">
      <t>スイ</t>
    </rPh>
    <rPh sb="8" eb="9">
      <t>ジ</t>
    </rPh>
    <rPh sb="9" eb="10">
      <t>ゴロ</t>
    </rPh>
    <phoneticPr fontId="6"/>
  </si>
  <si>
    <t>1/3（金）16時頃</t>
    <rPh sb="4" eb="5">
      <t>キン</t>
    </rPh>
    <rPh sb="5" eb="6">
      <t>スイ</t>
    </rPh>
    <rPh sb="8" eb="9">
      <t>ジ</t>
    </rPh>
    <rPh sb="9" eb="10">
      <t>ゴロ</t>
    </rPh>
    <phoneticPr fontId="6"/>
  </si>
  <si>
    <t>1/4（土）16時頃</t>
    <rPh sb="4" eb="5">
      <t>ド</t>
    </rPh>
    <rPh sb="5" eb="6">
      <t>スイ</t>
    </rPh>
    <rPh sb="8" eb="9">
      <t>ジ</t>
    </rPh>
    <rPh sb="9" eb="10">
      <t>ゴロ</t>
    </rPh>
    <phoneticPr fontId="6"/>
  </si>
  <si>
    <t>1/1(水）実績</t>
    <rPh sb="4" eb="5">
      <t>スイ</t>
    </rPh>
    <phoneticPr fontId="6"/>
  </si>
  <si>
    <t>～</t>
    <phoneticPr fontId="6"/>
  </si>
  <si>
    <t>1/2(木）実績</t>
    <rPh sb="4" eb="5">
      <t>モク</t>
    </rPh>
    <phoneticPr fontId="6"/>
  </si>
  <si>
    <t>8時00分～16時00分</t>
    <phoneticPr fontId="6"/>
  </si>
  <si>
    <t>1/3(金）実績</t>
    <rPh sb="4" eb="5">
      <t>キン</t>
    </rPh>
    <phoneticPr fontId="6"/>
  </si>
  <si>
    <t>（速報）</t>
    <rPh sb="1" eb="3">
      <t>ソクホウ</t>
    </rPh>
    <phoneticPr fontId="6"/>
  </si>
  <si>
    <t>1/4(土）実績</t>
    <rPh sb="4" eb="5">
      <t>ド</t>
    </rPh>
    <phoneticPr fontId="6"/>
  </si>
  <si>
    <t>1/5(日）実績</t>
    <rPh sb="4" eb="5">
      <t>ヒ</t>
    </rPh>
    <phoneticPr fontId="6"/>
  </si>
  <si>
    <t>［13%］</t>
    <phoneticPr fontId="6"/>
  </si>
  <si>
    <t>[8%]</t>
    <phoneticPr fontId="6"/>
  </si>
  <si>
    <t>[21%]</t>
    <phoneticPr fontId="6"/>
  </si>
  <si>
    <t>[28%]</t>
    <phoneticPr fontId="6"/>
  </si>
  <si>
    <t>1/8（水）16時頃</t>
    <rPh sb="4" eb="5">
      <t>スイ</t>
    </rPh>
    <rPh sb="5" eb="6">
      <t>スイ</t>
    </rPh>
    <rPh sb="8" eb="9">
      <t>ジ</t>
    </rPh>
    <rPh sb="9" eb="10">
      <t>ゴロ</t>
    </rPh>
    <phoneticPr fontId="6"/>
  </si>
  <si>
    <t>1/9（木）16時頃</t>
    <rPh sb="4" eb="5">
      <t>モク</t>
    </rPh>
    <rPh sb="5" eb="6">
      <t>スイ</t>
    </rPh>
    <rPh sb="8" eb="9">
      <t>ジ</t>
    </rPh>
    <rPh sb="9" eb="10">
      <t>ゴロ</t>
    </rPh>
    <phoneticPr fontId="6"/>
  </si>
  <si>
    <t>1/9(木）実績</t>
    <rPh sb="4" eb="5">
      <t>モク</t>
    </rPh>
    <phoneticPr fontId="6"/>
  </si>
  <si>
    <t>[5%]</t>
    <phoneticPr fontId="6"/>
  </si>
  <si>
    <t>（前日指示）</t>
  </si>
  <si>
    <t>※</t>
  </si>
  <si>
    <t>1/10（金）実績</t>
    <rPh sb="5" eb="6">
      <t>キン</t>
    </rPh>
    <rPh sb="7" eb="9">
      <t>ジッセキ</t>
    </rPh>
    <phoneticPr fontId="6"/>
  </si>
  <si>
    <t>(速報)</t>
    <rPh sb="1" eb="3">
      <t>ソクホウ</t>
    </rPh>
    <phoneticPr fontId="6"/>
  </si>
  <si>
    <t>出力制御なし</t>
    <phoneticPr fontId="6"/>
  </si>
  <si>
    <t>1/13（月）実績</t>
    <phoneticPr fontId="6"/>
  </si>
  <si>
    <t>(速報)</t>
    <phoneticPr fontId="6"/>
  </si>
  <si>
    <t>出力制御なし</t>
    <phoneticPr fontId="6"/>
  </si>
  <si>
    <t>1/31（金）16時頃</t>
    <rPh sb="5" eb="6">
      <t>キン</t>
    </rPh>
    <phoneticPr fontId="6"/>
  </si>
  <si>
    <t xml:space="preserve">  (参考) 12月末設備量　981万kW（太陽光：924万kW、風力：57万kW）</t>
    <rPh sb="3" eb="5">
      <t>サンコウ</t>
    </rPh>
    <rPh sb="9" eb="11">
      <t>ガツマツ</t>
    </rPh>
    <rPh sb="11" eb="13">
      <t>セツビ</t>
    </rPh>
    <rPh sb="13" eb="14">
      <t>リョウ</t>
    </rPh>
    <rPh sb="18" eb="19">
      <t>マン</t>
    </rPh>
    <rPh sb="22" eb="25">
      <t>タイヨウコウ</t>
    </rPh>
    <rPh sb="29" eb="30">
      <t>マン</t>
    </rPh>
    <rPh sb="33" eb="35">
      <t>フウリョク</t>
    </rPh>
    <rPh sb="38" eb="39">
      <t>マン</t>
    </rPh>
    <phoneticPr fontId="6"/>
  </si>
  <si>
    <t>2/1（土）16時頃</t>
    <rPh sb="4" eb="5">
      <t>ド</t>
    </rPh>
    <rPh sb="5" eb="6">
      <t>スイ</t>
    </rPh>
    <rPh sb="8" eb="9">
      <t>ジ</t>
    </rPh>
    <rPh sb="9" eb="10">
      <t>ゴロ</t>
    </rPh>
    <phoneticPr fontId="6"/>
  </si>
  <si>
    <t>1/12（日）16時頃</t>
    <phoneticPr fontId="6"/>
  </si>
  <si>
    <t>2/1（土）実績</t>
    <rPh sb="4" eb="5">
      <t>ド</t>
    </rPh>
    <phoneticPr fontId="6"/>
  </si>
  <si>
    <t>(速報)</t>
  </si>
  <si>
    <t>2/2（日）実績</t>
    <rPh sb="4" eb="5">
      <t>ヒ</t>
    </rPh>
    <phoneticPr fontId="6"/>
  </si>
  <si>
    <t>～</t>
    <phoneticPr fontId="6"/>
  </si>
  <si>
    <t>[20%]</t>
    <phoneticPr fontId="6"/>
  </si>
  <si>
    <t>2/4（火）16時頃</t>
    <rPh sb="4" eb="5">
      <t>カ</t>
    </rPh>
    <rPh sb="5" eb="6">
      <t>スイ</t>
    </rPh>
    <rPh sb="8" eb="9">
      <t>ジ</t>
    </rPh>
    <rPh sb="9" eb="10">
      <t>ゴロ</t>
    </rPh>
    <phoneticPr fontId="6"/>
  </si>
  <si>
    <t>2/5（水）実績</t>
    <rPh sb="4" eb="5">
      <t>スイ</t>
    </rPh>
    <phoneticPr fontId="6"/>
  </si>
  <si>
    <t>(速報)</t>
    <phoneticPr fontId="6"/>
  </si>
  <si>
    <t>2/7（金）16時頃</t>
    <rPh sb="4" eb="5">
      <t>キン</t>
    </rPh>
    <rPh sb="5" eb="6">
      <t>スイ</t>
    </rPh>
    <rPh sb="8" eb="9">
      <t>ジ</t>
    </rPh>
    <rPh sb="9" eb="10">
      <t>ゴロ</t>
    </rPh>
    <phoneticPr fontId="6"/>
  </si>
  <si>
    <t>2/10（月）16時頃</t>
    <rPh sb="5" eb="6">
      <t>ゲツ</t>
    </rPh>
    <rPh sb="6" eb="7">
      <t>スイ</t>
    </rPh>
    <rPh sb="9" eb="10">
      <t>ジ</t>
    </rPh>
    <rPh sb="10" eb="11">
      <t>ゴロ</t>
    </rPh>
    <phoneticPr fontId="6"/>
  </si>
  <si>
    <t>2/8（土）実績</t>
    <rPh sb="4" eb="5">
      <t>ド</t>
    </rPh>
    <phoneticPr fontId="6"/>
  </si>
  <si>
    <t>出力制御なし</t>
    <rPh sb="0" eb="2">
      <t>シュツリョク</t>
    </rPh>
    <rPh sb="2" eb="4">
      <t>セイギョ</t>
    </rPh>
    <phoneticPr fontId="6"/>
  </si>
  <si>
    <t>2/11（火）実績</t>
    <rPh sb="5" eb="6">
      <t>ヒ</t>
    </rPh>
    <phoneticPr fontId="6"/>
  </si>
  <si>
    <t>(速報)</t>
    <phoneticPr fontId="6"/>
  </si>
  <si>
    <t>～</t>
    <phoneticPr fontId="6"/>
  </si>
  <si>
    <t>[10%]</t>
    <phoneticPr fontId="6"/>
  </si>
  <si>
    <t>2/12（水）16時頃</t>
    <rPh sb="5" eb="6">
      <t>スイ</t>
    </rPh>
    <rPh sb="6" eb="7">
      <t>スイ</t>
    </rPh>
    <rPh sb="9" eb="10">
      <t>ジ</t>
    </rPh>
    <rPh sb="10" eb="11">
      <t>ゴロ</t>
    </rPh>
    <phoneticPr fontId="6"/>
  </si>
  <si>
    <t>2/13（木）実績</t>
    <rPh sb="5" eb="6">
      <t>モク</t>
    </rPh>
    <phoneticPr fontId="6"/>
  </si>
  <si>
    <t>～</t>
    <phoneticPr fontId="6"/>
  </si>
  <si>
    <t>[3%]</t>
    <phoneticPr fontId="6"/>
  </si>
  <si>
    <t>2/14（金）実績</t>
    <rPh sb="5" eb="6">
      <t>キン</t>
    </rPh>
    <phoneticPr fontId="6"/>
  </si>
  <si>
    <t>12時00分～15時30分</t>
    <phoneticPr fontId="6"/>
  </si>
  <si>
    <t>[6%]</t>
    <phoneticPr fontId="6"/>
  </si>
  <si>
    <t>2/14（金）</t>
    <rPh sb="5" eb="6">
      <t>キン</t>
    </rPh>
    <rPh sb="6" eb="7">
      <t>スイ</t>
    </rPh>
    <phoneticPr fontId="6"/>
  </si>
  <si>
    <t>（当日指示）</t>
    <rPh sb="1" eb="3">
      <t>トウジツ</t>
    </rPh>
    <rPh sb="3" eb="5">
      <t>シジ</t>
    </rPh>
    <phoneticPr fontId="6"/>
  </si>
  <si>
    <t>2/18（火）16時頃</t>
    <rPh sb="5" eb="6">
      <t>カ</t>
    </rPh>
    <rPh sb="6" eb="7">
      <t>スイ</t>
    </rPh>
    <rPh sb="9" eb="10">
      <t>ジ</t>
    </rPh>
    <rPh sb="10" eb="11">
      <t>ゴロ</t>
    </rPh>
    <phoneticPr fontId="6"/>
  </si>
  <si>
    <t>2/19（水）16時頃</t>
    <rPh sb="5" eb="6">
      <t>スイ</t>
    </rPh>
    <rPh sb="6" eb="7">
      <t>スイ</t>
    </rPh>
    <rPh sb="9" eb="10">
      <t>ジ</t>
    </rPh>
    <rPh sb="10" eb="11">
      <t>ゴロ</t>
    </rPh>
    <phoneticPr fontId="6"/>
  </si>
  <si>
    <t>2/19（水）実績</t>
    <rPh sb="5" eb="6">
      <t>スイ</t>
    </rPh>
    <phoneticPr fontId="6"/>
  </si>
  <si>
    <t>8時00分～16時00分</t>
    <phoneticPr fontId="6"/>
  </si>
  <si>
    <t>[13%]</t>
    <phoneticPr fontId="6"/>
  </si>
  <si>
    <t>2/20（木）16時頃</t>
    <rPh sb="5" eb="6">
      <t>モク</t>
    </rPh>
    <rPh sb="6" eb="7">
      <t>スイ</t>
    </rPh>
    <rPh sb="9" eb="10">
      <t>ジ</t>
    </rPh>
    <rPh sb="10" eb="11">
      <t>ゴロ</t>
    </rPh>
    <phoneticPr fontId="6"/>
  </si>
  <si>
    <t>2/21（金）16時頃</t>
    <rPh sb="5" eb="6">
      <t>キン</t>
    </rPh>
    <rPh sb="6" eb="7">
      <t>スイ</t>
    </rPh>
    <rPh sb="9" eb="10">
      <t>ジ</t>
    </rPh>
    <rPh sb="10" eb="11">
      <t>ゴロ</t>
    </rPh>
    <phoneticPr fontId="6"/>
  </si>
  <si>
    <t>2/20（木）実績</t>
    <rPh sb="5" eb="6">
      <t>モク</t>
    </rPh>
    <phoneticPr fontId="6"/>
  </si>
  <si>
    <t>[25%]</t>
    <phoneticPr fontId="6"/>
  </si>
  <si>
    <t>2/22（土）16時頃</t>
    <rPh sb="5" eb="6">
      <t>ド</t>
    </rPh>
    <rPh sb="6" eb="7">
      <t>スイ</t>
    </rPh>
    <rPh sb="9" eb="10">
      <t>ジ</t>
    </rPh>
    <rPh sb="10" eb="11">
      <t>ゴロ</t>
    </rPh>
    <phoneticPr fontId="6"/>
  </si>
  <si>
    <t>2/23（日）16時頃</t>
    <rPh sb="5" eb="6">
      <t>ニチ</t>
    </rPh>
    <rPh sb="6" eb="7">
      <t>スイ</t>
    </rPh>
    <rPh sb="9" eb="10">
      <t>ジ</t>
    </rPh>
    <rPh sb="10" eb="11">
      <t>ゴロ</t>
    </rPh>
    <phoneticPr fontId="6"/>
  </si>
  <si>
    <t>2/21（金）実績</t>
    <rPh sb="5" eb="6">
      <t>キン</t>
    </rPh>
    <phoneticPr fontId="6"/>
  </si>
  <si>
    <t>2/22（土）実績</t>
    <rPh sb="5" eb="6">
      <t>ド</t>
    </rPh>
    <phoneticPr fontId="6"/>
  </si>
  <si>
    <t>2/23（日）実績</t>
    <rPh sb="5" eb="6">
      <t>ニチ</t>
    </rPh>
    <phoneticPr fontId="6"/>
  </si>
  <si>
    <t>2/24（月）実績</t>
    <rPh sb="5" eb="6">
      <t>ゲツ</t>
    </rPh>
    <phoneticPr fontId="6"/>
  </si>
  <si>
    <t>～</t>
    <phoneticPr fontId="6"/>
  </si>
  <si>
    <t>[13%]</t>
    <phoneticPr fontId="6"/>
  </si>
  <si>
    <t>[32%]</t>
    <phoneticPr fontId="6"/>
  </si>
  <si>
    <t>[39%]</t>
    <phoneticPr fontId="6"/>
  </si>
  <si>
    <t>2/25（火）16時頃</t>
    <rPh sb="5" eb="6">
      <t>カ</t>
    </rPh>
    <rPh sb="6" eb="7">
      <t>スイ</t>
    </rPh>
    <rPh sb="9" eb="10">
      <t>ジ</t>
    </rPh>
    <rPh sb="10" eb="11">
      <t>ゴロ</t>
    </rPh>
    <phoneticPr fontId="6"/>
  </si>
  <si>
    <t>2/26（水）16時頃</t>
    <rPh sb="5" eb="6">
      <t>スイ</t>
    </rPh>
    <rPh sb="6" eb="7">
      <t>スイ</t>
    </rPh>
    <rPh sb="9" eb="10">
      <t>ジ</t>
    </rPh>
    <rPh sb="10" eb="11">
      <t>ゴロ</t>
    </rPh>
    <phoneticPr fontId="6"/>
  </si>
  <si>
    <t>2/26（水）実績</t>
    <rPh sb="5" eb="6">
      <t>スイ</t>
    </rPh>
    <phoneticPr fontId="6"/>
  </si>
  <si>
    <t>(速報)</t>
    <phoneticPr fontId="6"/>
  </si>
  <si>
    <t>～</t>
    <phoneticPr fontId="6"/>
  </si>
  <si>
    <t>[5%]</t>
    <phoneticPr fontId="6"/>
  </si>
  <si>
    <t>2/27（木）実績</t>
    <rPh sb="5" eb="6">
      <t>モク</t>
    </rPh>
    <phoneticPr fontId="6"/>
  </si>
  <si>
    <t>3/1（日）16時頃</t>
    <rPh sb="4" eb="5">
      <t>ニチ</t>
    </rPh>
    <rPh sb="5" eb="6">
      <t>スイ</t>
    </rPh>
    <rPh sb="8" eb="9">
      <t>ジ</t>
    </rPh>
    <rPh sb="9" eb="10">
      <t>ゴロ</t>
    </rPh>
    <phoneticPr fontId="6"/>
  </si>
  <si>
    <t xml:space="preserve">  (参考) 1月末設備量　985万kW（太陽光：928万kW、風力：57万kW）</t>
    <rPh sb="3" eb="5">
      <t>サンコウ</t>
    </rPh>
    <rPh sb="8" eb="10">
      <t>ガツマツ</t>
    </rPh>
    <rPh sb="10" eb="12">
      <t>セツビ</t>
    </rPh>
    <rPh sb="12" eb="13">
      <t>リョウ</t>
    </rPh>
    <rPh sb="17" eb="18">
      <t>マン</t>
    </rPh>
    <rPh sb="21" eb="24">
      <t>タイヨウコウ</t>
    </rPh>
    <rPh sb="28" eb="29">
      <t>マン</t>
    </rPh>
    <rPh sb="32" eb="34">
      <t>フウリョク</t>
    </rPh>
    <rPh sb="37" eb="38">
      <t>マン</t>
    </rPh>
    <phoneticPr fontId="6"/>
  </si>
  <si>
    <t>3/2（月）16時頃</t>
    <rPh sb="4" eb="5">
      <t>ゲツ</t>
    </rPh>
    <rPh sb="5" eb="6">
      <t>スイ</t>
    </rPh>
    <rPh sb="8" eb="9">
      <t>ジ</t>
    </rPh>
    <rPh sb="9" eb="10">
      <t>ゴロ</t>
    </rPh>
    <phoneticPr fontId="6"/>
  </si>
  <si>
    <t>3/2（月）実績</t>
    <rPh sb="4" eb="5">
      <t>ゲツ</t>
    </rPh>
    <phoneticPr fontId="6"/>
  </si>
  <si>
    <t>～</t>
    <phoneticPr fontId="6"/>
  </si>
  <si>
    <t>[17%]</t>
    <phoneticPr fontId="6"/>
  </si>
  <si>
    <t>3/3（火）実績</t>
    <rPh sb="4" eb="5">
      <t>ヒ</t>
    </rPh>
    <phoneticPr fontId="6"/>
  </si>
  <si>
    <t>～</t>
    <phoneticPr fontId="6"/>
  </si>
  <si>
    <t>[13%]</t>
    <phoneticPr fontId="6"/>
  </si>
  <si>
    <t>3/4（水）16時頃</t>
    <rPh sb="4" eb="5">
      <t>スイ</t>
    </rPh>
    <rPh sb="5" eb="6">
      <t>スイ</t>
    </rPh>
    <rPh sb="8" eb="9">
      <t>ジ</t>
    </rPh>
    <rPh sb="9" eb="10">
      <t>ゴロ</t>
    </rPh>
    <phoneticPr fontId="6"/>
  </si>
  <si>
    <t>3/5（木）16時頃</t>
    <rPh sb="4" eb="5">
      <t>モク</t>
    </rPh>
    <rPh sb="5" eb="6">
      <t>スイ</t>
    </rPh>
    <rPh sb="8" eb="9">
      <t>ジ</t>
    </rPh>
    <rPh sb="9" eb="10">
      <t>ゴロ</t>
    </rPh>
    <phoneticPr fontId="6"/>
  </si>
  <si>
    <t>3/5（木）実績</t>
    <rPh sb="4" eb="5">
      <t>モク</t>
    </rPh>
    <phoneticPr fontId="6"/>
  </si>
  <si>
    <t>～</t>
    <phoneticPr fontId="6"/>
  </si>
  <si>
    <t>[19%]</t>
    <phoneticPr fontId="6"/>
  </si>
  <si>
    <t>3/8（日）16時頃</t>
  </si>
  <si>
    <t>3/7（土）16時頃</t>
  </si>
  <si>
    <t>3/6（金）実績</t>
    <rPh sb="4" eb="5">
      <t>キン</t>
    </rPh>
    <phoneticPr fontId="6"/>
  </si>
  <si>
    <t>～</t>
    <phoneticPr fontId="6"/>
  </si>
  <si>
    <t>3/8（日）実績</t>
    <rPh sb="4" eb="5">
      <t>ヒ</t>
    </rPh>
    <phoneticPr fontId="6"/>
  </si>
  <si>
    <t>8時00分～16時00分</t>
    <phoneticPr fontId="6"/>
  </si>
  <si>
    <t>[43%]</t>
    <phoneticPr fontId="6"/>
  </si>
  <si>
    <t>[22%]</t>
    <phoneticPr fontId="6"/>
  </si>
  <si>
    <t>3/9（月）実績</t>
    <rPh sb="4" eb="5">
      <t>ゲツ</t>
    </rPh>
    <phoneticPr fontId="6"/>
  </si>
  <si>
    <t>3/10（火）16時頃</t>
    <rPh sb="5" eb="6">
      <t>カ</t>
    </rPh>
    <phoneticPr fontId="6"/>
  </si>
  <si>
    <t>3/11（水）16時頃</t>
    <rPh sb="5" eb="6">
      <t>スイ</t>
    </rPh>
    <phoneticPr fontId="6"/>
  </si>
  <si>
    <t>3/11（水）実績</t>
    <rPh sb="5" eb="6">
      <t>スイ</t>
    </rPh>
    <phoneticPr fontId="6"/>
  </si>
  <si>
    <t>8時00分～16時00分</t>
    <phoneticPr fontId="6"/>
  </si>
  <si>
    <t>～</t>
    <phoneticPr fontId="6"/>
  </si>
  <si>
    <t>[28%]</t>
    <phoneticPr fontId="6"/>
  </si>
  <si>
    <t>3/12（木）実績</t>
    <rPh sb="5" eb="6">
      <t>モク</t>
    </rPh>
    <phoneticPr fontId="6"/>
  </si>
  <si>
    <t>8時00分～16時00分</t>
    <phoneticPr fontId="6"/>
  </si>
  <si>
    <t>～</t>
    <phoneticPr fontId="6"/>
  </si>
  <si>
    <t>[26%]</t>
    <phoneticPr fontId="6"/>
  </si>
  <si>
    <t>3/13（金）16時頃</t>
    <rPh sb="5" eb="6">
      <t>キン</t>
    </rPh>
    <phoneticPr fontId="6"/>
  </si>
  <si>
    <t>3/14（土）16時頃</t>
    <phoneticPr fontId="6"/>
  </si>
  <si>
    <t>3/16（月）16時頃</t>
    <rPh sb="5" eb="6">
      <t>ゲツ</t>
    </rPh>
    <phoneticPr fontId="6"/>
  </si>
  <si>
    <t>3/14（土）実績</t>
    <rPh sb="5" eb="6">
      <t>ド</t>
    </rPh>
    <phoneticPr fontId="6"/>
  </si>
  <si>
    <t>3/15（日）実績</t>
    <rPh sb="5" eb="6">
      <t>ニチ</t>
    </rPh>
    <phoneticPr fontId="6"/>
  </si>
  <si>
    <t>8時00分～16時00分</t>
    <phoneticPr fontId="6"/>
  </si>
  <si>
    <t>～</t>
    <phoneticPr fontId="6"/>
  </si>
  <si>
    <t>[32%]</t>
    <phoneticPr fontId="6"/>
  </si>
  <si>
    <t>[39%]</t>
    <phoneticPr fontId="6"/>
  </si>
  <si>
    <t>3/17（火）16時頃</t>
    <rPh sb="5" eb="6">
      <t>カ</t>
    </rPh>
    <phoneticPr fontId="6"/>
  </si>
  <si>
    <t>3/18（水）16時頃</t>
    <rPh sb="5" eb="6">
      <t>スイ</t>
    </rPh>
    <phoneticPr fontId="6"/>
  </si>
  <si>
    <t>3/17（火）実績</t>
    <rPh sb="5" eb="6">
      <t>カ</t>
    </rPh>
    <phoneticPr fontId="6"/>
  </si>
  <si>
    <t>3/18（水）実績</t>
    <rPh sb="5" eb="6">
      <t>スイ</t>
    </rPh>
    <phoneticPr fontId="6"/>
  </si>
  <si>
    <t>（速報）</t>
    <rPh sb="1" eb="3">
      <t>ソクホウ</t>
    </rPh>
    <phoneticPr fontId="6"/>
  </si>
  <si>
    <t>出力制御なし</t>
    <rPh sb="0" eb="2">
      <t>シュツリョク</t>
    </rPh>
    <rPh sb="2" eb="4">
      <t>セイギョ</t>
    </rPh>
    <phoneticPr fontId="6"/>
  </si>
  <si>
    <t>3/19（木）16時頃</t>
    <rPh sb="5" eb="6">
      <t>モク</t>
    </rPh>
    <phoneticPr fontId="6"/>
  </si>
  <si>
    <t>3/20（金）16時頃</t>
    <rPh sb="5" eb="6">
      <t>キン</t>
    </rPh>
    <phoneticPr fontId="6"/>
  </si>
  <si>
    <t>3/22（日）16時頃</t>
    <rPh sb="5" eb="6">
      <t>ニチ</t>
    </rPh>
    <phoneticPr fontId="6"/>
  </si>
  <si>
    <t>3/19（木）実績</t>
    <rPh sb="5" eb="6">
      <t>モク</t>
    </rPh>
    <phoneticPr fontId="6"/>
  </si>
  <si>
    <t>～</t>
    <phoneticPr fontId="6"/>
  </si>
  <si>
    <t>[22%]</t>
    <phoneticPr fontId="6"/>
  </si>
  <si>
    <t>3/20（金）実績</t>
    <rPh sb="5" eb="6">
      <t>キン</t>
    </rPh>
    <phoneticPr fontId="6"/>
  </si>
  <si>
    <t>3/21（土）実績</t>
    <rPh sb="5" eb="6">
      <t>ド</t>
    </rPh>
    <phoneticPr fontId="6"/>
  </si>
  <si>
    <t>3/23（月）16時頃</t>
    <rPh sb="5" eb="6">
      <t>ゲツ</t>
    </rPh>
    <phoneticPr fontId="6"/>
  </si>
  <si>
    <t>3/23（月）実績</t>
    <rPh sb="5" eb="6">
      <t>ゲツ</t>
    </rPh>
    <phoneticPr fontId="6"/>
  </si>
  <si>
    <t>8時00分～16時00分</t>
    <phoneticPr fontId="6"/>
  </si>
  <si>
    <t>～</t>
    <phoneticPr fontId="6"/>
  </si>
  <si>
    <t>[11%]</t>
    <phoneticPr fontId="6"/>
  </si>
  <si>
    <t>3/24（火）16時頃</t>
    <rPh sb="5" eb="6">
      <t>カ</t>
    </rPh>
    <phoneticPr fontId="6"/>
  </si>
  <si>
    <t>3/24（火）実績</t>
    <rPh sb="5" eb="6">
      <t>カ</t>
    </rPh>
    <phoneticPr fontId="6"/>
  </si>
  <si>
    <t>8時00分～16時00分</t>
    <phoneticPr fontId="6"/>
  </si>
  <si>
    <t>[10%]</t>
    <phoneticPr fontId="6"/>
  </si>
  <si>
    <t>3/25（水）実績</t>
    <rPh sb="5" eb="6">
      <t>スイ</t>
    </rPh>
    <phoneticPr fontId="6"/>
  </si>
  <si>
    <t>8時00分～16時00分</t>
    <phoneticPr fontId="6"/>
  </si>
  <si>
    <t>～</t>
    <phoneticPr fontId="6"/>
  </si>
  <si>
    <t>[11%]</t>
    <phoneticPr fontId="6"/>
  </si>
  <si>
    <t>3/28（土）16時頃</t>
    <rPh sb="5" eb="6">
      <t>ド</t>
    </rPh>
    <phoneticPr fontId="6"/>
  </si>
  <si>
    <t>3/29（日）実績</t>
    <rPh sb="5" eb="6">
      <t>ヒ</t>
    </rPh>
    <phoneticPr fontId="6"/>
  </si>
  <si>
    <t>（速報）</t>
  </si>
  <si>
    <t>～</t>
    <phoneticPr fontId="6"/>
  </si>
  <si>
    <t>[28%]</t>
    <phoneticPr fontId="6"/>
  </si>
  <si>
    <t>4/1（水）16時頃</t>
    <rPh sb="4" eb="5">
      <t>スイ</t>
    </rPh>
    <rPh sb="8" eb="9">
      <t>ジ</t>
    </rPh>
    <rPh sb="9" eb="10">
      <t>ゴロ</t>
    </rPh>
    <phoneticPr fontId="6"/>
  </si>
  <si>
    <t>(注7)専焼バイオマスの出力制御なし</t>
    <rPh sb="1" eb="2">
      <t>チュウ</t>
    </rPh>
    <rPh sb="4" eb="6">
      <t>センショウ</t>
    </rPh>
    <rPh sb="12" eb="14">
      <t>シュツリョク</t>
    </rPh>
    <rPh sb="14" eb="16">
      <t>セイギョ</t>
    </rPh>
    <phoneticPr fontId="7"/>
  </si>
  <si>
    <t xml:space="preserve">  (参考) 2020年2月末設備量　990万kW（太陽光：932万kW、風力：58万kW）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2" eb="23">
      <t>マン</t>
    </rPh>
    <rPh sb="26" eb="29">
      <t>タイヨウコウ</t>
    </rPh>
    <rPh sb="33" eb="34">
      <t>マン</t>
    </rPh>
    <rPh sb="37" eb="39">
      <t>フウリョク</t>
    </rPh>
    <rPh sb="42" eb="43">
      <t>マン</t>
    </rPh>
    <phoneticPr fontId="6"/>
  </si>
  <si>
    <t>4/2（木）16時頃</t>
    <rPh sb="4" eb="5">
      <t>モク</t>
    </rPh>
    <rPh sb="8" eb="9">
      <t>ジ</t>
    </rPh>
    <rPh sb="9" eb="10">
      <t>ゴロ</t>
    </rPh>
    <phoneticPr fontId="6"/>
  </si>
  <si>
    <t>4/2（木）実績</t>
    <rPh sb="4" eb="5">
      <t>モク</t>
    </rPh>
    <rPh sb="6" eb="8">
      <t>ジッセキ</t>
    </rPh>
    <phoneticPr fontId="28"/>
  </si>
  <si>
    <t>（速報）</t>
    <rPh sb="1" eb="3">
      <t>ソクホウ</t>
    </rPh>
    <phoneticPr fontId="28"/>
  </si>
  <si>
    <t>4/2（木）</t>
    <rPh sb="4" eb="5">
      <t>モク</t>
    </rPh>
    <phoneticPr fontId="28"/>
  </si>
  <si>
    <t>8時00分～16時00分</t>
    <phoneticPr fontId="28"/>
  </si>
  <si>
    <t>4/3（金）16時頃</t>
    <rPh sb="4" eb="5">
      <t>キン</t>
    </rPh>
    <rPh sb="8" eb="9">
      <t>ジ</t>
    </rPh>
    <rPh sb="9" eb="10">
      <t>ゴロ</t>
    </rPh>
    <phoneticPr fontId="6"/>
  </si>
  <si>
    <t>4/4（土）16時頃</t>
    <rPh sb="4" eb="5">
      <t>ド</t>
    </rPh>
    <rPh sb="8" eb="9">
      <t>ジ</t>
    </rPh>
    <rPh sb="9" eb="10">
      <t>ゴロ</t>
    </rPh>
    <phoneticPr fontId="6"/>
  </si>
  <si>
    <t>4/5（日）16時頃</t>
    <rPh sb="4" eb="5">
      <t>ニチ</t>
    </rPh>
    <rPh sb="8" eb="9">
      <t>ジ</t>
    </rPh>
    <rPh sb="9" eb="10">
      <t>ゴロ</t>
    </rPh>
    <phoneticPr fontId="6"/>
  </si>
  <si>
    <t>4/3（金）実績</t>
    <rPh sb="4" eb="5">
      <t>キン</t>
    </rPh>
    <rPh sb="6" eb="8">
      <t>ジッセキ</t>
    </rPh>
    <phoneticPr fontId="28"/>
  </si>
  <si>
    <t>4/3（金）</t>
    <rPh sb="4" eb="5">
      <t>キン</t>
    </rPh>
    <phoneticPr fontId="28"/>
  </si>
  <si>
    <t>4/4（土）実績</t>
    <rPh sb="4" eb="5">
      <t>ド</t>
    </rPh>
    <rPh sb="6" eb="8">
      <t>ジッセキ</t>
    </rPh>
    <phoneticPr fontId="28"/>
  </si>
  <si>
    <t>4/4（土）</t>
    <rPh sb="4" eb="5">
      <t>ド</t>
    </rPh>
    <phoneticPr fontId="28"/>
  </si>
  <si>
    <t>4/5（日）実績</t>
    <rPh sb="4" eb="5">
      <t>ニチ</t>
    </rPh>
    <rPh sb="6" eb="8">
      <t>ジッセキ</t>
    </rPh>
    <phoneticPr fontId="28"/>
  </si>
  <si>
    <t>4/5（日）</t>
    <rPh sb="4" eb="5">
      <t>ニチ</t>
    </rPh>
    <phoneticPr fontId="28"/>
  </si>
  <si>
    <t>4/6（月）16時頃</t>
    <rPh sb="4" eb="5">
      <t>ゲツ</t>
    </rPh>
    <rPh sb="8" eb="9">
      <t>ジ</t>
    </rPh>
    <rPh sb="9" eb="10">
      <t>ゴロ</t>
    </rPh>
    <phoneticPr fontId="6"/>
  </si>
  <si>
    <t xml:space="preserve">  (参考) 2020年2月末設備量　990万kW（太陽光：932万kW、風力：58万kW）</t>
    <rPh sb="15" eb="17">
      <t>セツビ</t>
    </rPh>
    <rPh sb="17" eb="18">
      <t>リョウ</t>
    </rPh>
    <rPh sb="22" eb="23">
      <t>マン</t>
    </rPh>
    <rPh sb="26" eb="29">
      <t>タイヨウコウ</t>
    </rPh>
    <rPh sb="33" eb="34">
      <t>マン</t>
    </rPh>
    <rPh sb="37" eb="39">
      <t>フウリョク</t>
    </rPh>
    <rPh sb="42" eb="43">
      <t>マン</t>
    </rPh>
    <phoneticPr fontId="6"/>
  </si>
  <si>
    <t>4/6（月）実績</t>
    <rPh sb="4" eb="5">
      <t>ゲツ</t>
    </rPh>
    <rPh sb="6" eb="8">
      <t>ジッセキ</t>
    </rPh>
    <phoneticPr fontId="28"/>
  </si>
  <si>
    <t>4/7（火）16時頃</t>
    <rPh sb="4" eb="5">
      <t>カ</t>
    </rPh>
    <rPh sb="8" eb="9">
      <t>ジ</t>
    </rPh>
    <rPh sb="9" eb="10">
      <t>ゴロ</t>
    </rPh>
    <phoneticPr fontId="6"/>
  </si>
  <si>
    <t>2020年度実績</t>
    <rPh sb="4" eb="6">
      <t>ネンド</t>
    </rPh>
    <rPh sb="6" eb="8">
      <t>ジッセキ</t>
    </rPh>
    <phoneticPr fontId="7"/>
  </si>
  <si>
    <t>4/8（水）16時頃</t>
    <rPh sb="4" eb="5">
      <t>スイ</t>
    </rPh>
    <rPh sb="8" eb="9">
      <t>ジ</t>
    </rPh>
    <rPh sb="9" eb="10">
      <t>ゴロ</t>
    </rPh>
    <phoneticPr fontId="6"/>
  </si>
  <si>
    <t>4/7（火）実績</t>
    <rPh sb="4" eb="5">
      <t>カ</t>
    </rPh>
    <rPh sb="6" eb="8">
      <t>ジッセキ</t>
    </rPh>
    <phoneticPr fontId="28"/>
  </si>
  <si>
    <t>4/8（水）実績</t>
    <rPh sb="4" eb="5">
      <t>スイ</t>
    </rPh>
    <rPh sb="6" eb="8">
      <t>ジッセキ</t>
    </rPh>
    <phoneticPr fontId="28"/>
  </si>
  <si>
    <t>4/9（木）16時頃</t>
    <rPh sb="4" eb="5">
      <t>モク</t>
    </rPh>
    <rPh sb="8" eb="9">
      <t>ジ</t>
    </rPh>
    <rPh sb="9" eb="10">
      <t>ゴロ</t>
    </rPh>
    <phoneticPr fontId="6"/>
  </si>
  <si>
    <t>4/9（木）実績</t>
    <rPh sb="4" eb="5">
      <t>モク</t>
    </rPh>
    <rPh sb="6" eb="8">
      <t>ジッセキ</t>
    </rPh>
    <phoneticPr fontId="28"/>
  </si>
  <si>
    <t>4/10（金）実績</t>
    <rPh sb="5" eb="6">
      <t>キン</t>
    </rPh>
    <rPh sb="7" eb="9">
      <t>ジッセキ</t>
    </rPh>
    <phoneticPr fontId="28"/>
  </si>
  <si>
    <t>4/11（土）</t>
    <rPh sb="5" eb="6">
      <t>ド</t>
    </rPh>
    <phoneticPr fontId="6"/>
  </si>
  <si>
    <t>4/13（月）16時頃</t>
    <rPh sb="5" eb="6">
      <t>ツキ</t>
    </rPh>
    <rPh sb="9" eb="10">
      <t>ジ</t>
    </rPh>
    <rPh sb="10" eb="11">
      <t>ゴロ</t>
    </rPh>
    <phoneticPr fontId="6"/>
  </si>
  <si>
    <t>4/11（土）実績</t>
    <rPh sb="5" eb="6">
      <t>ド</t>
    </rPh>
    <rPh sb="7" eb="9">
      <t>ジッセキ</t>
    </rPh>
    <phoneticPr fontId="28"/>
  </si>
  <si>
    <t>11時00分～15時00分</t>
    <phoneticPr fontId="28"/>
  </si>
  <si>
    <t>4/14（火）実績</t>
    <rPh sb="5" eb="6">
      <t>カ</t>
    </rPh>
    <phoneticPr fontId="28"/>
  </si>
  <si>
    <t>4/15（水）</t>
    <rPh sb="5" eb="6">
      <t>スイ</t>
    </rPh>
    <phoneticPr fontId="6"/>
  </si>
  <si>
    <t>12時00分～14時30分</t>
    <phoneticPr fontId="28"/>
  </si>
  <si>
    <t>4/15（水）実績</t>
    <rPh sb="5" eb="6">
      <t>スイ</t>
    </rPh>
    <rPh sb="7" eb="9">
      <t>ジッセキ</t>
    </rPh>
    <phoneticPr fontId="28"/>
  </si>
  <si>
    <t>4/16（木）実績</t>
    <rPh sb="5" eb="6">
      <t>モク</t>
    </rPh>
    <rPh sb="7" eb="9">
      <t>ジッセキ</t>
    </rPh>
    <phoneticPr fontId="28"/>
  </si>
  <si>
    <t>4/18（土）実績</t>
    <rPh sb="5" eb="6">
      <t>ド</t>
    </rPh>
    <rPh sb="7" eb="9">
      <t>ジッセキ</t>
    </rPh>
    <phoneticPr fontId="28"/>
  </si>
  <si>
    <t>4/20（月）実績</t>
    <rPh sb="5" eb="6">
      <t>ゲツ</t>
    </rPh>
    <rPh sb="7" eb="9">
      <t>ジッセキ</t>
    </rPh>
    <phoneticPr fontId="28"/>
  </si>
  <si>
    <t>4/15（水）16時頃</t>
    <rPh sb="5" eb="6">
      <t>スイ</t>
    </rPh>
    <rPh sb="9" eb="10">
      <t>ジ</t>
    </rPh>
    <rPh sb="10" eb="11">
      <t>ゴロ</t>
    </rPh>
    <phoneticPr fontId="6"/>
  </si>
  <si>
    <t>4/17（金）16時頃</t>
    <rPh sb="5" eb="6">
      <t>キン</t>
    </rPh>
    <rPh sb="9" eb="10">
      <t>ジ</t>
    </rPh>
    <rPh sb="10" eb="11">
      <t>ゴロ</t>
    </rPh>
    <phoneticPr fontId="6"/>
  </si>
  <si>
    <t>4/19（日）16時頃</t>
    <rPh sb="5" eb="6">
      <t>ニチ</t>
    </rPh>
    <rPh sb="9" eb="10">
      <t>ジ</t>
    </rPh>
    <rPh sb="10" eb="11">
      <t>ゴロ</t>
    </rPh>
    <phoneticPr fontId="6"/>
  </si>
  <si>
    <t>4/20（月）16時頃</t>
    <rPh sb="5" eb="6">
      <t>ゲツ</t>
    </rPh>
    <rPh sb="9" eb="10">
      <t>ジ</t>
    </rPh>
    <rPh sb="10" eb="11">
      <t>ゴロ</t>
    </rPh>
    <phoneticPr fontId="6"/>
  </si>
  <si>
    <t>4/21（火）16時頃</t>
  </si>
  <si>
    <t>4/21（火）実績</t>
    <rPh sb="5" eb="6">
      <t>カ</t>
    </rPh>
    <rPh sb="7" eb="9">
      <t>ジッセキ</t>
    </rPh>
    <phoneticPr fontId="6"/>
  </si>
  <si>
    <r>
      <t>出力制御なし</t>
    </r>
    <r>
      <rPr>
        <vertAlign val="superscript"/>
        <sz val="18"/>
        <rFont val="ＭＳ ゴシック"/>
        <family val="3"/>
        <charset val="128"/>
      </rPr>
      <t>(注7)</t>
    </r>
    <rPh sb="0" eb="2">
      <t>シュツリョク</t>
    </rPh>
    <rPh sb="2" eb="4">
      <t>セイギョ</t>
    </rPh>
    <rPh sb="7" eb="8">
      <t>チュウ</t>
    </rPh>
    <phoneticPr fontId="28"/>
  </si>
  <si>
    <t>『再生可能エネルギーの固定価格買取制度』に基づく再エネ出力制御指示に関する報告</t>
    <phoneticPr fontId="28"/>
  </si>
  <si>
    <t>4/22（水）実績</t>
    <rPh sb="5" eb="6">
      <t>スイ</t>
    </rPh>
    <rPh sb="7" eb="9">
      <t>ジッセキ</t>
    </rPh>
    <phoneticPr fontId="28"/>
  </si>
  <si>
    <t>4/23（木）16時頃</t>
    <rPh sb="5" eb="6">
      <t>モク</t>
    </rPh>
    <phoneticPr fontId="28"/>
  </si>
  <si>
    <t>4/24（金）16時頃</t>
    <rPh sb="5" eb="6">
      <t>キン</t>
    </rPh>
    <phoneticPr fontId="28"/>
  </si>
  <si>
    <t>4/25（土）16時頃</t>
    <rPh sb="5" eb="6">
      <t>ド</t>
    </rPh>
    <phoneticPr fontId="28"/>
  </si>
  <si>
    <t xml:space="preserve">  (参考) 2020年3月末設備量　1,002万kW（太陽光：944万kW、風力：58万kW）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5" eb="36">
      <t>マン</t>
    </rPh>
    <rPh sb="39" eb="41">
      <t>フウリョク</t>
    </rPh>
    <rPh sb="44" eb="45">
      <t>マン</t>
    </rPh>
    <phoneticPr fontId="6"/>
  </si>
  <si>
    <t>4/26（日）16時頃</t>
    <rPh sb="5" eb="6">
      <t>ニチ</t>
    </rPh>
    <phoneticPr fontId="28"/>
  </si>
  <si>
    <t>4/27（月）16時頃</t>
    <rPh sb="5" eb="6">
      <t>ゲツ</t>
    </rPh>
    <phoneticPr fontId="28"/>
  </si>
  <si>
    <t>4/24（金）実績</t>
    <rPh sb="5" eb="6">
      <t>キン</t>
    </rPh>
    <rPh sb="7" eb="9">
      <t>ジッセキ</t>
    </rPh>
    <phoneticPr fontId="28"/>
  </si>
  <si>
    <t>4/25（土）実績</t>
    <rPh sb="5" eb="6">
      <t>ド</t>
    </rPh>
    <rPh sb="7" eb="9">
      <t>ジッセキ</t>
    </rPh>
    <phoneticPr fontId="28"/>
  </si>
  <si>
    <t>出力制御なし</t>
    <rPh sb="0" eb="2">
      <t>シュツリョク</t>
    </rPh>
    <rPh sb="2" eb="4">
      <t>セイギョ</t>
    </rPh>
    <phoneticPr fontId="28"/>
  </si>
  <si>
    <t>4/26（日）実績</t>
    <rPh sb="5" eb="6">
      <t>ニチ</t>
    </rPh>
    <rPh sb="7" eb="9">
      <t>ジッセキ</t>
    </rPh>
    <phoneticPr fontId="28"/>
  </si>
  <si>
    <t>（速報）</t>
    <rPh sb="1" eb="3">
      <t>ソクホウ</t>
    </rPh>
    <phoneticPr fontId="28"/>
  </si>
  <si>
    <t>4/27（月）実績</t>
    <rPh sb="5" eb="6">
      <t>ゲツ</t>
    </rPh>
    <rPh sb="7" eb="9">
      <t>ジッセキ</t>
    </rPh>
    <phoneticPr fontId="28"/>
  </si>
  <si>
    <t>4/28（火）16時頃</t>
    <rPh sb="5" eb="6">
      <t>カ</t>
    </rPh>
    <phoneticPr fontId="28"/>
  </si>
  <si>
    <t>4/29（水）16時頃</t>
    <rPh sb="5" eb="6">
      <t>スイ</t>
    </rPh>
    <phoneticPr fontId="28"/>
  </si>
  <si>
    <t>4/28（火）実績</t>
    <rPh sb="5" eb="6">
      <t>カ</t>
    </rPh>
    <rPh sb="7" eb="9">
      <t>ジッセキ</t>
    </rPh>
    <phoneticPr fontId="28"/>
  </si>
  <si>
    <t>4/29（水）実績</t>
    <rPh sb="5" eb="6">
      <t>スイ</t>
    </rPh>
    <rPh sb="7" eb="9">
      <t>ジッセキ</t>
    </rPh>
    <phoneticPr fontId="28"/>
  </si>
  <si>
    <t>4/30（木）16時頃</t>
    <rPh sb="5" eb="6">
      <t>モク</t>
    </rPh>
    <phoneticPr fontId="28"/>
  </si>
  <si>
    <t>5/1（金）実績</t>
    <rPh sb="4" eb="5">
      <t>キン</t>
    </rPh>
    <rPh sb="6" eb="8">
      <t>ジッセキ</t>
    </rPh>
    <phoneticPr fontId="28"/>
  </si>
  <si>
    <t>5/1（金）16時頃</t>
    <rPh sb="4" eb="5">
      <t>キン</t>
    </rPh>
    <phoneticPr fontId="28"/>
  </si>
  <si>
    <t>4/30（木）実績</t>
    <rPh sb="5" eb="6">
      <t>モク</t>
    </rPh>
    <rPh sb="7" eb="9">
      <t>ジッセキ</t>
    </rPh>
    <phoneticPr fontId="28"/>
  </si>
  <si>
    <t>5/2（土）実績</t>
    <rPh sb="4" eb="5">
      <t>ド</t>
    </rPh>
    <rPh sb="6" eb="8">
      <t>ジッセキ</t>
    </rPh>
    <phoneticPr fontId="28"/>
  </si>
  <si>
    <t>10時00分～15時00分</t>
    <phoneticPr fontId="28"/>
  </si>
  <si>
    <t>5/4（月）実績</t>
    <rPh sb="4" eb="5">
      <t>ゲツ</t>
    </rPh>
    <rPh sb="6" eb="8">
      <t>ジッセキ</t>
    </rPh>
    <phoneticPr fontId="28"/>
  </si>
  <si>
    <t>5/3（日）16時頃</t>
    <rPh sb="4" eb="5">
      <t>ニチ</t>
    </rPh>
    <phoneticPr fontId="28"/>
  </si>
  <si>
    <t>5/4（月）16時頃</t>
    <rPh sb="4" eb="5">
      <t>ツキ</t>
    </rPh>
    <phoneticPr fontId="28"/>
  </si>
  <si>
    <t>5/5（火）16時頃</t>
  </si>
  <si>
    <t>5/6（水）16時頃</t>
  </si>
  <si>
    <t>5/7（木）16時頃</t>
    <rPh sb="4" eb="5">
      <t>モク</t>
    </rPh>
    <phoneticPr fontId="28"/>
  </si>
  <si>
    <t>5/5（火）実績</t>
    <rPh sb="4" eb="5">
      <t>カ</t>
    </rPh>
    <rPh sb="6" eb="8">
      <t>ジッセキ</t>
    </rPh>
    <phoneticPr fontId="28"/>
  </si>
  <si>
    <t>5/6（水）実績</t>
    <rPh sb="4" eb="5">
      <t>スイ</t>
    </rPh>
    <rPh sb="6" eb="8">
      <t>ジッセキ</t>
    </rPh>
    <phoneticPr fontId="28"/>
  </si>
  <si>
    <t>[万kW]</t>
  </si>
  <si>
    <t>5/8（金）16時頃</t>
    <rPh sb="4" eb="5">
      <t>キン</t>
    </rPh>
    <phoneticPr fontId="28"/>
  </si>
  <si>
    <t>5/7（木）実績</t>
    <rPh sb="4" eb="5">
      <t>モク</t>
    </rPh>
    <rPh sb="6" eb="8">
      <t>ジッセキ</t>
    </rPh>
    <phoneticPr fontId="28"/>
  </si>
  <si>
    <t>5/9（土）16時頃</t>
    <rPh sb="4" eb="5">
      <t>ド</t>
    </rPh>
    <phoneticPr fontId="28"/>
  </si>
  <si>
    <t>5/8（金）実績</t>
    <rPh sb="4" eb="5">
      <t>キン</t>
    </rPh>
    <rPh sb="6" eb="8">
      <t>ジッセキ</t>
    </rPh>
    <phoneticPr fontId="28"/>
  </si>
  <si>
    <t>5/10（日）16時頃</t>
    <rPh sb="5" eb="6">
      <t>ニチ</t>
    </rPh>
    <phoneticPr fontId="28"/>
  </si>
  <si>
    <t>5/9（土）実績</t>
    <rPh sb="4" eb="5">
      <t>ド</t>
    </rPh>
    <rPh sb="6" eb="8">
      <t>ジッセキ</t>
    </rPh>
    <phoneticPr fontId="28"/>
  </si>
  <si>
    <t>5/10（日）実績</t>
    <rPh sb="5" eb="6">
      <t>ニチ</t>
    </rPh>
    <rPh sb="7" eb="9">
      <t>ジッセキ</t>
    </rPh>
    <phoneticPr fontId="28"/>
  </si>
  <si>
    <t>5/11（月）16時頃</t>
    <rPh sb="5" eb="6">
      <t>ゲツ</t>
    </rPh>
    <phoneticPr fontId="28"/>
  </si>
  <si>
    <t>5/11（月）実績</t>
    <rPh sb="5" eb="6">
      <t>ゲツ</t>
    </rPh>
    <rPh sb="7" eb="9">
      <t>ジッセキ</t>
    </rPh>
    <phoneticPr fontId="28"/>
  </si>
  <si>
    <t>5/12（火）16時頃</t>
    <rPh sb="5" eb="6">
      <t>カ</t>
    </rPh>
    <phoneticPr fontId="28"/>
  </si>
  <si>
    <t>5/12（火）実績</t>
    <rPh sb="5" eb="6">
      <t>カ</t>
    </rPh>
    <rPh sb="7" eb="9">
      <t>ジッセキ</t>
    </rPh>
    <phoneticPr fontId="28"/>
  </si>
  <si>
    <t>5/13（水）16時頃</t>
    <rPh sb="5" eb="6">
      <t>スイ</t>
    </rPh>
    <phoneticPr fontId="28"/>
  </si>
  <si>
    <t>5/13（水）実績</t>
    <rPh sb="5" eb="6">
      <t>スイ</t>
    </rPh>
    <rPh sb="7" eb="9">
      <t>ジッセキ</t>
    </rPh>
    <phoneticPr fontId="28"/>
  </si>
  <si>
    <t>5/14（木）実績</t>
    <rPh sb="5" eb="6">
      <t>モク</t>
    </rPh>
    <rPh sb="7" eb="9">
      <t>ジッセキ</t>
    </rPh>
    <phoneticPr fontId="28"/>
  </si>
  <si>
    <t>5/16（土）16時頃</t>
    <rPh sb="5" eb="6">
      <t>ド</t>
    </rPh>
    <phoneticPr fontId="28"/>
  </si>
  <si>
    <t>5/17（日）実績</t>
    <rPh sb="5" eb="6">
      <t>ニチ</t>
    </rPh>
    <rPh sb="7" eb="9">
      <t>ジッセキ</t>
    </rPh>
    <phoneticPr fontId="28"/>
  </si>
  <si>
    <t>5/18（月）16時頃</t>
    <rPh sb="5" eb="6">
      <t>ゲツ</t>
    </rPh>
    <phoneticPr fontId="28"/>
  </si>
  <si>
    <t>5/19（火）16時頃</t>
    <rPh sb="5" eb="6">
      <t>カ</t>
    </rPh>
    <phoneticPr fontId="28"/>
  </si>
  <si>
    <t>5/20（水）16時頃</t>
    <rPh sb="5" eb="6">
      <t>スイ</t>
    </rPh>
    <phoneticPr fontId="28"/>
  </si>
  <si>
    <t>5/19（火）実績</t>
    <rPh sb="5" eb="6">
      <t>カ</t>
    </rPh>
    <rPh sb="7" eb="9">
      <t>ジッセキ</t>
    </rPh>
    <phoneticPr fontId="28"/>
  </si>
  <si>
    <t>5/21（木）16時頃</t>
    <rPh sb="5" eb="6">
      <t>モク</t>
    </rPh>
    <phoneticPr fontId="28"/>
  </si>
  <si>
    <t>5/20（水）実績</t>
    <rPh sb="5" eb="6">
      <t>スイ</t>
    </rPh>
    <rPh sb="7" eb="9">
      <t>ジッセキ</t>
    </rPh>
    <phoneticPr fontId="28"/>
  </si>
  <si>
    <t>5/22（金）16時頃</t>
    <rPh sb="5" eb="6">
      <t>キン</t>
    </rPh>
    <phoneticPr fontId="28"/>
  </si>
  <si>
    <t>5/21（木）実績</t>
    <rPh sb="5" eb="6">
      <t>モク</t>
    </rPh>
    <rPh sb="7" eb="9">
      <t>ジッセキ</t>
    </rPh>
    <phoneticPr fontId="28"/>
  </si>
  <si>
    <t>5/22（金）実績</t>
    <rPh sb="5" eb="6">
      <t>キン</t>
    </rPh>
    <rPh sb="7" eb="9">
      <t>ジッセキ</t>
    </rPh>
    <phoneticPr fontId="28"/>
  </si>
  <si>
    <t>5/23（土）16時頃</t>
    <rPh sb="5" eb="6">
      <t>ド</t>
    </rPh>
    <phoneticPr fontId="28"/>
  </si>
  <si>
    <t>5/24（日）16時頃</t>
    <rPh sb="5" eb="6">
      <t>ニチ</t>
    </rPh>
    <phoneticPr fontId="28"/>
  </si>
  <si>
    <t>5/23（土）実績</t>
    <rPh sb="5" eb="6">
      <t>ド</t>
    </rPh>
    <rPh sb="7" eb="9">
      <t>ジッセキ</t>
    </rPh>
    <phoneticPr fontId="28"/>
  </si>
  <si>
    <t>5/24（日）実績</t>
    <rPh sb="5" eb="6">
      <t>ニチ</t>
    </rPh>
    <rPh sb="7" eb="9">
      <t>ジッセキ</t>
    </rPh>
    <phoneticPr fontId="28"/>
  </si>
  <si>
    <t>5/25（月）実績</t>
    <rPh sb="5" eb="6">
      <t>ゲツ</t>
    </rPh>
    <rPh sb="7" eb="9">
      <t>ジッセキ</t>
    </rPh>
    <phoneticPr fontId="28"/>
  </si>
  <si>
    <t>6/6（土）16時頃</t>
    <rPh sb="4" eb="5">
      <t>ド</t>
    </rPh>
    <phoneticPr fontId="28"/>
  </si>
  <si>
    <t xml:space="preserve">  (参考) 2020年4月末設備量　1,024万kW（太陽光：966万kW、風力：58万kW）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5" eb="36">
      <t>マン</t>
    </rPh>
    <rPh sb="39" eb="41">
      <t>フウリョク</t>
    </rPh>
    <rPh sb="44" eb="45">
      <t>マン</t>
    </rPh>
    <phoneticPr fontId="6"/>
  </si>
  <si>
    <t>6/7（日）実績</t>
    <rPh sb="4" eb="5">
      <t>ニチ</t>
    </rPh>
    <rPh sb="6" eb="8">
      <t>ジッセキ</t>
    </rPh>
    <phoneticPr fontId="28"/>
  </si>
  <si>
    <t>8時00分～16時00分</t>
    <phoneticPr fontId="28"/>
  </si>
  <si>
    <t>6/19（金）16時頃</t>
    <rPh sb="5" eb="6">
      <t>キン</t>
    </rPh>
    <phoneticPr fontId="28"/>
  </si>
  <si>
    <t>6/20（土）16時頃</t>
    <rPh sb="5" eb="6">
      <t>ド</t>
    </rPh>
    <phoneticPr fontId="28"/>
  </si>
  <si>
    <t>6/21（日）16時頃</t>
    <rPh sb="5" eb="6">
      <t>ヒ</t>
    </rPh>
    <phoneticPr fontId="28"/>
  </si>
  <si>
    <t>6/20（土）実績</t>
    <rPh sb="5" eb="6">
      <t>ド</t>
    </rPh>
    <rPh sb="7" eb="9">
      <t>ジッセキ</t>
    </rPh>
    <phoneticPr fontId="28"/>
  </si>
  <si>
    <t>6/21（日）実績</t>
    <rPh sb="5" eb="6">
      <t>ニチ</t>
    </rPh>
    <rPh sb="7" eb="9">
      <t>ジッセキ</t>
    </rPh>
    <phoneticPr fontId="28"/>
  </si>
  <si>
    <t>6/22（月）実績</t>
    <rPh sb="5" eb="6">
      <t>ゲツ</t>
    </rPh>
    <rPh sb="7" eb="9">
      <t>ジッセキ</t>
    </rPh>
    <phoneticPr fontId="28"/>
  </si>
  <si>
    <t>10時00分～14時00分</t>
    <phoneticPr fontId="28"/>
  </si>
  <si>
    <t>7/16（木）16時頃</t>
    <rPh sb="5" eb="6">
      <t>モク</t>
    </rPh>
    <phoneticPr fontId="28"/>
  </si>
  <si>
    <t>7/18（土）16時頃</t>
    <rPh sb="5" eb="6">
      <t>ド</t>
    </rPh>
    <phoneticPr fontId="28"/>
  </si>
  <si>
    <t>7/17（金）実績</t>
    <rPh sb="5" eb="6">
      <t>キン</t>
    </rPh>
    <rPh sb="7" eb="9">
      <t>ジッセキ</t>
    </rPh>
    <phoneticPr fontId="28"/>
  </si>
  <si>
    <t>7/19（日）実績</t>
    <rPh sb="5" eb="6">
      <t>ニチ</t>
    </rPh>
    <rPh sb="7" eb="9">
      <t>ジッセキ</t>
    </rPh>
    <phoneticPr fontId="28"/>
  </si>
  <si>
    <t xml:space="preserve">  (参考) 2020年7月末設備量　1,049万kW（太陽光：990万kW、風力：59万kW）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5" eb="36">
      <t>マン</t>
    </rPh>
    <rPh sb="39" eb="41">
      <t>フウリョク</t>
    </rPh>
    <rPh sb="44" eb="45">
      <t>マン</t>
    </rPh>
    <phoneticPr fontId="6"/>
  </si>
  <si>
    <t>9/26（土）16時頃</t>
    <rPh sb="5" eb="6">
      <t>ド</t>
    </rPh>
    <phoneticPr fontId="28"/>
  </si>
  <si>
    <t>[万kW]</t>
    <phoneticPr fontId="28"/>
  </si>
  <si>
    <t>9/27（日）実績</t>
    <rPh sb="5" eb="6">
      <t>ヒ</t>
    </rPh>
    <rPh sb="7" eb="9">
      <t>ジッセキ</t>
    </rPh>
    <phoneticPr fontId="28"/>
  </si>
  <si>
    <t>10/17（土）16時頃</t>
    <rPh sb="6" eb="7">
      <t>ド</t>
    </rPh>
    <phoneticPr fontId="28"/>
  </si>
  <si>
    <t>10/18（日）実績</t>
    <rPh sb="6" eb="7">
      <t>ヒ</t>
    </rPh>
    <rPh sb="8" eb="10">
      <t>ジッセキ</t>
    </rPh>
    <phoneticPr fontId="28"/>
  </si>
  <si>
    <t>10/23（金）16時頃</t>
    <rPh sb="6" eb="7">
      <t>キン</t>
    </rPh>
    <phoneticPr fontId="28"/>
  </si>
  <si>
    <t>10/24（土）16時頃</t>
    <phoneticPr fontId="28"/>
  </si>
  <si>
    <t>10/24（土）実績</t>
    <rPh sb="8" eb="10">
      <t>ジッセキ</t>
    </rPh>
    <phoneticPr fontId="28"/>
  </si>
  <si>
    <t>10/25（日）実績</t>
    <rPh sb="6" eb="7">
      <t>ヒ</t>
    </rPh>
    <rPh sb="8" eb="10">
      <t>ジッセキ</t>
    </rPh>
    <phoneticPr fontId="28"/>
  </si>
  <si>
    <t>10時30分～13時30分</t>
    <phoneticPr fontId="28"/>
  </si>
  <si>
    <t>10/30（金）16時頃</t>
    <rPh sb="6" eb="7">
      <t>キン</t>
    </rPh>
    <phoneticPr fontId="28"/>
  </si>
  <si>
    <t xml:space="preserve">  (参考) 2020年9月末設備量　1,057万kW（太陽光：998万kW、風力：59万kW）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5" eb="36">
      <t>マン</t>
    </rPh>
    <rPh sb="39" eb="41">
      <t>フウリョク</t>
    </rPh>
    <rPh sb="44" eb="45">
      <t>マン</t>
    </rPh>
    <phoneticPr fontId="6"/>
  </si>
  <si>
    <t>10/31（土）実績</t>
    <rPh sb="8" eb="10">
      <t>ジッセキ</t>
    </rPh>
    <phoneticPr fontId="28"/>
  </si>
  <si>
    <t>12/5（土）16時頃</t>
    <rPh sb="5" eb="6">
      <t>ド</t>
    </rPh>
    <phoneticPr fontId="28"/>
  </si>
  <si>
    <t>12/6（日）実績</t>
    <rPh sb="5" eb="6">
      <t>ヒ</t>
    </rPh>
    <rPh sb="7" eb="9">
      <t>ジッセキ</t>
    </rPh>
    <phoneticPr fontId="28"/>
  </si>
  <si>
    <t>1/2（土）16時頃</t>
    <rPh sb="4" eb="5">
      <t>ド</t>
    </rPh>
    <phoneticPr fontId="28"/>
  </si>
  <si>
    <t>1/3（日）実績</t>
    <rPh sb="4" eb="5">
      <t>ヒ</t>
    </rPh>
    <rPh sb="6" eb="8">
      <t>ジッセキ</t>
    </rPh>
    <phoneticPr fontId="28"/>
  </si>
  <si>
    <t>12時00分～13時30分</t>
    <phoneticPr fontId="28"/>
  </si>
  <si>
    <t>1/30（土）16時頃</t>
    <rPh sb="5" eb="6">
      <t>ド</t>
    </rPh>
    <phoneticPr fontId="28"/>
  </si>
  <si>
    <t xml:space="preserve">  (参考) 2020年12月末設備量　1,070万kW（太陽光：1,011万kW、風力：59万kW）</t>
    <rPh sb="3" eb="5">
      <t>サンコウ</t>
    </rPh>
    <rPh sb="11" eb="12">
      <t>ネン</t>
    </rPh>
    <rPh sb="14" eb="16">
      <t>ガツマツ</t>
    </rPh>
    <rPh sb="16" eb="18">
      <t>セツビ</t>
    </rPh>
    <rPh sb="18" eb="19">
      <t>リョウ</t>
    </rPh>
    <rPh sb="25" eb="26">
      <t>マン</t>
    </rPh>
    <rPh sb="29" eb="32">
      <t>タイヨウコウ</t>
    </rPh>
    <rPh sb="38" eb="39">
      <t>マン</t>
    </rPh>
    <rPh sb="42" eb="44">
      <t>フウリョク</t>
    </rPh>
    <rPh sb="47" eb="48">
      <t>マン</t>
    </rPh>
    <phoneticPr fontId="6"/>
  </si>
  <si>
    <t>1/31（日）実績</t>
    <rPh sb="5" eb="6">
      <t>ヒ</t>
    </rPh>
    <rPh sb="7" eb="9">
      <t>ジッセキ</t>
    </rPh>
    <phoneticPr fontId="28"/>
  </si>
  <si>
    <t>2/6（土）16時頃</t>
    <rPh sb="4" eb="5">
      <t>ド</t>
    </rPh>
    <phoneticPr fontId="28"/>
  </si>
  <si>
    <t>2/7（日）実績</t>
    <rPh sb="4" eb="5">
      <t>ヒ</t>
    </rPh>
    <rPh sb="6" eb="8">
      <t>ジッセキ</t>
    </rPh>
    <phoneticPr fontId="28"/>
  </si>
  <si>
    <t>2/9 (火) 16時頃</t>
  </si>
  <si>
    <t>12時00分</t>
  </si>
  <si>
    <t>2/10（水）実績</t>
    <rPh sb="5" eb="6">
      <t>ミズ</t>
    </rPh>
    <rPh sb="7" eb="9">
      <t>ジッセキ</t>
    </rPh>
    <phoneticPr fontId="28"/>
  </si>
  <si>
    <t>2/15 (月) 16時頃</t>
    <rPh sb="6" eb="7">
      <t>ツキ</t>
    </rPh>
    <phoneticPr fontId="28"/>
  </si>
  <si>
    <t>2/16（火）実績</t>
    <rPh sb="5" eb="6">
      <t>カ</t>
    </rPh>
    <rPh sb="7" eb="9">
      <t>ジッセキ</t>
    </rPh>
    <phoneticPr fontId="28"/>
  </si>
  <si>
    <t>2/19 (金) 16時頃</t>
  </si>
  <si>
    <t>2/20 (土)</t>
  </si>
  <si>
    <t>12時30分</t>
  </si>
  <si>
    <t>2/20（土）実績</t>
    <rPh sb="5" eb="6">
      <t>ド</t>
    </rPh>
    <rPh sb="7" eb="9">
      <t>ジッセキ</t>
    </rPh>
    <phoneticPr fontId="28"/>
  </si>
  <si>
    <t>2/20 (土) 16時頃</t>
    <rPh sb="6" eb="7">
      <t>ド</t>
    </rPh>
    <phoneticPr fontId="28"/>
  </si>
  <si>
    <t>2/21 (日)</t>
    <rPh sb="6" eb="7">
      <t>ニチ</t>
    </rPh>
    <phoneticPr fontId="28"/>
  </si>
  <si>
    <t>～</t>
    <phoneticPr fontId="28"/>
  </si>
  <si>
    <t>2/21（日）実績</t>
    <rPh sb="5" eb="6">
      <t>ニチ</t>
    </rPh>
    <rPh sb="7" eb="9">
      <t>ジッセキ</t>
    </rPh>
    <phoneticPr fontId="28"/>
  </si>
  <si>
    <t>2/21 (日) 16時頃</t>
    <rPh sb="6" eb="7">
      <t>ニチ</t>
    </rPh>
    <phoneticPr fontId="28"/>
  </si>
  <si>
    <t>2/22 (月) 16時頃</t>
  </si>
  <si>
    <t xml:space="preserve">  (参考) 2021年1月末設備量　1,077万kW（太陽光：1,018万kW、風力：59万kW）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</si>
  <si>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>11時30分～14時00分</t>
    <phoneticPr fontId="28"/>
  </si>
  <si>
    <t/>
  </si>
  <si>
    <t>　※需給日3月3日（水）に対する前日指示において、供給力の計上ミスがあったため</t>
    <rPh sb="2" eb="4">
      <t>ジュキュウ</t>
    </rPh>
    <rPh sb="4" eb="5">
      <t>ビ</t>
    </rPh>
    <rPh sb="6" eb="7">
      <t>ガツ</t>
    </rPh>
    <rPh sb="8" eb="9">
      <t>ニチ</t>
    </rPh>
    <rPh sb="10" eb="11">
      <t>スイ</t>
    </rPh>
    <rPh sb="13" eb="14">
      <t>タイ</t>
    </rPh>
    <rPh sb="16" eb="18">
      <t>ゼンジツ</t>
    </rPh>
    <rPh sb="18" eb="20">
      <t>シジ</t>
    </rPh>
    <rPh sb="25" eb="28">
      <t>キョウキュウリョク</t>
    </rPh>
    <rPh sb="29" eb="31">
      <t>ケイジョウ</t>
    </rPh>
    <phoneticPr fontId="28"/>
  </si>
  <si>
    <t>　　修正</t>
    <rPh sb="2" eb="4">
      <t>シュウセイ</t>
    </rPh>
    <phoneticPr fontId="28"/>
  </si>
  <si>
    <t>『再生可能エネルギーの固定価格買取制度』に基づく再エネ出力制御指示に関する報告</t>
  </si>
  <si>
    <t>2021年度実績</t>
    <rPh sb="4" eb="6">
      <t>ネンド</t>
    </rPh>
    <rPh sb="6" eb="8">
      <t>ジッセキ</t>
    </rPh>
    <phoneticPr fontId="7"/>
  </si>
  <si>
    <r>
      <t>通し番号</t>
    </r>
    <r>
      <rPr>
        <vertAlign val="superscript"/>
        <sz val="18"/>
        <rFont val="ＭＳ ゴシック"/>
        <family val="3"/>
        <charset val="128"/>
      </rPr>
      <t>（注1）</t>
    </r>
    <rPh sb="0" eb="1">
      <t>トオ</t>
    </rPh>
    <rPh sb="2" eb="4">
      <t>バンゴウ</t>
    </rPh>
    <rPh sb="5" eb="6">
      <t>チュウ</t>
    </rPh>
    <phoneticPr fontId="7"/>
  </si>
  <si>
    <t>（前日指示）</t>
    <phoneticPr fontId="28"/>
  </si>
  <si>
    <t>（当日指示）</t>
    <rPh sb="1" eb="3">
      <t>トウジツ</t>
    </rPh>
    <phoneticPr fontId="28"/>
  </si>
  <si>
    <t>（速報）</t>
    <rPh sb="1" eb="3">
      <t>ソクホウ</t>
    </rPh>
    <phoneticPr fontId="3"/>
  </si>
  <si>
    <t>出力制御なし</t>
    <phoneticPr fontId="28"/>
  </si>
  <si>
    <r>
      <t>出力制御なし</t>
    </r>
    <r>
      <rPr>
        <vertAlign val="superscript"/>
        <sz val="18"/>
        <rFont val="ＭＳ ゴシック"/>
        <family val="3"/>
        <charset val="128"/>
      </rPr>
      <t>(注6)</t>
    </r>
    <rPh sb="7" eb="8">
      <t>チュウ</t>
    </rPh>
    <phoneticPr fontId="28"/>
  </si>
  <si>
    <r>
      <t>出力制御なし</t>
    </r>
    <r>
      <rPr>
        <vertAlign val="superscript"/>
        <sz val="18"/>
        <rFont val="ＭＳ ゴシック"/>
        <family val="3"/>
        <charset val="128"/>
      </rPr>
      <t>(注7)</t>
    </r>
    <rPh sb="7" eb="8">
      <t>チュウ</t>
    </rPh>
    <phoneticPr fontId="28"/>
  </si>
  <si>
    <r>
      <t>出力制御なし</t>
    </r>
    <r>
      <rPr>
        <vertAlign val="superscript"/>
        <sz val="18"/>
        <rFont val="ＭＳ ゴシック"/>
        <family val="3"/>
        <charset val="128"/>
      </rPr>
      <t>(注7)</t>
    </r>
    <phoneticPr fontId="28"/>
  </si>
  <si>
    <t>9時30分～14時30分</t>
    <phoneticPr fontId="28"/>
  </si>
  <si>
    <t>12時00分～15時30分</t>
    <phoneticPr fontId="28"/>
  </si>
  <si>
    <t>8時00分～17時00分</t>
    <phoneticPr fontId="28"/>
  </si>
  <si>
    <t>9時00分～15時30分</t>
    <phoneticPr fontId="28"/>
  </si>
  <si>
    <t>10時00分～16時00分</t>
    <phoneticPr fontId="28"/>
  </si>
  <si>
    <t>9時00分～14時00分</t>
    <phoneticPr fontId="28"/>
  </si>
  <si>
    <t>8時00分～16時30分</t>
    <phoneticPr fontId="28"/>
  </si>
  <si>
    <t>13時00分～16時00分</t>
    <phoneticPr fontId="28"/>
  </si>
  <si>
    <t>11時30分～15時00分</t>
    <phoneticPr fontId="28"/>
  </si>
  <si>
    <t>7時30分～17時00分</t>
    <phoneticPr fontId="28"/>
  </si>
  <si>
    <t>9時00分～15時00分</t>
    <phoneticPr fontId="28"/>
  </si>
  <si>
    <t>9時30分～15時00分</t>
    <phoneticPr fontId="28"/>
  </si>
  <si>
    <t>8時30分～16時30分</t>
    <phoneticPr fontId="28"/>
  </si>
  <si>
    <t>9時00分～12時00分</t>
    <phoneticPr fontId="28"/>
  </si>
  <si>
    <t>9時30分～12時30分</t>
    <phoneticPr fontId="28"/>
  </si>
  <si>
    <t>9時30分～13時00分</t>
    <phoneticPr fontId="28"/>
  </si>
  <si>
    <t>11時30分～13時30分</t>
    <phoneticPr fontId="28"/>
  </si>
  <si>
    <t>11時00分～13時30分</t>
    <phoneticPr fontId="28"/>
  </si>
  <si>
    <t>10時00分～13時30分</t>
    <phoneticPr fontId="28"/>
  </si>
  <si>
    <t>12時00分～13時00分</t>
    <phoneticPr fontId="28"/>
  </si>
  <si>
    <t>10時30分～14時30分</t>
    <phoneticPr fontId="28"/>
  </si>
  <si>
    <t>10時30分～15時00分</t>
    <phoneticPr fontId="28"/>
  </si>
  <si>
    <t>11時30分～14時30分</t>
    <phoneticPr fontId="28"/>
  </si>
  <si>
    <t>12時00分～14時00分</t>
    <phoneticPr fontId="28"/>
  </si>
  <si>
    <t>12時30分～14時00分</t>
    <phoneticPr fontId="28"/>
  </si>
  <si>
    <t>10時00分～14時30分</t>
    <phoneticPr fontId="28"/>
  </si>
  <si>
    <t>13時00分～14時30分</t>
    <phoneticPr fontId="28"/>
  </si>
  <si>
    <r>
      <t>244</t>
    </r>
    <r>
      <rPr>
        <vertAlign val="superscript"/>
        <sz val="18"/>
        <rFont val="ＭＳ ゴシック"/>
        <family val="3"/>
        <charset val="128"/>
      </rPr>
      <t>※2</t>
    </r>
    <phoneticPr fontId="28"/>
  </si>
  <si>
    <r>
      <t>エリア需要</t>
    </r>
    <r>
      <rPr>
        <vertAlign val="superscript"/>
        <sz val="18"/>
        <rFont val="ＭＳ ゴシック"/>
        <family val="3"/>
        <charset val="128"/>
      </rPr>
      <t>(注1)</t>
    </r>
    <rPh sb="3" eb="5">
      <t>ジュヨウ</t>
    </rPh>
    <rPh sb="6" eb="7">
      <t>チュウ</t>
    </rPh>
    <phoneticPr fontId="7"/>
  </si>
  <si>
    <r>
      <t>大容量蓄電池の充電
・揚水運転</t>
    </r>
    <r>
      <rPr>
        <vertAlign val="superscript"/>
        <sz val="18"/>
        <rFont val="ＭＳ ゴシック"/>
        <family val="3"/>
        <charset val="128"/>
      </rPr>
      <t>(注2)</t>
    </r>
    <rPh sb="0" eb="3">
      <t>ダイヨウリョウ</t>
    </rPh>
    <rPh sb="3" eb="6">
      <t>チクデンチ</t>
    </rPh>
    <rPh sb="7" eb="9">
      <t>ジュウデン</t>
    </rPh>
    <rPh sb="16" eb="17">
      <t>チュウ</t>
    </rPh>
    <phoneticPr fontId="7"/>
  </si>
  <si>
    <r>
      <t>域外送電</t>
    </r>
    <r>
      <rPr>
        <vertAlign val="superscript"/>
        <sz val="18"/>
        <rFont val="ＭＳ ゴシック"/>
        <family val="3"/>
        <charset val="128"/>
      </rPr>
      <t>(注3)</t>
    </r>
    <rPh sb="0" eb="2">
      <t>イキガイ</t>
    </rPh>
    <rPh sb="2" eb="4">
      <t>ソウデン</t>
    </rPh>
    <rPh sb="5" eb="6">
      <t>チュウ</t>
    </rPh>
    <phoneticPr fontId="7"/>
  </si>
  <si>
    <r>
      <t>供給力</t>
    </r>
    <r>
      <rPr>
        <vertAlign val="superscript"/>
        <sz val="18"/>
        <rFont val="ＭＳ ゴシック"/>
        <family val="3"/>
        <charset val="128"/>
      </rPr>
      <t>(注4)</t>
    </r>
    <rPh sb="0" eb="3">
      <t>キョウキュウリョク</t>
    </rPh>
    <phoneticPr fontId="7"/>
  </si>
  <si>
    <r>
      <t>1355</t>
    </r>
    <r>
      <rPr>
        <vertAlign val="superscript"/>
        <sz val="18"/>
        <rFont val="ＭＳ ゴシック"/>
        <family val="3"/>
        <charset val="128"/>
      </rPr>
      <t>※2</t>
    </r>
    <phoneticPr fontId="28"/>
  </si>
  <si>
    <t>(注5)</t>
    <phoneticPr fontId="6"/>
  </si>
  <si>
    <t>(注1)最大余剰電力発生時刻におけるエリア需要</t>
    <rPh sb="1" eb="2">
      <t>チュウ</t>
    </rPh>
    <rPh sb="4" eb="6">
      <t>サイダイ</t>
    </rPh>
    <rPh sb="6" eb="8">
      <t>ヨジョウ</t>
    </rPh>
    <rPh sb="8" eb="10">
      <t>デンリョク</t>
    </rPh>
    <rPh sb="10" eb="12">
      <t>ハッセイ</t>
    </rPh>
    <rPh sb="12" eb="14">
      <t>ジコク</t>
    </rPh>
    <rPh sb="21" eb="23">
      <t>ジュヨウ</t>
    </rPh>
    <phoneticPr fontId="7"/>
  </si>
  <si>
    <t>(注1)前日に制御指示を行うものの、当日の需給状況により出力制御を</t>
    <rPh sb="1" eb="2">
      <t>チュウ</t>
    </rPh>
    <rPh sb="4" eb="6">
      <t>ゼンジツ</t>
    </rPh>
    <rPh sb="7" eb="9">
      <t>セイギョ</t>
    </rPh>
    <rPh sb="9" eb="11">
      <t>シジ</t>
    </rPh>
    <rPh sb="12" eb="13">
      <t>オコナ</t>
    </rPh>
    <rPh sb="18" eb="20">
      <t>トウジツ</t>
    </rPh>
    <rPh sb="21" eb="23">
      <t>ジュキュウ</t>
    </rPh>
    <rPh sb="23" eb="25">
      <t>ジョウキョウ</t>
    </rPh>
    <rPh sb="28" eb="30">
      <t>シュツリョク</t>
    </rPh>
    <rPh sb="30" eb="32">
      <t>セイギョ</t>
    </rPh>
    <phoneticPr fontId="7"/>
  </si>
  <si>
    <t>(注2)揚水発電所を最大限活用</t>
    <rPh sb="1" eb="2">
      <t>チュウ</t>
    </rPh>
    <rPh sb="4" eb="6">
      <t>ヨウスイ</t>
    </rPh>
    <rPh sb="6" eb="8">
      <t>ハツデン</t>
    </rPh>
    <rPh sb="8" eb="9">
      <t>ショ</t>
    </rPh>
    <rPh sb="10" eb="13">
      <t>サイダイゲン</t>
    </rPh>
    <rPh sb="13" eb="15">
      <t>カツヨウ</t>
    </rPh>
    <phoneticPr fontId="7"/>
  </si>
  <si>
    <t>　　 実施しない場合もあるため、制御を実施した日数とは一致しない</t>
    <rPh sb="3" eb="5">
      <t>ジッシ</t>
    </rPh>
    <rPh sb="8" eb="10">
      <t>バアイ</t>
    </rPh>
    <rPh sb="16" eb="18">
      <t>セイギョ</t>
    </rPh>
    <rPh sb="19" eb="21">
      <t>ジッシ</t>
    </rPh>
    <rPh sb="23" eb="25">
      <t>ニッスウ</t>
    </rPh>
    <rPh sb="27" eb="29">
      <t>イッチ</t>
    </rPh>
    <phoneticPr fontId="28"/>
  </si>
  <si>
    <t>(注3)関門連系線を最大限活用し、域外へ送電</t>
    <rPh sb="1" eb="2">
      <t>チュウ</t>
    </rPh>
    <rPh sb="4" eb="6">
      <t>カンモン</t>
    </rPh>
    <rPh sb="6" eb="8">
      <t>レンケイ</t>
    </rPh>
    <rPh sb="8" eb="9">
      <t>セン</t>
    </rPh>
    <rPh sb="10" eb="13">
      <t>サイダイゲン</t>
    </rPh>
    <rPh sb="13" eb="15">
      <t>カツヨウ</t>
    </rPh>
    <rPh sb="17" eb="19">
      <t>イキガイ</t>
    </rPh>
    <rPh sb="20" eb="22">
      <t>ソウデン</t>
    </rPh>
    <phoneticPr fontId="7"/>
  </si>
  <si>
    <t>(注4)優先給電ルールに基づき火力発電等を最大限抑制</t>
    <rPh sb="1" eb="2">
      <t>チュウ</t>
    </rPh>
    <rPh sb="4" eb="6">
      <t>ユウセン</t>
    </rPh>
    <rPh sb="6" eb="8">
      <t>キュウデン</t>
    </rPh>
    <rPh sb="12" eb="13">
      <t>モト</t>
    </rPh>
    <rPh sb="15" eb="17">
      <t>カリョク</t>
    </rPh>
    <rPh sb="17" eb="19">
      <t>ハツデン</t>
    </rPh>
    <rPh sb="19" eb="20">
      <t>トウ</t>
    </rPh>
    <rPh sb="21" eb="24">
      <t>サイダイゲン</t>
    </rPh>
    <rPh sb="24" eb="26">
      <t>ヨクセイ</t>
    </rPh>
    <phoneticPr fontId="7"/>
  </si>
  <si>
    <t>(注5)最大誤差相当を考慮した予想需給状況【当日見直す場合は、10時に公表】</t>
    <rPh sb="1" eb="2">
      <t>チュウ</t>
    </rPh>
    <rPh sb="4" eb="6">
      <t>サイダイ</t>
    </rPh>
    <rPh sb="6" eb="8">
      <t>ゴサ</t>
    </rPh>
    <rPh sb="8" eb="10">
      <t>ソウトウ</t>
    </rPh>
    <rPh sb="11" eb="13">
      <t>コウリョ</t>
    </rPh>
    <rPh sb="15" eb="17">
      <t>ヨソウ</t>
    </rPh>
    <rPh sb="17" eb="19">
      <t>ジュキュウ</t>
    </rPh>
    <rPh sb="19" eb="21">
      <t>ジョウキョウ</t>
    </rPh>
    <rPh sb="22" eb="24">
      <t>トウジツ</t>
    </rPh>
    <rPh sb="24" eb="26">
      <t>ミナオ</t>
    </rPh>
    <rPh sb="27" eb="29">
      <t>バアイ</t>
    </rPh>
    <rPh sb="33" eb="34">
      <t>ジ</t>
    </rPh>
    <rPh sb="35" eb="37">
      <t>コウヒョウ</t>
    </rPh>
    <phoneticPr fontId="7"/>
  </si>
  <si>
    <t>(注6)専焼バイオマスの出力制御なし</t>
    <rPh sb="1" eb="2">
      <t>チュウ</t>
    </rPh>
    <rPh sb="4" eb="6">
      <t>センショウ</t>
    </rPh>
    <rPh sb="12" eb="14">
      <t>シュツリョク</t>
    </rPh>
    <rPh sb="14" eb="16">
      <t>セイギョ</t>
    </rPh>
    <phoneticPr fontId="7"/>
  </si>
  <si>
    <t xml:space="preserve">  (参考) 2021年2月末設備量　1,084万kW（太陽光：1,025万kW、風力：59万kW）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</si>
  <si>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2021年3月末設備量　1,088万kW（太陽光：1,029万kW、風力：59万kW）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</si>
  <si>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2021年4月末設備量　1,089万kW（太陽光：1,030万kW、風力：59万kW）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</si>
  <si>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2021年5月末設備量　1,094万kW（太陽光：1,035万kW、風力：59万kW）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</si>
  <si>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2021年7月末設備量　1,111万kW（太陽光：1,049万kW、風力：62万kW）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</si>
  <si>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2021年8月末設備量　1,119万kW（太陽光：1,056万kW、風力：63万kW）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</si>
  <si>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2021年9月末設備量　1,123万kW（太陽光：1,060万kW、風力：63万kW）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</si>
  <si>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2021年10月末設備量　1,126万kW（太陽光：1,063万kW、風力：63万kW）</t>
    <rPh sb="3" eb="5">
      <t>サンコウ</t>
    </rPh>
    <rPh sb="11" eb="12">
      <t>ネン</t>
    </rPh>
    <rPh sb="14" eb="16">
      <t>ガツマツ</t>
    </rPh>
    <rPh sb="16" eb="18">
      <t>セツビ</t>
    </rPh>
    <rPh sb="18" eb="19">
      <t>リョウ</t>
    </rPh>
    <rPh sb="25" eb="26">
      <t>マン</t>
    </rPh>
    <rPh sb="29" eb="32">
      <t>タイヨウコウ</t>
    </rPh>
    <rPh sb="38" eb="39">
      <t>マン</t>
    </rPh>
    <rPh sb="42" eb="44">
      <t>フウリョク</t>
    </rPh>
    <rPh sb="47" eb="48">
      <t>マン</t>
    </rPh>
    <phoneticPr fontId="6"/>
  </si>
  <si>
    <t xml:space="preserve">  (参考) 2021年11月末設備量　1,129万kW（太陽光：1,066万kW、風力：63万kW）</t>
    <rPh sb="3" eb="5">
      <t>サンコウ</t>
    </rPh>
    <rPh sb="11" eb="12">
      <t>ネン</t>
    </rPh>
    <rPh sb="14" eb="16">
      <t>ガツマツ</t>
    </rPh>
    <rPh sb="16" eb="18">
      <t>セツビ</t>
    </rPh>
    <rPh sb="18" eb="19">
      <t>リョウ</t>
    </rPh>
    <rPh sb="25" eb="26">
      <t>マン</t>
    </rPh>
    <rPh sb="29" eb="32">
      <t>タイヨウコウ</t>
    </rPh>
    <rPh sb="38" eb="39">
      <t>マン</t>
    </rPh>
    <rPh sb="42" eb="44">
      <t>フウリョク</t>
    </rPh>
    <rPh sb="47" eb="48">
      <t>マン</t>
    </rPh>
    <phoneticPr fontId="6"/>
  </si>
  <si>
    <t xml:space="preserve">  (参考) 2021年12月末設備量　1,137万kW（太陽光：1,074万kW、風力：63万kW）</t>
    <rPh sb="3" eb="5">
      <t>サンコウ</t>
    </rPh>
    <rPh sb="11" eb="12">
      <t>ネン</t>
    </rPh>
    <rPh sb="14" eb="16">
      <t>ガツマツ</t>
    </rPh>
    <rPh sb="16" eb="18">
      <t>セツビ</t>
    </rPh>
    <rPh sb="18" eb="19">
      <t>リョウ</t>
    </rPh>
    <rPh sb="25" eb="26">
      <t>マン</t>
    </rPh>
    <rPh sb="29" eb="32">
      <t>タイヨウコウ</t>
    </rPh>
    <rPh sb="38" eb="39">
      <t>マン</t>
    </rPh>
    <rPh sb="42" eb="44">
      <t>フウリョク</t>
    </rPh>
    <rPh sb="47" eb="48">
      <t>マン</t>
    </rPh>
    <phoneticPr fontId="6"/>
  </si>
  <si>
    <t xml:space="preserve">  (参考) 2022年1月末設備量　1,144万kW（太陽光：1,081万kW、風力：63万kW）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</si>
  <si>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>※ オフライン制御で確保する制御量</t>
    <rPh sb="7" eb="9">
      <t>セイギョ</t>
    </rPh>
    <rPh sb="10" eb="12">
      <t>カクホ</t>
    </rPh>
    <rPh sb="14" eb="16">
      <t>セイギョ</t>
    </rPh>
    <rPh sb="16" eb="17">
      <t>リョウ</t>
    </rPh>
    <phoneticPr fontId="6"/>
  </si>
  <si>
    <t>　※2 需給日10月31日（日）に対する前日指示において、供給力の計上ミスがあった</t>
    <rPh sb="4" eb="6">
      <t>ジュキュウ</t>
    </rPh>
    <rPh sb="6" eb="7">
      <t>ビ</t>
    </rPh>
    <rPh sb="9" eb="10">
      <t>ガツ</t>
    </rPh>
    <rPh sb="12" eb="13">
      <t>ニチ</t>
    </rPh>
    <rPh sb="14" eb="15">
      <t>ニチ</t>
    </rPh>
    <rPh sb="17" eb="18">
      <t>タイ</t>
    </rPh>
    <rPh sb="20" eb="22">
      <t>ゼンジツ</t>
    </rPh>
    <rPh sb="22" eb="24">
      <t>シジ</t>
    </rPh>
    <rPh sb="29" eb="32">
      <t>キョウキュウリョク</t>
    </rPh>
    <rPh sb="33" eb="35">
      <t>ケイジョウ</t>
    </rPh>
    <phoneticPr fontId="28"/>
  </si>
  <si>
    <t>　　　ため修正</t>
    <rPh sb="5" eb="7">
      <t>シュウセイ</t>
    </rPh>
    <phoneticPr fontId="28"/>
  </si>
  <si>
    <t>2022年度実績</t>
    <rPh sb="4" eb="6">
      <t>ネンド</t>
    </rPh>
    <rPh sb="6" eb="8">
      <t>ジッセキ</t>
    </rPh>
    <phoneticPr fontId="7"/>
  </si>
  <si>
    <t>（速報）</t>
    <rPh sb="1" eb="3">
      <t>ソクホウ</t>
    </rPh>
    <phoneticPr fontId="5"/>
  </si>
  <si>
    <r>
      <t>86</t>
    </r>
    <r>
      <rPr>
        <vertAlign val="superscript"/>
        <sz val="18"/>
        <rFont val="ＭＳ ゴシック"/>
        <family val="3"/>
        <charset val="128"/>
      </rPr>
      <t>※</t>
    </r>
    <phoneticPr fontId="6"/>
  </si>
  <si>
    <t>8時00分～17時00分</t>
    <phoneticPr fontId="6"/>
  </si>
  <si>
    <t>（速報）</t>
    <rPh sb="1" eb="3">
      <t>ソクホウ</t>
    </rPh>
    <phoneticPr fontId="2"/>
  </si>
  <si>
    <t>（前日指示）</t>
    <phoneticPr fontId="6"/>
  </si>
  <si>
    <t>出力制御なし</t>
    <rPh sb="0" eb="4">
      <t>シュツリョクセイギョ</t>
    </rPh>
    <phoneticPr fontId="28"/>
  </si>
  <si>
    <t>11時30分～15時30分</t>
    <phoneticPr fontId="6"/>
  </si>
  <si>
    <t>11時30分～15時00分</t>
    <rPh sb="2" eb="3">
      <t>ジ</t>
    </rPh>
    <rPh sb="5" eb="6">
      <t>フン</t>
    </rPh>
    <rPh sb="9" eb="10">
      <t>ジ</t>
    </rPh>
    <rPh sb="12" eb="13">
      <t>フン</t>
    </rPh>
    <phoneticPr fontId="6"/>
  </si>
  <si>
    <t>8時00分～16時00分</t>
    <rPh sb="1" eb="2">
      <t>ジ</t>
    </rPh>
    <rPh sb="4" eb="5">
      <t>フン</t>
    </rPh>
    <rPh sb="8" eb="9">
      <t>ジ</t>
    </rPh>
    <rPh sb="11" eb="12">
      <t>フン</t>
    </rPh>
    <phoneticPr fontId="6"/>
  </si>
  <si>
    <t>10時00分～14時30分</t>
    <phoneticPr fontId="6"/>
  </si>
  <si>
    <t>10時30分～15時00分</t>
    <phoneticPr fontId="6"/>
  </si>
  <si>
    <t>9時00分～16時30分</t>
    <phoneticPr fontId="6"/>
  </si>
  <si>
    <t>9時30分～15時30分</t>
    <phoneticPr fontId="6"/>
  </si>
  <si>
    <t>10時30分～15時30分</t>
    <phoneticPr fontId="6"/>
  </si>
  <si>
    <t>10時30分～14時30分</t>
    <phoneticPr fontId="6"/>
  </si>
  <si>
    <t>8時00分～16時30分</t>
    <phoneticPr fontId="6"/>
  </si>
  <si>
    <t>11時30分～14時00分</t>
    <phoneticPr fontId="6"/>
  </si>
  <si>
    <t>10時30分～15時30分</t>
  </si>
  <si>
    <t>10時30分～14時00分</t>
    <phoneticPr fontId="6"/>
  </si>
  <si>
    <t>12時30分～13時00分</t>
    <phoneticPr fontId="6"/>
  </si>
  <si>
    <t>12時00分～13時30分</t>
    <phoneticPr fontId="6"/>
  </si>
  <si>
    <t>12時30分～14時00分</t>
    <phoneticPr fontId="6"/>
  </si>
  <si>
    <t>10時30分～16時00分</t>
    <phoneticPr fontId="6"/>
  </si>
  <si>
    <t>11時00分～13時30分</t>
    <phoneticPr fontId="6"/>
  </si>
  <si>
    <t>11時30分～13時30分</t>
    <phoneticPr fontId="6"/>
  </si>
  <si>
    <t>11時00分～14時30分</t>
    <phoneticPr fontId="6"/>
  </si>
  <si>
    <t>11時00分～14時00分</t>
    <phoneticPr fontId="6"/>
  </si>
  <si>
    <t>11時00分～15時00分</t>
    <phoneticPr fontId="6"/>
  </si>
  <si>
    <t>11時30分～14時30分</t>
    <phoneticPr fontId="6"/>
  </si>
  <si>
    <t>12時00分～14時00分</t>
    <phoneticPr fontId="6"/>
  </si>
  <si>
    <t>10時00分～14時00分</t>
    <phoneticPr fontId="6"/>
  </si>
  <si>
    <t>11時00分～13時00分</t>
    <phoneticPr fontId="6"/>
  </si>
  <si>
    <t>10時30分～13時00分</t>
    <phoneticPr fontId="6"/>
  </si>
  <si>
    <t>12時00分～15時00分</t>
    <phoneticPr fontId="6"/>
  </si>
  <si>
    <t>12時00分～13時00分</t>
    <phoneticPr fontId="6"/>
  </si>
  <si>
    <t>11時30分～15時00分</t>
    <phoneticPr fontId="6"/>
  </si>
  <si>
    <t>8時30分～15時00分</t>
    <phoneticPr fontId="6"/>
  </si>
  <si>
    <t>10時30分～14時00分</t>
    <phoneticPr fontId="28"/>
  </si>
  <si>
    <t>8時30分～16時00分</t>
    <phoneticPr fontId="28"/>
  </si>
  <si>
    <t>11時00分～14時30分</t>
    <phoneticPr fontId="28"/>
  </si>
  <si>
    <t xml:space="preserve">  (参考) 2022年10月末設備量　1,196万kW（太陽光：1,133万kW、風力：63万kW）</t>
    <rPh sb="3" eb="5">
      <t>サンコウ</t>
    </rPh>
    <rPh sb="11" eb="12">
      <t>ネン</t>
    </rPh>
    <rPh sb="14" eb="16">
      <t>ガツマツ</t>
    </rPh>
    <rPh sb="16" eb="18">
      <t>セツビ</t>
    </rPh>
    <rPh sb="18" eb="19">
      <t>リョウ</t>
    </rPh>
    <rPh sb="25" eb="26">
      <t>マン</t>
    </rPh>
    <rPh sb="29" eb="32">
      <t>タイヨウコウ</t>
    </rPh>
    <rPh sb="38" eb="39">
      <t>マン</t>
    </rPh>
    <rPh sb="42" eb="44">
      <t>フウリョク</t>
    </rPh>
    <rPh sb="47" eb="48">
      <t>マン</t>
    </rPh>
    <phoneticPr fontId="6"/>
  </si>
  <si>
    <t xml:space="preserve">  (参考) 2022年9月末設備量　1,190万kW（太陽光：1,127万kW、風力：63万kW）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</si>
  <si>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2022年8月末設備量　1,184万kW（太陽光：1,121万kW、風力：63万kW）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</si>
  <si>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2022年7月末設備量　1,181万kW（太陽光：1,118万kW、風力：63万kW）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</si>
  <si>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2022年4月末設備量　1,163万kW（太陽光：1,100万kW、風力：63万kW）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</si>
  <si>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2022年3月末設備量　1,154万kW（太陽光：1,091万kW、風力：63万kW）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</si>
  <si>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 xml:space="preserve">  (参考) 2022年2月末設備量　1,148万kW（太陽光：1,085万kW、風力：63万kW）</t>
    <rPh sb="3" eb="5">
      <t>サンコウ</t>
    </rPh>
    <rPh sb="11" eb="12">
      <t>ネン</t>
    </rPh>
    <rPh sb="13" eb="15">
      <t>ガツマツ</t>
    </rPh>
    <rPh sb="15" eb="17">
      <t>セツビ</t>
    </rPh>
    <rPh sb="17" eb="18">
      <t>リョウ</t>
    </rPh>
    <rPh sb="24" eb="25">
      <t>マン</t>
    </rPh>
    <rPh sb="28" eb="31">
      <t>タイヨウコウ</t>
    </rPh>
    <rPh sb="37" eb="38">
      <t>マン</t>
    </rPh>
    <rPh sb="41" eb="43">
      <t>フウリョク</t>
    </rPh>
    <rPh sb="46" eb="47">
      <t>マン</t>
    </rPh>
    <phoneticPr fontId="6"/>
  </si>
  <si>
    <t>※ 2022年12月1日から九州本土における太陽光発電所のオンライン代理制御（経済的出力制御）開始</t>
    <rPh sb="6" eb="7">
      <t>ネン</t>
    </rPh>
    <rPh sb="9" eb="10">
      <t>ガツ</t>
    </rPh>
    <rPh sb="10" eb="12">
      <t>ツイタチ</t>
    </rPh>
    <rPh sb="14" eb="16">
      <t>キュウシュウ</t>
    </rPh>
    <rPh sb="16" eb="18">
      <t>ホンド</t>
    </rPh>
    <rPh sb="22" eb="25">
      <t>タイヨウコウ</t>
    </rPh>
    <rPh sb="25" eb="27">
      <t>ハツデン</t>
    </rPh>
    <rPh sb="27" eb="28">
      <t>ショ</t>
    </rPh>
    <rPh sb="34" eb="36">
      <t>ダイリ</t>
    </rPh>
    <rPh sb="36" eb="38">
      <t>セイギョ</t>
    </rPh>
    <rPh sb="39" eb="41">
      <t>ケイザイ</t>
    </rPh>
    <rPh sb="41" eb="42">
      <t>テキ</t>
    </rPh>
    <rPh sb="42" eb="44">
      <t>シュツリョク</t>
    </rPh>
    <rPh sb="44" eb="46">
      <t>セイギョ</t>
    </rPh>
    <rPh sb="47" eb="49">
      <t>カイシ</t>
    </rPh>
    <phoneticPr fontId="6"/>
  </si>
  <si>
    <t>『再生可能エネルギーの固定価格買取制度』に基づく再エネ出力制御指示に関する報告（2023年度実績：九州エリア本土）</t>
    <rPh sb="44" eb="46">
      <t>ネンド</t>
    </rPh>
    <rPh sb="46" eb="48">
      <t>ジッセキ</t>
    </rPh>
    <rPh sb="49" eb="51">
      <t>キュウシュウ</t>
    </rPh>
    <rPh sb="54" eb="56">
      <t>ホンド</t>
    </rPh>
    <phoneticPr fontId="28"/>
  </si>
  <si>
    <t>『再生可能エネルギーの固定価格買取制度』に基づく再エネ出力制御指示に関する報告（2023年度実績：九州エリア本土）</t>
    <phoneticPr fontId="28"/>
  </si>
  <si>
    <t>.</t>
    <phoneticPr fontId="28"/>
  </si>
  <si>
    <t>[万kW]</t>
    <rPh sb="1" eb="2">
      <t>マン</t>
    </rPh>
    <phoneticPr fontId="28"/>
  </si>
  <si>
    <t>（速報）</t>
    <rPh sb="1" eb="3">
      <t>ソクホウ</t>
    </rPh>
    <phoneticPr fontId="1"/>
  </si>
  <si>
    <t>（速報）</t>
    <phoneticPr fontId="28"/>
  </si>
  <si>
    <t>出力制御なし</t>
  </si>
  <si>
    <t>10時30分～16時00分</t>
  </si>
  <si>
    <t>11時00分～14時00分</t>
    <phoneticPr fontId="28"/>
  </si>
  <si>
    <t>12時00分～15時00分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</si>
  <si>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10時00分～15時00分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</si>
  <si>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11時00分～16時00分</t>
    <phoneticPr fontId="28"/>
  </si>
  <si>
    <t>9時30分～16時00分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</si>
  <si>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10時30分～15時30分</t>
    <phoneticPr fontId="28"/>
  </si>
  <si>
    <t>11時00分～15時30分</t>
    <phoneticPr fontId="28"/>
  </si>
  <si>
    <t>11:30～14:00</t>
    <phoneticPr fontId="28"/>
  </si>
  <si>
    <t>11時00分～14時30分</t>
  </si>
  <si>
    <t>11時00分～14時00分</t>
  </si>
  <si>
    <t>10時30分～13時30分</t>
    <rPh sb="2" eb="3">
      <t>ジ</t>
    </rPh>
    <rPh sb="5" eb="6">
      <t>フン</t>
    </rPh>
    <rPh sb="9" eb="10">
      <t>ジ</t>
    </rPh>
    <rPh sb="12" eb="13">
      <t>フン</t>
    </rPh>
    <phoneticPr fontId="28"/>
  </si>
  <si>
    <t>10時00分～14時30分</t>
    <rPh sb="2" eb="3">
      <t>ジ</t>
    </rPh>
    <rPh sb="5" eb="6">
      <t>フン</t>
    </rPh>
    <rPh sb="9" eb="10">
      <t>ジ</t>
    </rPh>
    <rPh sb="12" eb="13">
      <t>フン</t>
    </rPh>
    <phoneticPr fontId="28"/>
  </si>
  <si>
    <t>11時00分～12時30分</t>
    <rPh sb="2" eb="3">
      <t>ジ</t>
    </rPh>
    <rPh sb="5" eb="6">
      <t>フン</t>
    </rPh>
    <rPh sb="9" eb="10">
      <t>ジ</t>
    </rPh>
    <rPh sb="12" eb="13">
      <t>フン</t>
    </rPh>
    <phoneticPr fontId="28"/>
  </si>
  <si>
    <t>9時00分～14時00分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</si>
  <si>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10時00分～14時00分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</si>
  <si>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9時00分～14時30分</t>
    <phoneticPr fontId="28"/>
  </si>
  <si>
    <t>8時30分～15時00分</t>
    <phoneticPr fontId="28"/>
  </si>
  <si>
    <t>10時30分～13時00分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</si>
  <si>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8時30分～15時30分</t>
    <phoneticPr fontId="28"/>
  </si>
  <si>
    <t>9時30分～13時30分</t>
    <rPh sb="1" eb="2">
      <t>ジ</t>
    </rPh>
    <rPh sb="4" eb="5">
      <t>フン</t>
    </rPh>
    <rPh sb="8" eb="9">
      <t>ジ</t>
    </rPh>
    <rPh sb="11" eb="12">
      <t>フン</t>
    </rPh>
    <phoneticPr fontId="28"/>
  </si>
  <si>
    <t>9時30分～14時30分</t>
    <rPh sb="1" eb="2">
      <t>ジ</t>
    </rPh>
    <rPh sb="4" eb="5">
      <t>フン</t>
    </rPh>
    <rPh sb="8" eb="9">
      <t>ジ</t>
    </rPh>
    <rPh sb="11" eb="12">
      <t>フン</t>
    </rPh>
    <phoneticPr fontId="28"/>
  </si>
  <si>
    <t>10時00分～13時30分</t>
    <rPh sb="2" eb="3">
      <t>ジ</t>
    </rPh>
    <rPh sb="5" eb="6">
      <t>フン</t>
    </rPh>
    <rPh sb="9" eb="10">
      <t>ジ</t>
    </rPh>
    <rPh sb="12" eb="13">
      <t>フン</t>
    </rPh>
    <phoneticPr fontId="28"/>
  </si>
  <si>
    <t>12時00分～13時00分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</si>
  <si>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9時30分～14時00分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</si>
  <si>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8時30分～15時30分</t>
    <rPh sb="1" eb="2">
      <t>ジ</t>
    </rPh>
    <rPh sb="4" eb="5">
      <t>フン</t>
    </rPh>
    <rPh sb="8" eb="9">
      <t>ジ</t>
    </rPh>
    <rPh sb="11" eb="12">
      <t>フン</t>
    </rPh>
    <phoneticPr fontId="28"/>
  </si>
  <si>
    <t>8時30分～16時00分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</si>
  <si>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9時00分～14時30分</t>
    <rPh sb="1" eb="2">
      <t>ジ</t>
    </rPh>
    <rPh sb="4" eb="5">
      <t>フン</t>
    </rPh>
    <rPh sb="8" eb="9">
      <t>ジ</t>
    </rPh>
    <rPh sb="11" eb="12">
      <t>フン</t>
    </rPh>
    <phoneticPr fontId="28"/>
  </si>
  <si>
    <t>8時00分～16時00分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</si>
  <si>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10時30分～14時30分</t>
    <rPh sb="2" eb="3">
      <t>ジ</t>
    </rPh>
    <rPh sb="5" eb="6">
      <t>フン</t>
    </rPh>
    <rPh sb="9" eb="10">
      <t>ジ</t>
    </rPh>
    <rPh sb="12" eb="13">
      <t>フン</t>
    </rPh>
    <phoneticPr fontId="28"/>
  </si>
  <si>
    <t>8時30分～15時00分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</si>
  <si>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9時00分～15時00分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</si>
  <si>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12時00分～13時30分</t>
    <rPh sb="2" eb="3">
      <t>ジ</t>
    </rPh>
    <rPh sb="5" eb="6">
      <t>フン</t>
    </rPh>
    <rPh sb="9" eb="10">
      <t>ジ</t>
    </rPh>
    <rPh sb="12" eb="13">
      <t>フン</t>
    </rPh>
    <phoneticPr fontId="28"/>
  </si>
  <si>
    <t>11時00分～13時00分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</si>
  <si>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11時30分～13時00分</t>
    <rPh sb="2" eb="3">
      <t>ジ</t>
    </rPh>
    <rPh sb="5" eb="6">
      <t>フン</t>
    </rPh>
    <rPh sb="9" eb="10">
      <t>ジ</t>
    </rPh>
    <rPh sb="12" eb="13">
      <t>フン</t>
    </rPh>
    <phoneticPr fontId="28"/>
  </si>
  <si>
    <t>9時30分～13時00分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</si>
  <si>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8時30分～13時00分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</si>
  <si>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8時00分～14時30分</t>
    <rPh sb="1" eb="2">
      <t>ジ</t>
    </rPh>
    <rPh sb="4" eb="5">
      <t>フン</t>
    </rPh>
    <rPh sb="8" eb="9">
      <t>ジ</t>
    </rPh>
    <rPh sb="11" eb="12">
      <t>フン</t>
    </rPh>
    <phoneticPr fontId="28"/>
  </si>
  <si>
    <t>8時00分～17時00分</t>
  </si>
  <si>
    <t>9時30分～13時00分</t>
  </si>
  <si>
    <t>10時30分～13時00分</t>
  </si>
  <si>
    <t>7時30分～16時30分</t>
    <phoneticPr fontId="28"/>
  </si>
  <si>
    <t>8時00分～14時30分</t>
    <phoneticPr fontId="28"/>
  </si>
  <si>
    <t>14時30分～16時00分</t>
    <phoneticPr fontId="28"/>
  </si>
  <si>
    <t>12時00分～15時00分</t>
    <phoneticPr fontId="28"/>
  </si>
  <si>
    <t>8時00分～17時00分</t>
    <rPh sb="1" eb="2">
      <t>ジ</t>
    </rPh>
    <rPh sb="4" eb="5">
      <t>フン</t>
    </rPh>
    <rPh sb="8" eb="9">
      <t>ジ</t>
    </rPh>
    <rPh sb="11" eb="12">
      <t>フン</t>
    </rPh>
    <phoneticPr fontId="28"/>
  </si>
  <si>
    <t>9時00分～16時00分</t>
    <phoneticPr fontId="28"/>
  </si>
  <si>
    <t>8時00分～15時30分</t>
  </si>
  <si>
    <t>7時30分～17時00分</t>
  </si>
  <si>
    <t>7時00分～17時00分</t>
    <phoneticPr fontId="28"/>
  </si>
  <si>
    <t>7時00分～17時00分</t>
  </si>
  <si>
    <t>7時00分～17時30分</t>
    <phoneticPr fontId="28"/>
  </si>
  <si>
    <t>7時30分～17時30分</t>
    <phoneticPr fontId="28"/>
  </si>
  <si>
    <t>需給状況</t>
    <rPh sb="0" eb="2">
      <t>ジュキュウ</t>
    </rPh>
    <rPh sb="2" eb="4">
      <t>ジョウキョウ</t>
    </rPh>
    <phoneticPr fontId="6"/>
  </si>
  <si>
    <t>エリア需要</t>
    <rPh sb="3" eb="5">
      <t>ジュヨウ</t>
    </rPh>
    <phoneticPr fontId="7"/>
  </si>
  <si>
    <t>大容量蓄電池の充電
・揚水運転</t>
    <rPh sb="0" eb="3">
      <t>ダイヨウリョウ</t>
    </rPh>
    <rPh sb="3" eb="6">
      <t>チクデンチ</t>
    </rPh>
    <rPh sb="7" eb="9">
      <t>ジュウデン</t>
    </rPh>
    <phoneticPr fontId="7"/>
  </si>
  <si>
    <t>域外送電</t>
    <rPh sb="0" eb="2">
      <t>イキガイ</t>
    </rPh>
    <rPh sb="2" eb="4">
      <t>ソウデン</t>
    </rPh>
    <phoneticPr fontId="7"/>
  </si>
  <si>
    <t>(注2)</t>
    <phoneticPr fontId="6"/>
  </si>
  <si>
    <t>供給力</t>
    <rPh sb="0" eb="3">
      <t>キョウキュウリョク</t>
    </rPh>
    <phoneticPr fontId="7"/>
  </si>
  <si>
    <t>再エネ出力最大制御量</t>
  </si>
  <si>
    <t>再エネ出力最大制御量</t>
    <rPh sb="0" eb="1">
      <t>サイ</t>
    </rPh>
    <rPh sb="3" eb="5">
      <t>シュツリョク</t>
    </rPh>
    <rPh sb="7" eb="10">
      <t>セイギョリョウ</t>
    </rPh>
    <phoneticPr fontId="28"/>
  </si>
  <si>
    <t>再エネ出力最大制御量</t>
    <phoneticPr fontId="28"/>
  </si>
  <si>
    <t>12:00～12:30</t>
    <phoneticPr fontId="28"/>
  </si>
  <si>
    <t>10:00～10:30</t>
  </si>
  <si>
    <t>12:30～13:00</t>
  </si>
  <si>
    <t>12:00～12:30</t>
  </si>
  <si>
    <t>13:00～13:30</t>
  </si>
  <si>
    <t>11:00～11:30</t>
  </si>
  <si>
    <t>12:30～13:00</t>
    <phoneticPr fontId="28"/>
  </si>
  <si>
    <t>14:00～14:30</t>
  </si>
  <si>
    <t>11:30～12:00</t>
  </si>
  <si>
    <t>11:00～11:30</t>
    <phoneticPr fontId="28"/>
  </si>
  <si>
    <t>13:30～14:00</t>
  </si>
  <si>
    <t>10:30～11:00</t>
  </si>
  <si>
    <t>11:30～12:00</t>
    <phoneticPr fontId="28"/>
  </si>
  <si>
    <t>10:30～11:00</t>
    <phoneticPr fontId="28"/>
  </si>
  <si>
    <t>14:30～15:00</t>
  </si>
  <si>
    <t>13:00～13:30</t>
    <phoneticPr fontId="28"/>
  </si>
  <si>
    <t>(注1)前日に制御指示を行うものの、当日の需給状況により出力制御を 実施しない場合もあるため、制御を実施した日数とは一致しない</t>
    <rPh sb="1" eb="2">
      <t>チュウ</t>
    </rPh>
    <rPh sb="4" eb="6">
      <t>ゼンジツ</t>
    </rPh>
    <rPh sb="7" eb="9">
      <t>セイギョ</t>
    </rPh>
    <rPh sb="9" eb="11">
      <t>シジ</t>
    </rPh>
    <rPh sb="12" eb="13">
      <t>オコナ</t>
    </rPh>
    <rPh sb="18" eb="20">
      <t>トウジツ</t>
    </rPh>
    <rPh sb="21" eb="23">
      <t>ジュキュウ</t>
    </rPh>
    <rPh sb="23" eb="25">
      <t>ジョウキョウ</t>
    </rPh>
    <rPh sb="28" eb="30">
      <t>シュツリョク</t>
    </rPh>
    <rPh sb="30" eb="32">
      <t>セイギョ</t>
    </rPh>
    <phoneticPr fontId="7"/>
  </si>
  <si>
    <t>(注1)前日に制御指示を行うものの、当日の需給状況により出力制御を実施しない場合もあるため、制御を実施した日数とは一致しない</t>
    <rPh sb="1" eb="2">
      <t>チュウ</t>
    </rPh>
    <rPh sb="4" eb="6">
      <t>ゼンジツ</t>
    </rPh>
    <rPh sb="7" eb="9">
      <t>セイギョ</t>
    </rPh>
    <rPh sb="9" eb="11">
      <t>シジ</t>
    </rPh>
    <rPh sb="12" eb="13">
      <t>オコナ</t>
    </rPh>
    <rPh sb="18" eb="20">
      <t>トウジツ</t>
    </rPh>
    <rPh sb="21" eb="23">
      <t>ジュキュウ</t>
    </rPh>
    <rPh sb="23" eb="25">
      <t>ジョウキョウ</t>
    </rPh>
    <rPh sb="28" eb="30">
      <t>シュツリョク</t>
    </rPh>
    <rPh sb="30" eb="32">
      <t>セイギョ</t>
    </rPh>
    <phoneticPr fontId="7"/>
  </si>
  <si>
    <t>(注2)計画段階では最大誤差相当を考慮した需給状況を掲載【当日見直す場合は、10時に公表】</t>
    <rPh sb="4" eb="8">
      <t>ケイカクダンカイ</t>
    </rPh>
    <rPh sb="26" eb="28">
      <t>ケイサイ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</si>
</sst>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1" formatCode="_ * #,##0_ ;_ * \-#,##0_ ;_ * &quot;-&quot;_ ;_ @_ "/>
    <numFmt numFmtId="176" formatCode="#,##0;&quot;▲ &quot;#,##0"/>
    <numFmt numFmtId="177" formatCode="mm/dd&quot;(&quot;aaa&quot;)&quot;"/>
    <numFmt numFmtId="178" formatCode="&quot;(&quot;aaa&quot;)&quot;"/>
    <numFmt numFmtId="179" formatCode="mm/dd"/>
    <numFmt numFmtId="180" formatCode="&quot;〔&quot;m&quot;月&quot;d&quot;日現在〕&quot;"/>
    <numFmt numFmtId="181" formatCode="&quot;(&quot;#,##0&quot;)&quot;;&quot;(&quot;&quot;▲ &quot;#,##0&quot;)&quot;"/>
    <numFmt numFmtId="182" formatCode="m/dd"/>
    <numFmt numFmtId="183" formatCode="h&quot;時&quot;mm&quot;分&quot;;@"/>
    <numFmt numFmtId="184" formatCode="&quot;[ &quot;0%&quot; ]&quot;"/>
    <numFmt numFmtId="185" formatCode="m/d&quot;（&quot;aaa&quot;）&quot;"/>
    <numFmt numFmtId="186" formatCode="&quot;[ &quot;0%"/>
    <numFmt numFmtId="187" formatCode="0%&quot; ]&quot;"/>
    <numFmt numFmtId="188" formatCode="mm/d&quot;(&quot;aaa&quot;)&quot;"/>
    <numFmt numFmtId="189" formatCode="0.0"/>
    <numFmt numFmtId="190" formatCode="0.0000"/>
    <numFmt numFmtId="191" formatCode="#,##0.0_);\(#,##0.0\)"/>
    <numFmt numFmtId="192" formatCode="0.00000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0.0%;\(0.0%\)"/>
    <numFmt numFmtId="196" formatCode="[&lt;=999]000;000\-00"/>
    <numFmt numFmtId="197" formatCode="[$-411]gee\.mm\.dd"/>
    <numFmt numFmtId="198" formatCode="_-* #,##0.00\ _F_-;\-* #,##0.00\ _F_-;_-* &quot;-&quot;??\ _F_-;_-@_-"/>
    <numFmt numFmtId="199" formatCode="d/m/yy\ h:mm"/>
    <numFmt numFmtId="200" formatCode="hh:mm:ss"/>
    <numFmt numFmtId="201" formatCode="0.0%"/>
    <numFmt numFmtId="202" formatCode="&quot;△&quot;\ #,##0;&quot;▲&quot;\ #,##0"/>
    <numFmt numFmtId="203" formatCode="yyyy/m/d\ h:mm\ AM/PM"/>
    <numFmt numFmtId="204" formatCode="0_);[Red]\(0\)"/>
    <numFmt numFmtId="205" formatCode="&quot;[ &quot;0%\ \]"/>
    <numFmt numFmtId="206" formatCode="mm/dd&quot;(&quot;aaa&quot;)&quot;&quot;16時頃&quot;"/>
    <numFmt numFmtId="207" formatCode="#,##0;&quot; &quot;#,##0"/>
    <numFmt numFmtId="208" formatCode="m/d&quot;（&quot;aaa&quot;）実績&quot;"/>
    <numFmt numFmtId="209" formatCode="0_ "/>
    <numFmt numFmtId="210" formatCode="mm/dd&quot;（&quot;aaa&quot;）実績&quot;"/>
    <numFmt numFmtId="211" formatCode="mm/dd&quot;(&quot;aaa&quot;)&quot;&quot;9時頃&quot;"/>
    <numFmt numFmtId="212" formatCode="mm/dd&quot;（&quot;aaa&quot;）&quot;"/>
    <numFmt numFmtId="213" formatCode="#,##0_);[Red]\(#,##0\)"/>
    <numFmt numFmtId="214" formatCode="\(#,#00\)"/>
    <numFmt numFmtId="215" formatCode="#,##0.0_ "/>
    <numFmt numFmtId="216" formatCode="#,##0_ "/>
    <numFmt numFmtId="217" formatCode="0.0_ "/>
    <numFmt numFmtId="218" formatCode="#,##0.0_);[Red]\(#,##0.0\)"/>
    <numFmt numFmtId="219" formatCode="[$-F800]dddd\,\ mmmm\ dd\,\ yyyy"/>
    <numFmt numFmtId="220" formatCode="yyyy&quot;年&quot;m&quot;月&quot;d&quot;日&quot;;@"/>
  </numFmts>
  <fonts count="3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vertAlign val="superscript"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</borders>
  <cellStyleXfs count="87">
    <xf numFmtId="0" fontId="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4" fillId="0" borderId="0">
      <alignment vertical="center"/>
    </xf>
    <xf numFmtId="0" fontId="17" fillId="0" borderId="0">
      <alignment vertical="center"/>
    </xf>
    <xf numFmtId="9" fontId="18" fillId="2" borderId="0"/>
    <xf numFmtId="0" fontId="18" fillId="0" borderId="0" applyFill="0" applyBorder="0" applyAlignment="0"/>
    <xf numFmtId="191" fontId="19" fillId="0" borderId="0" applyFill="0" applyBorder="0" applyAlignment="0"/>
    <xf numFmtId="192" fontId="15" fillId="0" borderId="0" applyFill="0" applyBorder="0" applyAlignment="0"/>
    <xf numFmtId="193" fontId="15" fillId="0" borderId="0" applyFill="0" applyBorder="0" applyAlignment="0"/>
    <xf numFmtId="194" fontId="15" fillId="0" borderId="0" applyFill="0" applyBorder="0" applyAlignment="0"/>
    <xf numFmtId="189" fontId="15" fillId="0" borderId="0" applyFill="0" applyBorder="0" applyAlignment="0"/>
    <xf numFmtId="195" fontId="19" fillId="0" borderId="0" applyFill="0" applyBorder="0" applyAlignment="0"/>
    <xf numFmtId="191" fontId="19" fillId="0" borderId="0" applyFill="0" applyBorder="0" applyAlignment="0"/>
    <xf numFmtId="0" fontId="18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4" fontId="20" fillId="0" borderId="0" applyFill="0" applyBorder="0" applyAlignment="0"/>
    <xf numFmtId="189" fontId="15" fillId="0" borderId="0" applyFill="0" applyBorder="0" applyAlignment="0"/>
    <xf numFmtId="191" fontId="19" fillId="0" borderId="0" applyFill="0" applyBorder="0" applyAlignment="0"/>
    <xf numFmtId="189" fontId="15" fillId="0" borderId="0" applyFill="0" applyBorder="0" applyAlignment="0"/>
    <xf numFmtId="195" fontId="19" fillId="0" borderId="0" applyFill="0" applyBorder="0" applyAlignment="0"/>
    <xf numFmtId="191" fontId="19" fillId="0" borderId="0" applyFill="0" applyBorder="0" applyAlignment="0"/>
    <xf numFmtId="0" fontId="21" fillId="0" borderId="0" applyNumberFormat="0" applyFill="0" applyBorder="0" applyAlignment="0" applyProtection="0"/>
    <xf numFmtId="38" fontId="22" fillId="3" borderId="0" applyNumberFormat="0" applyBorder="0" applyAlignment="0" applyProtection="0"/>
    <xf numFmtId="0" fontId="23" fillId="0" borderId="27" applyNumberFormat="0" applyAlignment="0" applyProtection="0">
      <alignment horizontal="left" vertical="center"/>
    </xf>
    <xf numFmtId="0" fontId="23" fillId="0" borderId="22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10" fontId="22" fillId="4" borderId="1" applyNumberFormat="0" applyBorder="0" applyAlignment="0" applyProtection="0"/>
    <xf numFmtId="189" fontId="15" fillId="0" borderId="0" applyFill="0" applyBorder="0" applyAlignment="0"/>
    <xf numFmtId="191" fontId="19" fillId="0" borderId="0" applyFill="0" applyBorder="0" applyAlignment="0"/>
    <xf numFmtId="189" fontId="15" fillId="0" borderId="0" applyFill="0" applyBorder="0" applyAlignment="0"/>
    <xf numFmtId="195" fontId="19" fillId="0" borderId="0" applyFill="0" applyBorder="0" applyAlignment="0"/>
    <xf numFmtId="191" fontId="19" fillId="0" borderId="0" applyFill="0" applyBorder="0" applyAlignment="0"/>
    <xf numFmtId="196" fontId="15" fillId="0" borderId="0"/>
    <xf numFmtId="0" fontId="18" fillId="0" borderId="0"/>
    <xf numFmtId="197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198" fontId="15" fillId="0" borderId="0" applyFont="0" applyFill="0" applyBorder="0" applyAlignment="0" applyProtection="0"/>
    <xf numFmtId="189" fontId="15" fillId="0" borderId="0" applyFill="0" applyBorder="0" applyAlignment="0"/>
    <xf numFmtId="191" fontId="19" fillId="0" borderId="0" applyFill="0" applyBorder="0" applyAlignment="0"/>
    <xf numFmtId="189" fontId="15" fillId="0" borderId="0" applyFill="0" applyBorder="0" applyAlignment="0"/>
    <xf numFmtId="195" fontId="19" fillId="0" borderId="0" applyFill="0" applyBorder="0" applyAlignment="0"/>
    <xf numFmtId="191" fontId="19" fillId="0" borderId="0" applyFill="0" applyBorder="0" applyAlignment="0"/>
    <xf numFmtId="49" fontId="20" fillId="0" borderId="0" applyFill="0" applyBorder="0" applyAlignment="0"/>
    <xf numFmtId="198" fontId="15" fillId="0" borderId="0" applyFill="0" applyBorder="0" applyAlignment="0"/>
    <xf numFmtId="199" fontId="15" fillId="0" borderId="0" applyFill="0" applyBorder="0" applyAlignment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0" fontId="19" fillId="0" borderId="0"/>
    <xf numFmtId="41" fontId="18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/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7" fillId="0" borderId="0"/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7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</cellStyleXfs>
  <cellXfs count="669">
    <xf numFmtId="0" fontId="0" fillId="0" borderId="0" xfId="0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180" fontId="8" fillId="0" borderId="0" xfId="1" applyNumberFormat="1" applyFont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82" fontId="8" fillId="0" borderId="2" xfId="1" applyNumberFormat="1" applyFont="1" applyBorder="1" applyAlignment="1">
      <alignment horizontal="center" vertical="center" shrinkToFit="1"/>
    </xf>
    <xf numFmtId="179" fontId="8" fillId="0" borderId="2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20" fontId="8" fillId="0" borderId="2" xfId="1" applyNumberFormat="1" applyFont="1" applyBorder="1" applyAlignment="1">
      <alignment horizontal="center" vertical="center" shrinkToFit="1"/>
    </xf>
    <xf numFmtId="177" fontId="8" fillId="0" borderId="4" xfId="1" applyNumberFormat="1" applyFont="1" applyBorder="1" applyAlignment="1">
      <alignment horizontal="center" vertical="center" shrinkToFit="1"/>
    </xf>
    <xf numFmtId="0" fontId="8" fillId="0" borderId="0" xfId="1" applyFont="1" applyBorder="1">
      <alignment vertical="center"/>
    </xf>
    <xf numFmtId="177" fontId="8" fillId="0" borderId="5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9" fontId="8" fillId="0" borderId="4" xfId="1" applyNumberFormat="1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shrinkToFit="1"/>
    </xf>
    <xf numFmtId="0" fontId="8" fillId="0" borderId="2" xfId="1" applyFont="1" applyBorder="1">
      <alignment vertical="center"/>
    </xf>
    <xf numFmtId="0" fontId="8" fillId="0" borderId="6" xfId="1" applyFont="1" applyBorder="1" applyAlignment="1">
      <alignment horizontal="right" vertical="center" indent="1"/>
    </xf>
    <xf numFmtId="176" fontId="8" fillId="0" borderId="1" xfId="1" applyNumberFormat="1" applyFont="1" applyBorder="1" applyAlignment="1">
      <alignment horizontal="center" vertical="center" shrinkToFit="1"/>
    </xf>
    <xf numFmtId="0" fontId="8" fillId="0" borderId="3" xfId="1" applyFont="1" applyBorder="1">
      <alignment vertical="center"/>
    </xf>
    <xf numFmtId="176" fontId="8" fillId="0" borderId="2" xfId="1" applyNumberFormat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right" vertical="center" indent="1"/>
    </xf>
    <xf numFmtId="0" fontId="8" fillId="0" borderId="8" xfId="1" applyFont="1" applyBorder="1" applyAlignment="1">
      <alignment vertical="center" textRotation="255"/>
    </xf>
    <xf numFmtId="181" fontId="8" fillId="0" borderId="9" xfId="1" applyNumberFormat="1" applyFont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20" fontId="8" fillId="0" borderId="10" xfId="1" applyNumberFormat="1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center" vertical="center" shrinkToFit="1"/>
    </xf>
    <xf numFmtId="183" fontId="8" fillId="0" borderId="10" xfId="1" applyNumberFormat="1" applyFont="1" applyBorder="1" applyAlignment="1">
      <alignment horizontal="center" vertical="center" shrinkToFit="1"/>
    </xf>
    <xf numFmtId="177" fontId="8" fillId="0" borderId="11" xfId="1" applyNumberFormat="1" applyFont="1" applyBorder="1" applyAlignment="1">
      <alignment horizontal="center" vertical="center" textRotation="255" shrinkToFit="1"/>
    </xf>
    <xf numFmtId="183" fontId="8" fillId="0" borderId="8" xfId="1" applyNumberFormat="1" applyFont="1" applyBorder="1" applyAlignment="1">
      <alignment horizontal="center" vertical="center" shrinkToFit="1"/>
    </xf>
    <xf numFmtId="182" fontId="8" fillId="0" borderId="10" xfId="1" applyNumberFormat="1" applyFont="1" applyBorder="1" applyAlignment="1">
      <alignment horizontal="center" vertical="center" shrinkToFit="1"/>
    </xf>
    <xf numFmtId="178" fontId="8" fillId="0" borderId="11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9" fontId="8" fillId="0" borderId="8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81" fontId="8" fillId="0" borderId="13" xfId="1" applyNumberFormat="1" applyFont="1" applyBorder="1" applyAlignment="1">
      <alignment horizontal="center" vertical="center" shrinkToFit="1"/>
    </xf>
    <xf numFmtId="183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textRotation="255" shrinkToFit="1"/>
    </xf>
    <xf numFmtId="183" fontId="8" fillId="0" borderId="4" xfId="1" applyNumberFormat="1" applyFont="1" applyBorder="1" applyAlignment="1">
      <alignment horizontal="center" vertical="center" shrinkToFit="1"/>
    </xf>
    <xf numFmtId="183" fontId="8" fillId="0" borderId="5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left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7" fontId="8" fillId="0" borderId="15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right" vertical="center" shrinkToFit="1"/>
    </xf>
    <xf numFmtId="176" fontId="8" fillId="0" borderId="14" xfId="1" applyNumberFormat="1" applyFont="1" applyBorder="1" applyAlignment="1">
      <alignment horizontal="left" vertical="center" shrinkToFit="1"/>
    </xf>
    <xf numFmtId="186" fontId="8" fillId="0" borderId="8" xfId="1" applyNumberFormat="1" applyFont="1" applyBorder="1" applyAlignment="1">
      <alignment horizontal="right" vertical="center" shrinkToFit="1"/>
    </xf>
    <xf numFmtId="187" fontId="8" fillId="0" borderId="15" xfId="1" applyNumberFormat="1" applyFont="1" applyBorder="1" applyAlignment="1">
      <alignment horizontal="left" vertical="center" shrinkToFit="1"/>
    </xf>
    <xf numFmtId="0" fontId="8" fillId="0" borderId="4" xfId="1" applyFont="1" applyBorder="1" applyAlignment="1">
      <alignment vertical="top" shrinkToFit="1"/>
    </xf>
    <xf numFmtId="0" fontId="8" fillId="0" borderId="3" xfId="1" applyFont="1" applyBorder="1" applyAlignment="1">
      <alignment horizontal="center" vertical="top" shrinkToFit="1"/>
    </xf>
    <xf numFmtId="177" fontId="8" fillId="0" borderId="0" xfId="1" applyNumberFormat="1" applyFont="1" applyBorder="1" applyAlignment="1">
      <alignment horizontal="center" vertical="center" textRotation="255" shrinkToFit="1"/>
    </xf>
    <xf numFmtId="182" fontId="8" fillId="0" borderId="0" xfId="1" applyNumberFormat="1" applyFont="1" applyBorder="1" applyAlignment="1">
      <alignment horizontal="center" vertical="center" shrinkToFit="1"/>
    </xf>
    <xf numFmtId="178" fontId="8" fillId="0" borderId="0" xfId="1" applyNumberFormat="1" applyFont="1" applyBorder="1" applyAlignment="1">
      <alignment horizontal="center" vertical="center" shrinkToFit="1"/>
    </xf>
    <xf numFmtId="20" fontId="8" fillId="0" borderId="0" xfId="1" applyNumberFormat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183" fontId="8" fillId="0" borderId="0" xfId="1" applyNumberFormat="1" applyFont="1" applyBorder="1" applyAlignment="1">
      <alignment horizontal="center" vertical="center" shrinkToFit="1"/>
    </xf>
    <xf numFmtId="176" fontId="8" fillId="0" borderId="11" xfId="1" applyNumberFormat="1" applyFont="1" applyBorder="1" applyAlignment="1">
      <alignment horizontal="right"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right" vertical="center" shrinkToFit="1"/>
    </xf>
    <xf numFmtId="186" fontId="8" fillId="0" borderId="11" xfId="1" applyNumberFormat="1" applyFont="1" applyBorder="1" applyAlignment="1">
      <alignment horizontal="right" vertical="center" shrinkToFit="1"/>
    </xf>
    <xf numFmtId="9" fontId="8" fillId="0" borderId="0" xfId="1" applyNumberFormat="1" applyFont="1" applyBorder="1" applyAlignment="1">
      <alignment horizontal="center" vertical="center" shrinkToFit="1"/>
    </xf>
    <xf numFmtId="186" fontId="8" fillId="0" borderId="0" xfId="1" applyNumberFormat="1" applyFont="1" applyBorder="1" applyAlignment="1">
      <alignment horizontal="right" vertical="center" shrinkToFit="1"/>
    </xf>
    <xf numFmtId="181" fontId="8" fillId="0" borderId="0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left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178" fontId="8" fillId="0" borderId="8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vertical="center"/>
    </xf>
    <xf numFmtId="32" fontId="8" fillId="0" borderId="10" xfId="1" applyNumberFormat="1" applyFont="1" applyBorder="1" applyAlignment="1">
      <alignment horizontal="center" vertical="center" shrinkToFit="1"/>
    </xf>
    <xf numFmtId="32" fontId="8" fillId="0" borderId="8" xfId="1" applyNumberFormat="1" applyFont="1" applyBorder="1" applyAlignment="1">
      <alignment horizontal="center" vertical="center" shrinkToFit="1"/>
    </xf>
    <xf numFmtId="185" fontId="8" fillId="0" borderId="10" xfId="1" applyNumberFormat="1" applyFont="1" applyBorder="1" applyAlignment="1">
      <alignment horizontal="center" vertical="center" shrinkToFit="1"/>
    </xf>
    <xf numFmtId="32" fontId="8" fillId="0" borderId="11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right" vertical="center"/>
    </xf>
    <xf numFmtId="178" fontId="8" fillId="0" borderId="4" xfId="1" applyNumberFormat="1" applyFont="1" applyBorder="1" applyAlignment="1">
      <alignment horizontal="center" vertical="center" shrinkToFit="1"/>
    </xf>
    <xf numFmtId="32" fontId="8" fillId="0" borderId="4" xfId="1" applyNumberFormat="1" applyFont="1" applyBorder="1" applyAlignment="1">
      <alignment horizontal="center" vertical="center" shrinkToFit="1"/>
    </xf>
    <xf numFmtId="32" fontId="8" fillId="0" borderId="2" xfId="1" applyNumberFormat="1" applyFont="1" applyBorder="1" applyAlignment="1">
      <alignment horizontal="center" vertical="center" shrinkToFit="1"/>
    </xf>
    <xf numFmtId="32" fontId="8" fillId="0" borderId="3" xfId="1" applyNumberFormat="1" applyFont="1" applyBorder="1" applyAlignment="1">
      <alignment horizontal="center" vertical="center" shrinkToFit="1"/>
    </xf>
    <xf numFmtId="176" fontId="8" fillId="0" borderId="18" xfId="1" applyNumberFormat="1" applyFont="1" applyBorder="1" applyAlignment="1">
      <alignment horizontal="center" vertical="center" shrinkToFit="1"/>
    </xf>
    <xf numFmtId="0" fontId="8" fillId="0" borderId="14" xfId="1" applyFont="1" applyBorder="1">
      <alignment vertical="center"/>
    </xf>
    <xf numFmtId="186" fontId="8" fillId="0" borderId="4" xfId="1" applyNumberFormat="1" applyFont="1" applyBorder="1" applyAlignment="1">
      <alignment horizontal="center" vertical="center" shrinkToFit="1"/>
    </xf>
    <xf numFmtId="14" fontId="8" fillId="0" borderId="2" xfId="1" applyNumberFormat="1" applyFont="1" applyBorder="1" applyAlignment="1">
      <alignment horizontal="center" vertical="center" shrinkToFit="1"/>
    </xf>
    <xf numFmtId="188" fontId="8" fillId="0" borderId="2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32" fontId="8" fillId="0" borderId="7" xfId="1" applyNumberFormat="1" applyFont="1" applyBorder="1" applyAlignment="1">
      <alignment horizontal="center" vertical="center" shrinkToFit="1"/>
    </xf>
    <xf numFmtId="32" fontId="8" fillId="0" borderId="19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181" fontId="8" fillId="0" borderId="20" xfId="1" applyNumberFormat="1" applyFont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 shrinkToFit="1"/>
    </xf>
    <xf numFmtId="32" fontId="8" fillId="0" borderId="0" xfId="1" applyNumberFormat="1" applyFont="1" applyBorder="1" applyAlignment="1">
      <alignment horizontal="center" vertical="center" shrinkToFit="1"/>
    </xf>
    <xf numFmtId="185" fontId="8" fillId="0" borderId="11" xfId="1" applyNumberFormat="1" applyFont="1" applyBorder="1" applyAlignment="1">
      <alignment horizontal="center" vertical="center" shrinkToFit="1"/>
    </xf>
    <xf numFmtId="181" fontId="8" fillId="0" borderId="11" xfId="1" applyNumberFormat="1" applyFont="1" applyBorder="1" applyAlignment="1">
      <alignment horizontal="center" vertical="center" shrinkToFit="1"/>
    </xf>
    <xf numFmtId="176" fontId="8" fillId="0" borderId="11" xfId="1" applyNumberFormat="1" applyFont="1" applyBorder="1" applyAlignment="1">
      <alignment horizontal="center" vertical="center" shrinkToFit="1"/>
    </xf>
    <xf numFmtId="185" fontId="8" fillId="0" borderId="0" xfId="1" applyNumberFormat="1" applyFont="1" applyBorder="1" applyAlignment="1">
      <alignment horizontal="center" vertical="center" shrinkToFit="1"/>
    </xf>
    <xf numFmtId="182" fontId="8" fillId="0" borderId="11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32" fontId="8" fillId="0" borderId="7" xfId="1" applyNumberFormat="1" applyFont="1" applyBorder="1" applyAlignment="1">
      <alignment horizontal="center" vertical="center" shrinkToFit="1"/>
    </xf>
    <xf numFmtId="32" fontId="8" fillId="0" borderId="19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32" fontId="8" fillId="0" borderId="7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32" fontId="8" fillId="0" borderId="19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185" fontId="8" fillId="0" borderId="2" xfId="1" applyNumberFormat="1" applyFont="1" applyBorder="1" applyAlignment="1">
      <alignment horizontal="center" vertical="center" shrinkToFit="1"/>
    </xf>
    <xf numFmtId="32" fontId="8" fillId="0" borderId="19" xfId="1" applyNumberFormat="1" applyFont="1" applyBorder="1" applyAlignment="1">
      <alignment horizontal="center" vertical="center" shrinkToFit="1"/>
    </xf>
    <xf numFmtId="182" fontId="8" fillId="0" borderId="7" xfId="1" applyNumberFormat="1" applyFont="1" applyBorder="1" applyAlignment="1">
      <alignment horizontal="center" vertical="center" shrinkToFit="1"/>
    </xf>
    <xf numFmtId="177" fontId="8" fillId="0" borderId="15" xfId="1" applyNumberFormat="1" applyFont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185" fontId="8" fillId="0" borderId="7" xfId="1" applyNumberFormat="1" applyFont="1" applyBorder="1" applyAlignment="1">
      <alignment horizontal="center" vertical="center" shrinkToFit="1"/>
    </xf>
    <xf numFmtId="181" fontId="8" fillId="0" borderId="20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8" fontId="8" fillId="0" borderId="19" xfId="1" applyNumberFormat="1" applyFont="1" applyBorder="1" applyAlignment="1">
      <alignment horizontal="center" vertical="center" shrinkToFit="1"/>
    </xf>
    <xf numFmtId="9" fontId="8" fillId="0" borderId="15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22" xfId="1" applyNumberFormat="1" applyFont="1" applyBorder="1" applyAlignment="1">
      <alignment horizontal="center" vertical="center" shrinkToFit="1"/>
    </xf>
    <xf numFmtId="181" fontId="8" fillId="0" borderId="24" xfId="1" applyNumberFormat="1" applyFont="1" applyBorder="1" applyAlignment="1">
      <alignment horizontal="center" vertical="center" shrinkToFit="1"/>
    </xf>
    <xf numFmtId="32" fontId="8" fillId="0" borderId="14" xfId="1" applyNumberFormat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horizontal="center" vertical="center" textRotation="255" shrinkToFit="1"/>
    </xf>
    <xf numFmtId="32" fontId="8" fillId="0" borderId="0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2" fontId="8" fillId="0" borderId="10" xfId="1" applyNumberFormat="1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85" fontId="8" fillId="0" borderId="10" xfId="1" applyNumberFormat="1" applyFont="1" applyBorder="1" applyAlignment="1">
      <alignment horizontal="center" vertical="center" shrinkToFit="1"/>
    </xf>
    <xf numFmtId="32" fontId="8" fillId="0" borderId="14" xfId="1" applyNumberFormat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horizontal="center" vertical="center" textRotation="255" shrinkToFit="1"/>
    </xf>
    <xf numFmtId="32" fontId="8" fillId="0" borderId="0" xfId="1" applyNumberFormat="1" applyFont="1" applyBorder="1" applyAlignment="1">
      <alignment horizontal="center" vertical="center" shrinkToFit="1"/>
    </xf>
    <xf numFmtId="181" fontId="8" fillId="0" borderId="13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185" fontId="8" fillId="0" borderId="2" xfId="1" applyNumberFormat="1" applyFont="1" applyBorder="1" applyAlignment="1">
      <alignment horizontal="center" vertical="center" shrinkToFit="1"/>
    </xf>
    <xf numFmtId="32" fontId="8" fillId="0" borderId="19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vertical="center" textRotation="255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204" fontId="8" fillId="0" borderId="3" xfId="1" applyNumberFormat="1" applyFont="1" applyBorder="1" applyAlignment="1">
      <alignment horizontal="center" vertical="center" shrinkToFit="1"/>
    </xf>
    <xf numFmtId="185" fontId="8" fillId="0" borderId="4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0" fontId="8" fillId="0" borderId="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7" xfId="1" applyFont="1" applyBorder="1" applyAlignment="1">
      <alignment vertical="center" textRotation="255"/>
    </xf>
    <xf numFmtId="0" fontId="29" fillId="0" borderId="3" xfId="1" applyFont="1" applyBorder="1" applyAlignment="1">
      <alignment horizontal="center" vertical="top" shrinkToFit="1"/>
    </xf>
    <xf numFmtId="184" fontId="8" fillId="0" borderId="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205" fontId="8" fillId="0" borderId="4" xfId="1" applyNumberFormat="1" applyFont="1" applyBorder="1" applyAlignment="1">
      <alignment horizontal="center" vertical="center" shrinkToFit="1"/>
    </xf>
    <xf numFmtId="0" fontId="30" fillId="0" borderId="3" xfId="1" applyFont="1" applyBorder="1" applyAlignment="1">
      <alignment horizontal="center" vertical="top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32" fontId="8" fillId="0" borderId="2" xfId="1" applyNumberFormat="1" applyFont="1" applyFill="1" applyBorder="1" applyAlignment="1">
      <alignment horizontal="center" vertical="center" shrinkToFit="1"/>
    </xf>
    <xf numFmtId="177" fontId="8" fillId="0" borderId="3" xfId="1" applyNumberFormat="1" applyFont="1" applyFill="1" applyBorder="1" applyAlignment="1">
      <alignment horizontal="center" vertical="center" textRotation="255" shrinkToFit="1"/>
    </xf>
    <xf numFmtId="32" fontId="8" fillId="0" borderId="4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205" fontId="8" fillId="0" borderId="4" xfId="1" applyNumberFormat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8" fillId="0" borderId="18" xfId="1" applyNumberFormat="1" applyFont="1" applyFill="1" applyBorder="1" applyAlignment="1">
      <alignment horizontal="center" vertical="center" shrinkToFit="1"/>
    </xf>
    <xf numFmtId="181" fontId="8" fillId="0" borderId="9" xfId="1" applyNumberFormat="1" applyFont="1" applyFill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1" fontId="8" fillId="0" borderId="13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205" fontId="8" fillId="0" borderId="8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center" vertical="top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3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1" fontId="8" fillId="0" borderId="3" xfId="1" applyNumberFormat="1" applyFont="1" applyBorder="1" applyAlignment="1">
      <alignment horizontal="center" vertical="center" shrinkToFit="1"/>
    </xf>
    <xf numFmtId="176" fontId="8" fillId="0" borderId="4" xfId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vertical="top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0" fontId="32" fillId="0" borderId="3" xfId="1" applyFont="1" applyBorder="1" applyAlignment="1">
      <alignment horizontal="center" vertical="top" shrinkToFit="1"/>
    </xf>
    <xf numFmtId="0" fontId="32" fillId="0" borderId="3" xfId="1" applyFont="1" applyBorder="1" applyAlignment="1">
      <alignment horizontal="left" vertical="top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81" fontId="8" fillId="0" borderId="20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2" fontId="8" fillId="0" borderId="7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81" fontId="8" fillId="0" borderId="20" xfId="1" applyNumberFormat="1" applyFont="1" applyBorder="1" applyAlignment="1">
      <alignment horizontal="center" vertical="center" shrinkToFit="1"/>
    </xf>
    <xf numFmtId="178" fontId="8" fillId="0" borderId="15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32" fontId="8" fillId="0" borderId="15" xfId="1" applyNumberFormat="1" applyFont="1" applyBorder="1" applyAlignment="1">
      <alignment horizontal="center" vertical="center" shrinkToFit="1"/>
    </xf>
    <xf numFmtId="185" fontId="8" fillId="0" borderId="7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181" fontId="8" fillId="0" borderId="20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182" fontId="8" fillId="0" borderId="7" xfId="1" applyNumberFormat="1" applyFont="1" applyBorder="1" applyAlignment="1">
      <alignment horizontal="center" vertical="center" shrinkToFit="1"/>
    </xf>
    <xf numFmtId="178" fontId="8" fillId="0" borderId="15" xfId="1" applyNumberFormat="1" applyFont="1" applyBorder="1" applyAlignment="1">
      <alignment horizontal="center" vertical="center" shrinkToFit="1"/>
    </xf>
    <xf numFmtId="185" fontId="8" fillId="0" borderId="7" xfId="1" applyNumberFormat="1" applyFont="1" applyBorder="1" applyAlignment="1">
      <alignment horizontal="center" vertical="center" shrinkToFit="1"/>
    </xf>
    <xf numFmtId="32" fontId="8" fillId="0" borderId="15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81" fontId="8" fillId="0" borderId="20" xfId="1" applyNumberFormat="1" applyFont="1" applyBorder="1" applyAlignment="1">
      <alignment horizontal="center" vertical="center" shrinkToFit="1"/>
    </xf>
    <xf numFmtId="182" fontId="8" fillId="0" borderId="7" xfId="1" applyNumberFormat="1" applyFont="1" applyBorder="1" applyAlignment="1">
      <alignment horizontal="center" vertical="center" shrinkToFit="1"/>
    </xf>
    <xf numFmtId="178" fontId="8" fillId="0" borderId="15" xfId="1" applyNumberFormat="1" applyFont="1" applyBorder="1" applyAlignment="1">
      <alignment horizontal="center" vertical="center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32" fontId="8" fillId="0" borderId="15" xfId="1" applyNumberFormat="1" applyFont="1" applyBorder="1" applyAlignment="1">
      <alignment horizontal="center" vertical="center" shrinkToFit="1"/>
    </xf>
    <xf numFmtId="185" fontId="8" fillId="0" borderId="7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207" fontId="8" fillId="0" borderId="1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0" xfId="1" applyNumberFormat="1" applyFont="1" applyFill="1" applyBorder="1" applyAlignment="1">
      <alignment horizontal="right" vertical="center" shrinkToFit="1"/>
    </xf>
    <xf numFmtId="176" fontId="9" fillId="0" borderId="14" xfId="1" applyNumberFormat="1" applyFont="1" applyFill="1" applyBorder="1" applyAlignment="1">
      <alignment horizontal="left" vertical="center" shrinkToFit="1"/>
    </xf>
    <xf numFmtId="176" fontId="8" fillId="0" borderId="14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left" vertical="center" shrinkToFit="1"/>
    </xf>
    <xf numFmtId="186" fontId="8" fillId="0" borderId="8" xfId="1" applyNumberFormat="1" applyFont="1" applyFill="1" applyBorder="1" applyAlignment="1">
      <alignment horizontal="right" vertical="center" shrinkToFit="1"/>
    </xf>
    <xf numFmtId="187" fontId="8" fillId="0" borderId="15" xfId="1" applyNumberFormat="1" applyFont="1" applyFill="1" applyBorder="1" applyAlignment="1">
      <alignment horizontal="left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208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209" fontId="8" fillId="0" borderId="7" xfId="1" applyNumberFormat="1" applyFont="1" applyBorder="1" applyAlignment="1">
      <alignment horizontal="left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209" fontId="8" fillId="0" borderId="7" xfId="1" applyNumberFormat="1" applyFont="1" applyFill="1" applyBorder="1" applyAlignment="1">
      <alignment horizontal="left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33" fillId="0" borderId="7" xfId="1" applyNumberFormat="1" applyFont="1" applyBorder="1" applyAlignment="1">
      <alignment horizontal="left" vertical="center" shrinkToFit="1"/>
    </xf>
    <xf numFmtId="0" fontId="33" fillId="0" borderId="0" xfId="1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shrinkToFit="1"/>
    </xf>
    <xf numFmtId="180" fontId="8" fillId="0" borderId="0" xfId="1" applyNumberFormat="1" applyFont="1" applyAlignment="1">
      <alignment horizontal="left" vertical="center"/>
    </xf>
    <xf numFmtId="0" fontId="8" fillId="0" borderId="6" xfId="1" applyFont="1" applyBorder="1">
      <alignment vertical="center"/>
    </xf>
    <xf numFmtId="210" fontId="8" fillId="0" borderId="2" xfId="1" applyNumberFormat="1" applyFont="1" applyBorder="1" applyAlignment="1">
      <alignment horizontal="center" vertical="center" shrinkToFit="1"/>
    </xf>
    <xf numFmtId="212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vertical="center" shrinkToFit="1"/>
    </xf>
    <xf numFmtId="0" fontId="8" fillId="0" borderId="4" xfId="1" applyFont="1" applyBorder="1" applyAlignment="1">
      <alignment vertical="center" shrinkToFit="1"/>
    </xf>
    <xf numFmtId="0" fontId="8" fillId="0" borderId="3" xfId="1" applyFont="1" applyBorder="1" applyAlignment="1">
      <alignment vertical="center" shrinkToFit="1"/>
    </xf>
    <xf numFmtId="209" fontId="8" fillId="0" borderId="19" xfId="1" applyNumberFormat="1" applyFont="1" applyBorder="1" applyAlignment="1">
      <alignment horizontal="left" vertical="center" shrinkToFit="1"/>
    </xf>
    <xf numFmtId="176" fontId="9" fillId="0" borderId="0" xfId="1" applyNumberFormat="1" applyFont="1" applyAlignment="1">
      <alignment horizontal="left" vertical="center" shrinkToFit="1"/>
    </xf>
    <xf numFmtId="176" fontId="8" fillId="0" borderId="0" xfId="1" applyNumberFormat="1" applyFont="1" applyAlignment="1">
      <alignment horizontal="center" vertical="center" shrinkToFit="1"/>
    </xf>
    <xf numFmtId="209" fontId="8" fillId="0" borderId="2" xfId="1" applyNumberFormat="1" applyFont="1" applyBorder="1" applyAlignment="1">
      <alignment horizontal="center" vertical="center" shrinkToFit="1"/>
    </xf>
    <xf numFmtId="213" fontId="8" fillId="0" borderId="1" xfId="1" applyNumberFormat="1" applyFont="1" applyBorder="1" applyAlignment="1">
      <alignment horizontal="center" vertical="center" shrinkToFit="1"/>
    </xf>
    <xf numFmtId="213" fontId="8" fillId="0" borderId="18" xfId="1" applyNumberFormat="1" applyFont="1" applyBorder="1" applyAlignment="1">
      <alignment horizontal="center" vertical="center" shrinkToFit="1"/>
    </xf>
    <xf numFmtId="214" fontId="8" fillId="0" borderId="9" xfId="1" applyNumberFormat="1" applyFont="1" applyBorder="1" applyAlignment="1">
      <alignment horizontal="center" vertical="center" shrinkToFit="1"/>
    </xf>
    <xf numFmtId="207" fontId="8" fillId="0" borderId="14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81" fontId="8" fillId="0" borderId="13" xfId="1" applyNumberFormat="1" applyFont="1" applyBorder="1" applyAlignment="1">
      <alignment horizontal="center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212" fontId="8" fillId="0" borderId="10" xfId="1" applyNumberFormat="1" applyFont="1" applyBorder="1" applyAlignment="1">
      <alignment horizontal="center" vertical="center" shrinkToFit="1"/>
    </xf>
    <xf numFmtId="32" fontId="8" fillId="0" borderId="8" xfId="1" applyNumberFormat="1" applyFont="1" applyBorder="1" applyAlignment="1">
      <alignment horizontal="center" vertical="center" shrinkToFit="1"/>
    </xf>
    <xf numFmtId="32" fontId="8" fillId="0" borderId="10" xfId="1" applyNumberFormat="1" applyFont="1" applyBorder="1" applyAlignment="1">
      <alignment horizontal="center" vertical="center" shrinkToFit="1"/>
    </xf>
    <xf numFmtId="177" fontId="8" fillId="0" borderId="11" xfId="1" applyNumberFormat="1" applyFont="1" applyBorder="1" applyAlignment="1">
      <alignment horizontal="center" vertical="center" textRotation="255" shrinkToFit="1"/>
    </xf>
    <xf numFmtId="178" fontId="8" fillId="0" borderId="8" xfId="1" applyNumberFormat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207" fontId="8" fillId="0" borderId="12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210" fontId="8" fillId="0" borderId="10" xfId="1" applyNumberFormat="1" applyFont="1" applyBorder="1" applyAlignment="1">
      <alignment horizontal="center" vertical="center" shrinkToFit="1"/>
    </xf>
    <xf numFmtId="215" fontId="8" fillId="0" borderId="10" xfId="1" applyNumberFormat="1" applyFont="1" applyBorder="1" applyAlignment="1">
      <alignment horizontal="right" vertical="center" shrinkToFit="1"/>
    </xf>
    <xf numFmtId="216" fontId="8" fillId="0" borderId="10" xfId="1" applyNumberFormat="1" applyFont="1" applyBorder="1" applyAlignment="1">
      <alignment horizontal="right" vertical="center" shrinkToFit="1"/>
    </xf>
    <xf numFmtId="176" fontId="8" fillId="0" borderId="28" xfId="1" applyNumberFormat="1" applyFont="1" applyBorder="1" applyAlignment="1">
      <alignment horizontal="right" vertical="center" shrinkToFit="1"/>
    </xf>
    <xf numFmtId="209" fontId="8" fillId="0" borderId="33" xfId="1" applyNumberFormat="1" applyFont="1" applyBorder="1" applyAlignment="1">
      <alignment horizontal="left" vertical="center" shrinkToFit="1"/>
    </xf>
    <xf numFmtId="217" fontId="8" fillId="0" borderId="7" xfId="1" applyNumberFormat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center" vertical="center"/>
    </xf>
    <xf numFmtId="212" fontId="8" fillId="0" borderId="2" xfId="1" applyNumberFormat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shrinkToFit="1"/>
    </xf>
    <xf numFmtId="219" fontId="8" fillId="0" borderId="0" xfId="1" applyNumberFormat="1" applyFont="1">
      <alignment vertical="center"/>
    </xf>
    <xf numFmtId="219" fontId="8" fillId="0" borderId="0" xfId="1" applyNumberFormat="1" applyFont="1" applyAlignment="1">
      <alignment horizontal="right" vertical="center"/>
    </xf>
    <xf numFmtId="220" fontId="8" fillId="0" borderId="0" xfId="1" applyNumberFormat="1" applyFont="1" applyAlignment="1">
      <alignment horizontal="right" vertical="center"/>
    </xf>
    <xf numFmtId="0" fontId="35" fillId="0" borderId="0" xfId="1" applyFont="1">
      <alignment vertical="center"/>
    </xf>
    <xf numFmtId="0" fontId="35" fillId="0" borderId="17" xfId="1" applyFont="1" applyBorder="1">
      <alignment vertical="center"/>
    </xf>
    <xf numFmtId="0" fontId="8" fillId="0" borderId="17" xfId="1" applyFont="1" applyBorder="1" applyAlignment="1">
      <alignment horizontal="right" vertical="center"/>
    </xf>
    <xf numFmtId="0" fontId="8" fillId="0" borderId="17" xfId="1" applyFont="1" applyBorder="1">
      <alignment vertical="center"/>
    </xf>
    <xf numFmtId="180" fontId="8" fillId="0" borderId="17" xfId="1" applyNumberFormat="1" applyFont="1" applyBorder="1">
      <alignment vertical="center"/>
    </xf>
    <xf numFmtId="0" fontId="8" fillId="0" borderId="3" xfId="1" applyFont="1" applyBorder="1" applyAlignment="1">
      <alignment vertical="center" textRotation="255"/>
    </xf>
    <xf numFmtId="0" fontId="8" fillId="0" borderId="4" xfId="1" applyFont="1" applyBorder="1" applyAlignment="1">
      <alignment vertical="center" textRotation="255"/>
    </xf>
    <xf numFmtId="0" fontId="30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219" fontId="8" fillId="0" borderId="0" xfId="1" applyNumberFormat="1" applyFont="1" applyAlignment="1">
      <alignment vertical="center"/>
    </xf>
    <xf numFmtId="0" fontId="8" fillId="0" borderId="17" xfId="1" applyFont="1" applyBorder="1" applyAlignment="1">
      <alignment vertical="center"/>
    </xf>
    <xf numFmtId="219" fontId="8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180" fontId="8" fillId="0" borderId="17" xfId="1" applyNumberFormat="1" applyFont="1" applyBorder="1" applyAlignment="1">
      <alignment horizontal="left" vertical="center"/>
    </xf>
    <xf numFmtId="0" fontId="8" fillId="0" borderId="17" xfId="1" applyFont="1" applyBorder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textRotation="255"/>
    </xf>
    <xf numFmtId="0" fontId="8" fillId="0" borderId="1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206" fontId="8" fillId="0" borderId="10" xfId="1" applyNumberFormat="1" applyFont="1" applyBorder="1" applyAlignment="1">
      <alignment horizontal="center" vertical="center" shrinkToFit="1"/>
    </xf>
    <xf numFmtId="206" fontId="8" fillId="0" borderId="14" xfId="1" applyNumberFormat="1" applyFont="1" applyBorder="1" applyAlignment="1">
      <alignment horizontal="center" vertical="center" shrinkToFit="1"/>
    </xf>
    <xf numFmtId="206" fontId="8" fillId="0" borderId="7" xfId="1" applyNumberFormat="1" applyFont="1" applyBorder="1" applyAlignment="1">
      <alignment horizontal="center" vertical="center" shrinkToFit="1"/>
    </xf>
    <xf numFmtId="178" fontId="8" fillId="0" borderId="8" xfId="1" applyNumberFormat="1" applyFont="1" applyBorder="1" applyAlignment="1">
      <alignment horizontal="center" vertical="center" shrinkToFit="1"/>
    </xf>
    <xf numFmtId="178" fontId="8" fillId="0" borderId="17" xfId="1" applyNumberFormat="1" applyFont="1" applyBorder="1" applyAlignment="1">
      <alignment horizontal="center" vertical="center" shrinkToFit="1"/>
    </xf>
    <xf numFmtId="178" fontId="8" fillId="0" borderId="15" xfId="1" applyNumberFormat="1" applyFont="1" applyBorder="1" applyAlignment="1">
      <alignment horizontal="center" vertical="center" shrinkToFit="1"/>
    </xf>
    <xf numFmtId="212" fontId="8" fillId="0" borderId="10" xfId="1" applyNumberFormat="1" applyFont="1" applyBorder="1" applyAlignment="1">
      <alignment horizontal="center" vertical="center" shrinkToFit="1"/>
    </xf>
    <xf numFmtId="212" fontId="8" fillId="0" borderId="14" xfId="1" applyNumberFormat="1" applyFont="1" applyBorder="1" applyAlignment="1">
      <alignment horizontal="center" vertical="center" shrinkToFit="1"/>
    </xf>
    <xf numFmtId="212" fontId="8" fillId="0" borderId="7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textRotation="255"/>
    </xf>
    <xf numFmtId="0" fontId="8" fillId="0" borderId="11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206" fontId="8" fillId="0" borderId="11" xfId="1" applyNumberFormat="1" applyFont="1" applyBorder="1" applyAlignment="1">
      <alignment horizontal="center" vertical="center" shrinkToFit="1"/>
    </xf>
    <xf numFmtId="206" fontId="8" fillId="0" borderId="0" xfId="1" applyNumberFormat="1" applyFont="1" applyAlignment="1">
      <alignment horizontal="center" vertical="center" shrinkToFit="1"/>
    </xf>
    <xf numFmtId="206" fontId="8" fillId="0" borderId="19" xfId="1" applyNumberFormat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212" fontId="8" fillId="0" borderId="2" xfId="1" applyNumberFormat="1" applyFont="1" applyBorder="1" applyAlignment="1">
      <alignment horizontal="center" vertical="center" shrinkToFit="1"/>
    </xf>
    <xf numFmtId="212" fontId="8" fillId="0" borderId="3" xfId="1" applyNumberFormat="1" applyFont="1" applyBorder="1" applyAlignment="1">
      <alignment horizontal="center" vertical="center" shrinkToFit="1"/>
    </xf>
    <xf numFmtId="212" fontId="8" fillId="0" borderId="4" xfId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textRotation="255"/>
    </xf>
    <xf numFmtId="32" fontId="8" fillId="0" borderId="3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6" fontId="8" fillId="0" borderId="4" xfId="1" applyNumberFormat="1" applyFont="1" applyBorder="1" applyAlignment="1">
      <alignment horizontal="center" vertical="center" shrinkToFit="1"/>
    </xf>
    <xf numFmtId="32" fontId="8" fillId="0" borderId="8" xfId="1" applyNumberFormat="1" applyFont="1" applyBorder="1" applyAlignment="1">
      <alignment horizontal="center" vertical="center" shrinkToFit="1"/>
    </xf>
    <xf numFmtId="32" fontId="8" fillId="0" borderId="17" xfId="1" applyNumberFormat="1" applyFont="1" applyBorder="1" applyAlignment="1">
      <alignment horizontal="center" vertical="center" shrinkToFit="1"/>
    </xf>
    <xf numFmtId="32" fontId="8" fillId="0" borderId="15" xfId="1" applyNumberFormat="1" applyFont="1" applyBorder="1" applyAlignment="1">
      <alignment horizontal="center" vertical="center" shrinkToFit="1"/>
    </xf>
    <xf numFmtId="210" fontId="8" fillId="0" borderId="10" xfId="1" applyNumberFormat="1" applyFont="1" applyBorder="1" applyAlignment="1">
      <alignment horizontal="center" vertical="center" shrinkToFit="1"/>
    </xf>
    <xf numFmtId="210" fontId="8" fillId="0" borderId="7" xfId="1" applyNumberFormat="1" applyFont="1" applyBorder="1" applyAlignment="1">
      <alignment horizontal="center" vertical="center" shrinkToFit="1"/>
    </xf>
    <xf numFmtId="213" fontId="8" fillId="0" borderId="12" xfId="1" applyNumberFormat="1" applyFont="1" applyBorder="1" applyAlignment="1">
      <alignment horizontal="center" vertical="center" shrinkToFit="1"/>
    </xf>
    <xf numFmtId="213" fontId="8" fillId="0" borderId="22" xfId="1" applyNumberFormat="1" applyFont="1" applyBorder="1" applyAlignment="1">
      <alignment horizontal="center" vertical="center" shrinkToFit="1"/>
    </xf>
    <xf numFmtId="213" fontId="8" fillId="0" borderId="6" xfId="1" applyNumberFormat="1" applyFont="1" applyBorder="1" applyAlignment="1">
      <alignment horizontal="center" vertical="center" shrinkToFit="1"/>
    </xf>
    <xf numFmtId="183" fontId="8" fillId="0" borderId="10" xfId="1" applyNumberFormat="1" applyFont="1" applyBorder="1" applyAlignment="1">
      <alignment horizontal="center" vertical="center" shrinkToFit="1"/>
    </xf>
    <xf numFmtId="183" fontId="8" fillId="0" borderId="14" xfId="1" applyNumberFormat="1" applyFont="1" applyBorder="1" applyAlignment="1">
      <alignment horizontal="center" vertical="center" shrinkToFit="1"/>
    </xf>
    <xf numFmtId="183" fontId="8" fillId="0" borderId="7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 textRotation="255" shrinkToFit="1"/>
    </xf>
    <xf numFmtId="177" fontId="8" fillId="0" borderId="0" xfId="1" applyNumberFormat="1" applyFont="1" applyAlignment="1">
      <alignment horizontal="center" vertical="center" textRotation="255" shrinkToFit="1"/>
    </xf>
    <xf numFmtId="177" fontId="8" fillId="0" borderId="19" xfId="1" applyNumberFormat="1" applyFont="1" applyBorder="1" applyAlignment="1">
      <alignment horizontal="center" vertical="center" textRotation="255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wrapText="1" shrinkToFit="1"/>
    </xf>
    <xf numFmtId="0" fontId="8" fillId="0" borderId="22" xfId="1" applyFont="1" applyBorder="1" applyAlignment="1">
      <alignment horizontal="center" vertical="center" wrapText="1" shrinkToFit="1"/>
    </xf>
    <xf numFmtId="212" fontId="8" fillId="0" borderId="11" xfId="1" applyNumberFormat="1" applyFont="1" applyBorder="1" applyAlignment="1">
      <alignment horizontal="center" vertical="center" shrinkToFit="1"/>
    </xf>
    <xf numFmtId="212" fontId="8" fillId="0" borderId="19" xfId="1" applyNumberFormat="1" applyFont="1" applyBorder="1" applyAlignment="1">
      <alignment horizontal="center" vertical="center" shrinkToFit="1"/>
    </xf>
    <xf numFmtId="212" fontId="8" fillId="0" borderId="8" xfId="1" applyNumberFormat="1" applyFont="1" applyBorder="1" applyAlignment="1">
      <alignment horizontal="center" vertical="center" shrinkToFit="1"/>
    </xf>
    <xf numFmtId="212" fontId="8" fillId="0" borderId="15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textRotation="255"/>
    </xf>
    <xf numFmtId="176" fontId="8" fillId="0" borderId="12" xfId="1" applyNumberFormat="1" applyFont="1" applyBorder="1" applyAlignment="1">
      <alignment horizontal="center" vertical="center" shrinkToFit="1"/>
    </xf>
    <xf numFmtId="176" fontId="8" fillId="0" borderId="6" xfId="1" applyNumberFormat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/>
    </xf>
    <xf numFmtId="213" fontId="8" fillId="0" borderId="16" xfId="1" applyNumberFormat="1" applyFont="1" applyBorder="1" applyAlignment="1">
      <alignment horizontal="center" vertical="center" shrinkToFit="1"/>
    </xf>
    <xf numFmtId="213" fontId="8" fillId="0" borderId="25" xfId="1" applyNumberFormat="1" applyFont="1" applyBorder="1" applyAlignment="1">
      <alignment horizontal="center" vertical="center" shrinkToFit="1"/>
    </xf>
    <xf numFmtId="213" fontId="8" fillId="0" borderId="26" xfId="1" applyNumberFormat="1" applyFont="1" applyBorder="1" applyAlignment="1">
      <alignment horizontal="center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214" fontId="8" fillId="0" borderId="13" xfId="1" applyNumberFormat="1" applyFont="1" applyBorder="1" applyAlignment="1">
      <alignment horizontal="center" vertical="center" shrinkToFit="1"/>
    </xf>
    <xf numFmtId="214" fontId="8" fillId="0" borderId="24" xfId="1" applyNumberFormat="1" applyFont="1" applyBorder="1" applyAlignment="1">
      <alignment horizontal="center" vertical="center" shrinkToFit="1"/>
    </xf>
    <xf numFmtId="214" fontId="8" fillId="0" borderId="20" xfId="1" applyNumberFormat="1" applyFont="1" applyBorder="1" applyAlignment="1">
      <alignment horizontal="center" vertical="center" shrinkToFit="1"/>
    </xf>
    <xf numFmtId="181" fontId="8" fillId="0" borderId="13" xfId="1" applyNumberFormat="1" applyFont="1" applyBorder="1" applyAlignment="1">
      <alignment horizontal="center" vertical="center" shrinkToFit="1"/>
    </xf>
    <xf numFmtId="181" fontId="8" fillId="0" borderId="20" xfId="1" applyNumberFormat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207" fontId="8" fillId="0" borderId="12" xfId="1" applyNumberFormat="1" applyFont="1" applyBorder="1" applyAlignment="1">
      <alignment horizontal="center" vertical="center" shrinkToFit="1"/>
    </xf>
    <xf numFmtId="207" fontId="8" fillId="0" borderId="6" xfId="1" applyNumberFormat="1" applyFont="1" applyBorder="1" applyAlignment="1">
      <alignment horizontal="center" vertical="center" shrinkToFit="1"/>
    </xf>
    <xf numFmtId="213" fontId="8" fillId="0" borderId="13" xfId="1" applyNumberFormat="1" applyFont="1" applyBorder="1" applyAlignment="1">
      <alignment horizontal="center" vertical="center" shrinkToFit="1"/>
    </xf>
    <xf numFmtId="213" fontId="8" fillId="0" borderId="24" xfId="1" applyNumberFormat="1" applyFont="1" applyBorder="1" applyAlignment="1">
      <alignment horizontal="center" vertical="center" shrinkToFit="1"/>
    </xf>
    <xf numFmtId="213" fontId="8" fillId="0" borderId="20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80" fontId="34" fillId="0" borderId="17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textRotation="255"/>
    </xf>
    <xf numFmtId="183" fontId="8" fillId="0" borderId="28" xfId="1" applyNumberFormat="1" applyFont="1" applyBorder="1" applyAlignment="1">
      <alignment horizontal="center" vertical="center" shrinkToFit="1"/>
    </xf>
    <xf numFmtId="183" fontId="8" fillId="0" borderId="29" xfId="1" applyNumberFormat="1" applyFont="1" applyBorder="1" applyAlignment="1">
      <alignment horizontal="center" vertical="center" shrinkToFit="1"/>
    </xf>
    <xf numFmtId="206" fontId="8" fillId="0" borderId="28" xfId="1" applyNumberFormat="1" applyFont="1" applyBorder="1" applyAlignment="1">
      <alignment horizontal="center" vertical="center" shrinkToFit="1"/>
    </xf>
    <xf numFmtId="206" fontId="8" fillId="0" borderId="29" xfId="1" applyNumberFormat="1" applyFont="1" applyBorder="1" applyAlignment="1">
      <alignment horizontal="center" vertical="center" shrinkToFit="1"/>
    </xf>
    <xf numFmtId="178" fontId="8" fillId="0" borderId="30" xfId="1" applyNumberFormat="1" applyFont="1" applyBorder="1" applyAlignment="1">
      <alignment horizontal="center" vertical="center" shrinkToFit="1"/>
    </xf>
    <xf numFmtId="178" fontId="8" fillId="0" borderId="31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212" fontId="8" fillId="0" borderId="28" xfId="1" applyNumberFormat="1" applyFont="1" applyBorder="1" applyAlignment="1">
      <alignment horizontal="center" vertical="center" shrinkToFit="1"/>
    </xf>
    <xf numFmtId="212" fontId="8" fillId="0" borderId="29" xfId="1" applyNumberFormat="1" applyFont="1" applyBorder="1" applyAlignment="1">
      <alignment horizontal="center" vertical="center" shrinkToFit="1"/>
    </xf>
    <xf numFmtId="32" fontId="8" fillId="0" borderId="30" xfId="1" applyNumberFormat="1" applyFont="1" applyBorder="1" applyAlignment="1">
      <alignment horizontal="center" vertical="center" shrinkToFit="1"/>
    </xf>
    <xf numFmtId="32" fontId="8" fillId="0" borderId="31" xfId="1" applyNumberFormat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horizontal="center" vertical="center" textRotation="255" shrinkToFit="1"/>
    </xf>
    <xf numFmtId="177" fontId="8" fillId="0" borderId="32" xfId="1" applyNumberFormat="1" applyFont="1" applyBorder="1" applyAlignment="1">
      <alignment horizontal="center" vertical="center" textRotation="255" shrinkToFit="1"/>
    </xf>
    <xf numFmtId="177" fontId="8" fillId="0" borderId="33" xfId="1" applyNumberFormat="1" applyFont="1" applyBorder="1" applyAlignment="1">
      <alignment horizontal="center" vertical="center" textRotation="255" shrinkToFit="1"/>
    </xf>
    <xf numFmtId="213" fontId="8" fillId="0" borderId="34" xfId="1" applyNumberFormat="1" applyFont="1" applyBorder="1" applyAlignment="1">
      <alignment horizontal="center" vertical="center" shrinkToFit="1"/>
    </xf>
    <xf numFmtId="213" fontId="8" fillId="0" borderId="35" xfId="1" applyNumberFormat="1" applyFont="1" applyBorder="1" applyAlignment="1">
      <alignment horizontal="center" vertical="center" shrinkToFit="1"/>
    </xf>
    <xf numFmtId="213" fontId="8" fillId="0" borderId="36" xfId="1" applyNumberFormat="1" applyFont="1" applyBorder="1" applyAlignment="1">
      <alignment horizontal="center" vertical="center" shrinkToFit="1"/>
    </xf>
    <xf numFmtId="213" fontId="8" fillId="0" borderId="37" xfId="1" applyNumberFormat="1" applyFont="1" applyBorder="1" applyAlignment="1">
      <alignment horizontal="center" vertical="center" shrinkToFit="1"/>
    </xf>
    <xf numFmtId="214" fontId="8" fillId="0" borderId="38" xfId="1" applyNumberFormat="1" applyFont="1" applyBorder="1" applyAlignment="1">
      <alignment horizontal="center" vertical="center" shrinkToFit="1"/>
    </xf>
    <xf numFmtId="214" fontId="8" fillId="0" borderId="39" xfId="1" applyNumberFormat="1" applyFont="1" applyBorder="1" applyAlignment="1">
      <alignment horizontal="center" vertical="center" shrinkToFit="1"/>
    </xf>
    <xf numFmtId="213" fontId="8" fillId="0" borderId="40" xfId="1" applyNumberFormat="1" applyFont="1" applyBorder="1" applyAlignment="1">
      <alignment horizontal="center" vertical="center" shrinkToFit="1"/>
    </xf>
    <xf numFmtId="213" fontId="8" fillId="0" borderId="41" xfId="1" applyNumberFormat="1" applyFont="1" applyBorder="1" applyAlignment="1">
      <alignment horizontal="center" vertical="center" shrinkToFit="1"/>
    </xf>
    <xf numFmtId="213" fontId="8" fillId="0" borderId="42" xfId="1" applyNumberFormat="1" applyFont="1" applyBorder="1" applyAlignment="1">
      <alignment horizontal="center" vertical="center" shrinkToFit="1"/>
    </xf>
    <xf numFmtId="218" fontId="8" fillId="0" borderId="12" xfId="1" applyNumberFormat="1" applyFont="1" applyBorder="1" applyAlignment="1">
      <alignment horizontal="center" vertical="center" shrinkToFit="1"/>
    </xf>
    <xf numFmtId="218" fontId="8" fillId="0" borderId="22" xfId="1" applyNumberFormat="1" applyFont="1" applyBorder="1" applyAlignment="1">
      <alignment horizontal="center" vertical="center" shrinkToFit="1"/>
    </xf>
    <xf numFmtId="218" fontId="8" fillId="0" borderId="6" xfId="1" applyNumberFormat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32" fontId="8" fillId="0" borderId="10" xfId="1" applyNumberFormat="1" applyFont="1" applyBorder="1" applyAlignment="1">
      <alignment horizontal="center" vertical="center" shrinkToFit="1"/>
    </xf>
    <xf numFmtId="32" fontId="8" fillId="0" borderId="14" xfId="1" applyNumberFormat="1" applyFont="1" applyBorder="1" applyAlignment="1">
      <alignment horizontal="center" vertical="center" shrinkToFit="1"/>
    </xf>
    <xf numFmtId="32" fontId="8" fillId="0" borderId="7" xfId="1" applyNumberFormat="1" applyFont="1" applyBorder="1" applyAlignment="1">
      <alignment horizontal="center" vertical="center" shrinkToFit="1"/>
    </xf>
    <xf numFmtId="211" fontId="8" fillId="0" borderId="10" xfId="1" applyNumberFormat="1" applyFont="1" applyBorder="1" applyAlignment="1">
      <alignment horizontal="center" vertical="center" shrinkToFit="1"/>
    </xf>
    <xf numFmtId="211" fontId="8" fillId="0" borderId="14" xfId="1" applyNumberFormat="1" applyFont="1" applyBorder="1" applyAlignment="1">
      <alignment horizontal="center" vertical="center" shrinkToFit="1"/>
    </xf>
    <xf numFmtId="211" fontId="8" fillId="0" borderId="7" xfId="1" applyNumberFormat="1" applyFont="1" applyBorder="1" applyAlignment="1">
      <alignment horizontal="center" vertical="center" shrinkToFit="1"/>
    </xf>
    <xf numFmtId="32" fontId="8" fillId="0" borderId="11" xfId="1" applyNumberFormat="1" applyFont="1" applyBorder="1" applyAlignment="1">
      <alignment horizontal="center" vertical="center" shrinkToFit="1"/>
    </xf>
    <xf numFmtId="32" fontId="8" fillId="0" borderId="0" xfId="1" applyNumberFormat="1" applyFont="1" applyAlignment="1">
      <alignment horizontal="center" vertical="center" shrinkToFit="1"/>
    </xf>
    <xf numFmtId="32" fontId="8" fillId="0" borderId="19" xfId="1" applyNumberFormat="1" applyFont="1" applyBorder="1" applyAlignment="1">
      <alignment horizontal="center" vertical="center" shrinkToFit="1"/>
    </xf>
    <xf numFmtId="176" fontId="8" fillId="0" borderId="22" xfId="1" applyNumberFormat="1" applyFont="1" applyBorder="1" applyAlignment="1">
      <alignment horizontal="center" vertical="center" shrinkToFit="1"/>
    </xf>
    <xf numFmtId="176" fontId="8" fillId="0" borderId="25" xfId="1" applyNumberFormat="1" applyFont="1" applyBorder="1" applyAlignment="1">
      <alignment horizontal="center" vertical="center" shrinkToFit="1"/>
    </xf>
    <xf numFmtId="204" fontId="8" fillId="0" borderId="12" xfId="1" applyNumberFormat="1" applyFont="1" applyBorder="1" applyAlignment="1">
      <alignment horizontal="center" vertical="center" shrinkToFit="1"/>
    </xf>
    <xf numFmtId="204" fontId="8" fillId="0" borderId="22" xfId="1" applyNumberFormat="1" applyFont="1" applyBorder="1" applyAlignment="1">
      <alignment horizontal="center" vertical="center" shrinkToFit="1"/>
    </xf>
    <xf numFmtId="204" fontId="8" fillId="0" borderId="6" xfId="1" applyNumberFormat="1" applyFont="1" applyBorder="1" applyAlignment="1">
      <alignment horizontal="center" vertical="center" shrinkToFit="1"/>
    </xf>
    <xf numFmtId="181" fontId="8" fillId="0" borderId="24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 shrinkToFit="1"/>
    </xf>
    <xf numFmtId="184" fontId="8" fillId="0" borderId="8" xfId="1" applyNumberFormat="1" applyFont="1" applyBorder="1" applyAlignment="1">
      <alignment horizontal="center" vertical="center" shrinkToFit="1"/>
    </xf>
    <xf numFmtId="184" fontId="8" fillId="0" borderId="17" xfId="1" applyNumberFormat="1" applyFont="1" applyBorder="1" applyAlignment="1">
      <alignment horizontal="center" vertical="center" shrinkToFit="1"/>
    </xf>
    <xf numFmtId="184" fontId="8" fillId="0" borderId="15" xfId="1" applyNumberFormat="1" applyFont="1" applyBorder="1" applyAlignment="1">
      <alignment horizontal="center" vertical="center" shrinkToFit="1"/>
    </xf>
    <xf numFmtId="176" fontId="33" fillId="0" borderId="16" xfId="1" applyNumberFormat="1" applyFont="1" applyBorder="1" applyAlignment="1">
      <alignment horizontal="center" vertical="center" shrinkToFit="1"/>
    </xf>
    <xf numFmtId="176" fontId="33" fillId="0" borderId="25" xfId="1" applyNumberFormat="1" applyFont="1" applyBorder="1" applyAlignment="1">
      <alignment horizontal="center" vertical="center" shrinkToFit="1"/>
    </xf>
    <xf numFmtId="176" fontId="33" fillId="0" borderId="26" xfId="1" applyNumberFormat="1" applyFont="1" applyBorder="1" applyAlignment="1">
      <alignment horizontal="center" vertical="center" shrinkToFit="1"/>
    </xf>
    <xf numFmtId="185" fontId="8" fillId="0" borderId="2" xfId="1" applyNumberFormat="1" applyFont="1" applyBorder="1" applyAlignment="1">
      <alignment horizontal="center" vertical="center" shrinkToFit="1"/>
    </xf>
    <xf numFmtId="185" fontId="8" fillId="0" borderId="3" xfId="1" applyNumberFormat="1" applyFont="1" applyBorder="1" applyAlignment="1">
      <alignment horizontal="center" vertical="center" shrinkToFit="1"/>
    </xf>
    <xf numFmtId="185" fontId="8" fillId="0" borderId="4" xfId="1" applyNumberFormat="1" applyFont="1" applyBorder="1" applyAlignment="1">
      <alignment horizontal="center" vertical="center" shrinkToFit="1"/>
    </xf>
    <xf numFmtId="185" fontId="8" fillId="0" borderId="10" xfId="1" applyNumberFormat="1" applyFont="1" applyBorder="1" applyAlignment="1">
      <alignment horizontal="center" vertical="center" shrinkToFit="1"/>
    </xf>
    <xf numFmtId="185" fontId="8" fillId="0" borderId="14" xfId="1" applyNumberFormat="1" applyFont="1" applyBorder="1" applyAlignment="1">
      <alignment horizontal="center" vertical="center" shrinkToFit="1"/>
    </xf>
    <xf numFmtId="185" fontId="8" fillId="0" borderId="7" xfId="1" applyNumberFormat="1" applyFont="1" applyBorder="1" applyAlignment="1">
      <alignment horizontal="center" vertical="center" shrinkToFit="1"/>
    </xf>
    <xf numFmtId="182" fontId="8" fillId="0" borderId="10" xfId="1" applyNumberFormat="1" applyFont="1" applyBorder="1" applyAlignment="1">
      <alignment horizontal="center" vertical="center" shrinkToFit="1"/>
    </xf>
    <xf numFmtId="182" fontId="8" fillId="0" borderId="14" xfId="1" applyNumberFormat="1" applyFont="1" applyBorder="1" applyAlignment="1">
      <alignment horizontal="center" vertical="center" shrinkToFit="1"/>
    </xf>
    <xf numFmtId="182" fontId="8" fillId="0" borderId="7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" vertical="center" shrinkToFit="1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6" xfId="1" applyNumberFormat="1" applyFont="1" applyBorder="1" applyAlignment="1">
      <alignment horizontal="center" vertical="center" shrinkToFit="1"/>
    </xf>
    <xf numFmtId="176" fontId="8" fillId="0" borderId="12" xfId="1" applyNumberFormat="1" applyFont="1" applyFill="1" applyBorder="1" applyAlignment="1">
      <alignment horizontal="center" vertical="center" shrinkToFit="1"/>
    </xf>
    <xf numFmtId="176" fontId="8" fillId="0" borderId="22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185" fontId="8" fillId="0" borderId="11" xfId="1" applyNumberFormat="1" applyFont="1" applyBorder="1" applyAlignment="1">
      <alignment horizontal="center" vertical="center" shrinkToFit="1"/>
    </xf>
    <xf numFmtId="185" fontId="8" fillId="0" borderId="0" xfId="1" applyNumberFormat="1" applyFont="1" applyBorder="1" applyAlignment="1">
      <alignment horizontal="center" vertical="center" shrinkToFit="1"/>
    </xf>
    <xf numFmtId="185" fontId="8" fillId="0" borderId="19" xfId="1" applyNumberFormat="1" applyFont="1" applyBorder="1" applyAlignment="1">
      <alignment horizontal="center" vertical="center" shrinkToFit="1"/>
    </xf>
    <xf numFmtId="185" fontId="8" fillId="0" borderId="8" xfId="1" applyNumberFormat="1" applyFont="1" applyBorder="1" applyAlignment="1">
      <alignment horizontal="center" vertical="center" shrinkToFit="1"/>
    </xf>
    <xf numFmtId="185" fontId="8" fillId="0" borderId="17" xfId="1" applyNumberFormat="1" applyFont="1" applyBorder="1" applyAlignment="1">
      <alignment horizontal="center" vertical="center" shrinkToFit="1"/>
    </xf>
    <xf numFmtId="185" fontId="8" fillId="0" borderId="15" xfId="1" applyNumberFormat="1" applyFont="1" applyBorder="1" applyAlignment="1">
      <alignment horizontal="center" vertical="center" shrinkToFit="1"/>
    </xf>
    <xf numFmtId="181" fontId="8" fillId="0" borderId="13" xfId="1" applyNumberFormat="1" applyFont="1" applyFill="1" applyBorder="1" applyAlignment="1">
      <alignment horizontal="center" vertical="center" shrinkToFit="1"/>
    </xf>
    <xf numFmtId="181" fontId="8" fillId="0" borderId="24" xfId="1" applyNumberFormat="1" applyFont="1" applyFill="1" applyBorder="1" applyAlignment="1">
      <alignment horizontal="center" vertical="center" shrinkToFit="1"/>
    </xf>
    <xf numFmtId="181" fontId="8" fillId="0" borderId="20" xfId="1" applyNumberFormat="1" applyFont="1" applyFill="1" applyBorder="1" applyAlignment="1">
      <alignment horizontal="center" vertical="center" shrinkToFit="1"/>
    </xf>
    <xf numFmtId="176" fontId="33" fillId="0" borderId="12" xfId="1" applyNumberFormat="1" applyFont="1" applyBorder="1" applyAlignment="1">
      <alignment horizontal="center" vertical="center" shrinkToFit="1"/>
    </xf>
    <xf numFmtId="176" fontId="33" fillId="0" borderId="22" xfId="1" applyNumberFormat="1" applyFont="1" applyBorder="1" applyAlignment="1">
      <alignment horizontal="center" vertical="center" shrinkToFit="1"/>
    </xf>
    <xf numFmtId="176" fontId="33" fillId="0" borderId="6" xfId="1" applyNumberFormat="1" applyFont="1" applyBorder="1" applyAlignment="1">
      <alignment horizontal="center" vertical="center" shrinkToFit="1"/>
    </xf>
    <xf numFmtId="176" fontId="8" fillId="0" borderId="16" xfId="1" applyNumberFormat="1" applyFont="1" applyFill="1" applyBorder="1" applyAlignment="1">
      <alignment horizontal="center" vertical="center" shrinkToFit="1"/>
    </xf>
    <xf numFmtId="176" fontId="8" fillId="0" borderId="25" xfId="1" applyNumberFormat="1" applyFont="1" applyFill="1" applyBorder="1" applyAlignment="1">
      <alignment horizontal="center" vertical="center" shrinkToFit="1"/>
    </xf>
    <xf numFmtId="176" fontId="8" fillId="0" borderId="26" xfId="1" applyNumberFormat="1" applyFont="1" applyFill="1" applyBorder="1" applyAlignment="1">
      <alignment horizontal="center" vertical="center" shrinkToFit="1"/>
    </xf>
    <xf numFmtId="208" fontId="8" fillId="0" borderId="10" xfId="1" applyNumberFormat="1" applyFont="1" applyBorder="1" applyAlignment="1">
      <alignment horizontal="center" vertical="center" shrinkToFit="1"/>
    </xf>
    <xf numFmtId="208" fontId="8" fillId="0" borderId="14" xfId="1" applyNumberFormat="1" applyFont="1" applyBorder="1" applyAlignment="1">
      <alignment horizontal="center" vertical="center" shrinkToFit="1"/>
    </xf>
    <xf numFmtId="208" fontId="8" fillId="0" borderId="7" xfId="1" applyNumberFormat="1" applyFont="1" applyBorder="1" applyAlignment="1">
      <alignment horizontal="center" vertical="center" shrinkToFit="1"/>
    </xf>
    <xf numFmtId="207" fontId="8" fillId="0" borderId="22" xfId="1" applyNumberFormat="1" applyFont="1" applyBorder="1" applyAlignment="1">
      <alignment horizontal="center" vertical="center" shrinkToFit="1"/>
    </xf>
    <xf numFmtId="32" fontId="8" fillId="0" borderId="0" xfId="1" applyNumberFormat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shrinkToFit="1"/>
    </xf>
    <xf numFmtId="176" fontId="8" fillId="0" borderId="11" xfId="1" applyNumberFormat="1" applyFont="1" applyBorder="1" applyAlignment="1">
      <alignment horizontal="center" vertical="center" shrinkToFit="1"/>
    </xf>
    <xf numFmtId="176" fontId="8" fillId="0" borderId="8" xfId="1" applyNumberFormat="1" applyFont="1" applyBorder="1" applyAlignment="1">
      <alignment horizontal="center" vertical="center" shrinkToFit="1"/>
    </xf>
    <xf numFmtId="186" fontId="8" fillId="0" borderId="8" xfId="1" applyNumberFormat="1" applyFont="1" applyBorder="1" applyAlignment="1">
      <alignment horizontal="center" vertical="center" shrinkToFit="1"/>
    </xf>
    <xf numFmtId="186" fontId="8" fillId="0" borderId="17" xfId="1" applyNumberFormat="1" applyFont="1" applyBorder="1" applyAlignment="1">
      <alignment horizontal="center" vertical="center" shrinkToFit="1"/>
    </xf>
    <xf numFmtId="186" fontId="8" fillId="0" borderId="15" xfId="1" applyNumberFormat="1" applyFont="1" applyBorder="1" applyAlignment="1">
      <alignment horizontal="center" vertical="center" shrinkToFit="1"/>
    </xf>
    <xf numFmtId="183" fontId="8" fillId="0" borderId="8" xfId="1" applyNumberFormat="1" applyFont="1" applyBorder="1" applyAlignment="1">
      <alignment horizontal="center" vertical="center" shrinkToFit="1"/>
    </xf>
    <xf numFmtId="183" fontId="8" fillId="0" borderId="15" xfId="1" applyNumberFormat="1" applyFont="1" applyBorder="1" applyAlignment="1">
      <alignment horizontal="center" vertical="center" shrinkToFit="1"/>
    </xf>
    <xf numFmtId="179" fontId="8" fillId="0" borderId="11" xfId="1" applyNumberFormat="1" applyFont="1" applyBorder="1" applyAlignment="1">
      <alignment horizontal="center" vertical="center" textRotation="255" shrinkToFit="1"/>
    </xf>
    <xf numFmtId="179" fontId="8" fillId="0" borderId="19" xfId="1" applyNumberFormat="1" applyFont="1" applyBorder="1" applyAlignment="1">
      <alignment horizontal="center" vertical="center" textRotation="255" shrinkToFit="1"/>
    </xf>
    <xf numFmtId="177" fontId="8" fillId="0" borderId="8" xfId="1" applyNumberFormat="1" applyFont="1" applyBorder="1" applyAlignment="1">
      <alignment horizontal="center" vertical="center" shrinkToFit="1"/>
    </xf>
    <xf numFmtId="177" fontId="8" fillId="0" borderId="15" xfId="1" applyNumberFormat="1" applyFont="1" applyBorder="1" applyAlignment="1">
      <alignment horizontal="center" vertical="center" shrinkToFit="1"/>
    </xf>
    <xf numFmtId="179" fontId="8" fillId="0" borderId="8" xfId="1" applyNumberFormat="1" applyFont="1" applyBorder="1" applyAlignment="1">
      <alignment horizontal="center" vertical="center" shrinkToFit="1"/>
    </xf>
    <xf numFmtId="179" fontId="8" fillId="0" borderId="15" xfId="1" applyNumberFormat="1" applyFont="1" applyBorder="1" applyAlignment="1">
      <alignment horizontal="center" vertical="center" shrinkToFit="1"/>
    </xf>
    <xf numFmtId="20" fontId="8" fillId="0" borderId="10" xfId="1" applyNumberFormat="1" applyFont="1" applyBorder="1" applyAlignment="1">
      <alignment horizontal="center" vertical="center" shrinkToFit="1"/>
    </xf>
    <xf numFmtId="20" fontId="8" fillId="0" borderId="7" xfId="1" applyNumberFormat="1" applyFont="1" applyBorder="1" applyAlignment="1">
      <alignment horizontal="center" vertical="center" shrinkToFit="1"/>
    </xf>
    <xf numFmtId="56" fontId="8" fillId="0" borderId="10" xfId="1" applyNumberFormat="1" applyFont="1" applyBorder="1" applyAlignment="1">
      <alignment horizontal="center" vertical="center" shrinkToFit="1"/>
    </xf>
    <xf numFmtId="56" fontId="8" fillId="0" borderId="7" xfId="1" applyNumberFormat="1" applyFont="1" applyBorder="1" applyAlignment="1">
      <alignment horizontal="center" vertical="center" shrinkToFit="1"/>
    </xf>
  </cellXfs>
  <cellStyles count="87">
    <cellStyle name="=C:\WINDOWS\SYSTEM32\COMMAND.COM" xfId="10" xr:uid="{00000000-0005-0000-0000-000000000000}"/>
    <cellStyle name="Calc Currency (0)" xfId="11" xr:uid="{00000000-0005-0000-0000-000001000000}"/>
    <cellStyle name="Calc Currency (2)" xfId="12" xr:uid="{00000000-0005-0000-0000-000002000000}"/>
    <cellStyle name="Calc Percent (0)" xfId="13" xr:uid="{00000000-0005-0000-0000-000003000000}"/>
    <cellStyle name="Calc Percent (1)" xfId="14" xr:uid="{00000000-0005-0000-0000-000004000000}"/>
    <cellStyle name="Calc Percent (2)" xfId="15" xr:uid="{00000000-0005-0000-0000-000005000000}"/>
    <cellStyle name="Calc Units (0)" xfId="16" xr:uid="{00000000-0005-0000-0000-000006000000}"/>
    <cellStyle name="Calc Units (1)" xfId="17" xr:uid="{00000000-0005-0000-0000-000007000000}"/>
    <cellStyle name="Calc Units (2)" xfId="18" xr:uid="{00000000-0005-0000-0000-000008000000}"/>
    <cellStyle name="Comma [0]_#6 Temps &amp; Contractors" xfId="19" xr:uid="{00000000-0005-0000-0000-000009000000}"/>
    <cellStyle name="Comma [00]" xfId="20" xr:uid="{00000000-0005-0000-0000-00000A000000}"/>
    <cellStyle name="Comma_#6 Temps &amp; Contractors" xfId="21" xr:uid="{00000000-0005-0000-0000-00000B000000}"/>
    <cellStyle name="Currency [0]_#6 Temps &amp; Contractors" xfId="22" xr:uid="{00000000-0005-0000-0000-00000C000000}"/>
    <cellStyle name="Currency [00]" xfId="23" xr:uid="{00000000-0005-0000-0000-00000D000000}"/>
    <cellStyle name="Currency_#6 Temps &amp; Contractors" xfId="24" xr:uid="{00000000-0005-0000-0000-00000E000000}"/>
    <cellStyle name="Date Short" xfId="25" xr:uid="{00000000-0005-0000-0000-00000F000000}"/>
    <cellStyle name="Enter Currency (0)" xfId="26" xr:uid="{00000000-0005-0000-0000-000010000000}"/>
    <cellStyle name="Enter Currency (2)" xfId="27" xr:uid="{00000000-0005-0000-0000-000011000000}"/>
    <cellStyle name="Enter Units (0)" xfId="28" xr:uid="{00000000-0005-0000-0000-000012000000}"/>
    <cellStyle name="Enter Units (1)" xfId="29" xr:uid="{00000000-0005-0000-0000-000013000000}"/>
    <cellStyle name="Enter Units (2)" xfId="30" xr:uid="{00000000-0005-0000-0000-000014000000}"/>
    <cellStyle name="Followed Hyperlink" xfId="31" xr:uid="{00000000-0005-0000-0000-000015000000}"/>
    <cellStyle name="Grey" xfId="32" xr:uid="{00000000-0005-0000-0000-000016000000}"/>
    <cellStyle name="Header1" xfId="33" xr:uid="{00000000-0005-0000-0000-000017000000}"/>
    <cellStyle name="Header2" xfId="34" xr:uid="{00000000-0005-0000-0000-000018000000}"/>
    <cellStyle name="Hyperlink" xfId="35" xr:uid="{00000000-0005-0000-0000-000019000000}"/>
    <cellStyle name="Input [yellow]" xfId="36" xr:uid="{00000000-0005-0000-0000-00001A000000}"/>
    <cellStyle name="Link Currency (0)" xfId="37" xr:uid="{00000000-0005-0000-0000-00001B000000}"/>
    <cellStyle name="Link Currency (2)" xfId="38" xr:uid="{00000000-0005-0000-0000-00001C000000}"/>
    <cellStyle name="Link Units (0)" xfId="39" xr:uid="{00000000-0005-0000-0000-00001D000000}"/>
    <cellStyle name="Link Units (1)" xfId="40" xr:uid="{00000000-0005-0000-0000-00001E000000}"/>
    <cellStyle name="Link Units (2)" xfId="41" xr:uid="{00000000-0005-0000-0000-00001F000000}"/>
    <cellStyle name="Normal - Style1" xfId="42" xr:uid="{00000000-0005-0000-0000-000020000000}"/>
    <cellStyle name="Normal_# 41-Market &amp;Trends" xfId="43" xr:uid="{00000000-0005-0000-0000-000021000000}"/>
    <cellStyle name="ParaBirimi [0]_RESULTS" xfId="44" xr:uid="{00000000-0005-0000-0000-000022000000}"/>
    <cellStyle name="ParaBirimi_RESULTS" xfId="45" xr:uid="{00000000-0005-0000-0000-000023000000}"/>
    <cellStyle name="Percent [0]" xfId="46" xr:uid="{00000000-0005-0000-0000-000024000000}"/>
    <cellStyle name="Percent [00]" xfId="47" xr:uid="{00000000-0005-0000-0000-000025000000}"/>
    <cellStyle name="Percent [2]" xfId="48" xr:uid="{00000000-0005-0000-0000-000026000000}"/>
    <cellStyle name="Percent_#6 Temps &amp; Contractors" xfId="49" xr:uid="{00000000-0005-0000-0000-000027000000}"/>
    <cellStyle name="PrePop Currency (0)" xfId="50" xr:uid="{00000000-0005-0000-0000-000028000000}"/>
    <cellStyle name="PrePop Currency (2)" xfId="51" xr:uid="{00000000-0005-0000-0000-000029000000}"/>
    <cellStyle name="PrePop Units (0)" xfId="52" xr:uid="{00000000-0005-0000-0000-00002A000000}"/>
    <cellStyle name="PrePop Units (1)" xfId="53" xr:uid="{00000000-0005-0000-0000-00002B000000}"/>
    <cellStyle name="PrePop Units (2)" xfId="54" xr:uid="{00000000-0005-0000-0000-00002C000000}"/>
    <cellStyle name="Text Indent A" xfId="55" xr:uid="{00000000-0005-0000-0000-00002D000000}"/>
    <cellStyle name="Text Indent B" xfId="56" xr:uid="{00000000-0005-0000-0000-00002E000000}"/>
    <cellStyle name="Text Indent C" xfId="57" xr:uid="{00000000-0005-0000-0000-00002F000000}"/>
    <cellStyle name="Virg・ [0]_RESULTS" xfId="58" xr:uid="{00000000-0005-0000-0000-000030000000}"/>
    <cellStyle name="Virg・_RESULTS" xfId="59" xr:uid="{00000000-0005-0000-0000-000031000000}"/>
    <cellStyle name="ﾄ褊褂燾・[0]_PERSONAL" xfId="60" xr:uid="{00000000-0005-0000-0000-000032000000}"/>
    <cellStyle name="ﾄ褊褂燾饑PERSONAL" xfId="61" xr:uid="{00000000-0005-0000-0000-000033000000}"/>
    <cellStyle name="パーセント 2" xfId="6" xr:uid="{5E27EB3D-C2EB-4A9B-B362-ED3EA2E3D728}"/>
    <cellStyle name="パーセント 2 2" xfId="74" xr:uid="{00000000-0005-0000-0000-000036000000}"/>
    <cellStyle name="パーセント 2 2 2" xfId="76" xr:uid="{00000000-0005-0000-0000-000037000000}"/>
    <cellStyle name="パーセント 2 3" xfId="77" xr:uid="{00000000-0005-0000-0000-000035000000}"/>
    <cellStyle name="パーセント 2 4" xfId="86" xr:uid="{00000000-0005-0000-0000-000001000000}"/>
    <cellStyle name="パーセント 3" xfId="78" xr:uid="{00000000-0005-0000-0000-000038000000}"/>
    <cellStyle name="ハイパーリンク 2" xfId="69" xr:uid="{00000000-0005-0000-0000-000039000000}"/>
    <cellStyle name="ﾎ磊隆_PERSONAL" xfId="62" xr:uid="{00000000-0005-0000-0000-00003A000000}"/>
    <cellStyle name="ﾔ竟瑙糺・[0]_PERSONAL" xfId="63" xr:uid="{00000000-0005-0000-0000-00003B000000}"/>
    <cellStyle name="ﾔ竟瑙糺饑PERSONAL" xfId="64" xr:uid="{00000000-0005-0000-0000-00003C000000}"/>
    <cellStyle name="桁区切り 2" xfId="7" xr:uid="{BADADD84-F8A0-402C-9BFB-0B63DEDEDFD2}"/>
    <cellStyle name="桁区切り 3" xfId="70" xr:uid="{00000000-0005-0000-0000-00003E000000}"/>
    <cellStyle name="桁区切り 4" xfId="73" xr:uid="{00000000-0005-0000-0000-00003F000000}"/>
    <cellStyle name="桁区切り 5" xfId="80" xr:uid="{00000000-0005-0000-0000-00007B000000}"/>
    <cellStyle name="桁区切り 6" xfId="83" xr:uid="{00000000-0005-0000-0000-00007E000000}"/>
    <cellStyle name="桁区切り 7" xfId="85" xr:uid="{00000000-0005-0000-0000-000080000000}"/>
    <cellStyle name="桁区切り 8" xfId="3" xr:uid="{00000000-0005-0000-0000-00006E000000}"/>
    <cellStyle name="通浦 [0.00]_laroux" xfId="65" xr:uid="{00000000-0005-0000-0000-000040000000}"/>
    <cellStyle name="通浦_laroux" xfId="66" xr:uid="{00000000-0005-0000-0000-000041000000}"/>
    <cellStyle name="標準" xfId="0" builtinId="0"/>
    <cellStyle name="標準 2" xfId="4" xr:uid="{FD915004-46D2-4BEC-A9A0-A498A2565AE5}"/>
    <cellStyle name="標準 2 2" xfId="67" xr:uid="{00000000-0005-0000-0000-000044000000}"/>
    <cellStyle name="標準 2 3" xfId="71" xr:uid="{00000000-0005-0000-0000-000045000000}"/>
    <cellStyle name="標準 2 4" xfId="9" xr:uid="{00000000-0005-0000-0000-000043000000}"/>
    <cellStyle name="標準 3" xfId="8" xr:uid="{BE48775B-793E-47B9-9C69-1A51A8A3FAA1}"/>
    <cellStyle name="標準 3 2" xfId="68" xr:uid="{00000000-0005-0000-0000-000046000000}"/>
    <cellStyle name="標準 3 3" xfId="81" xr:uid="{00000000-0005-0000-0000-000002000000}"/>
    <cellStyle name="標準 4" xfId="72" xr:uid="{00000000-0005-0000-0000-000047000000}"/>
    <cellStyle name="標準 4 3" xfId="75" xr:uid="{00000000-0005-0000-0000-000048000000}"/>
    <cellStyle name="標準 5" xfId="5" xr:uid="{2A6E0CDF-5E83-4859-90C6-E32AE5E85DD0}"/>
    <cellStyle name="標準 6" xfId="79" xr:uid="{00000000-0005-0000-0000-00007C000000}"/>
    <cellStyle name="標準 7" xfId="82" xr:uid="{00000000-0005-0000-0000-00007F000000}"/>
    <cellStyle name="標準 8" xfId="84" xr:uid="{00000000-0005-0000-0000-000081000000}"/>
    <cellStyle name="標準 9" xfId="2" xr:uid="{00000000-0005-0000-0000-000077000000}"/>
    <cellStyle name="標準_Boo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498764</xdr:colOff>
      <xdr:row>46</xdr:row>
      <xdr:rowOff>74294</xdr:rowOff>
    </xdr:from>
    <xdr:to>
      <xdr:col>15</xdr:col>
      <xdr:colOff>0</xdr:colOff>
      <xdr:row>49</xdr:row>
      <xdr:rowOff>185901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AFB9B8C-521B-4B0F-9394-237D4E0EBDE7}"/>
            </a:ext>
          </a:extLst>
        </xdr:cNvPr>
        <xdr:cNvSpPr txBox="1">
          <a:spLocks noChangeArrowheads="1"/>
        </xdr:cNvSpPr>
      </xdr:nvSpPr>
      <xdr:spPr bwMode="auto">
        <a:xfrm>
          <a:off x="4613564" y="16944974"/>
          <a:ext cx="96081273" cy="6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20</xdr:col>
      <xdr:colOff>506384</xdr:colOff>
      <xdr:row>46</xdr:row>
      <xdr:rowOff>74294</xdr:rowOff>
    </xdr:from>
    <xdr:to>
      <xdr:col>29</xdr:col>
      <xdr:colOff>2</xdr:colOff>
      <xdr:row>49</xdr:row>
      <xdr:rowOff>185901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ACA75A3-2004-4A8A-A875-9CA56092A338}"/>
            </a:ext>
          </a:extLst>
        </xdr:cNvPr>
        <xdr:cNvSpPr txBox="1">
          <a:spLocks noChangeArrowheads="1"/>
        </xdr:cNvSpPr>
      </xdr:nvSpPr>
      <xdr:spPr bwMode="auto">
        <a:xfrm>
          <a:off x="4613564" y="17849676"/>
          <a:ext cx="18107891" cy="647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34</xdr:col>
      <xdr:colOff>506384</xdr:colOff>
      <xdr:row>46</xdr:row>
      <xdr:rowOff>74294</xdr:rowOff>
    </xdr:from>
    <xdr:to>
      <xdr:col>42</xdr:col>
      <xdr:colOff>2251363</xdr:colOff>
      <xdr:row>49</xdr:row>
      <xdr:rowOff>185901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B25DD45D-8584-48F4-A5C2-567085F9A04E}"/>
            </a:ext>
          </a:extLst>
        </xdr:cNvPr>
        <xdr:cNvSpPr txBox="1">
          <a:spLocks noChangeArrowheads="1"/>
        </xdr:cNvSpPr>
      </xdr:nvSpPr>
      <xdr:spPr bwMode="auto">
        <a:xfrm>
          <a:off x="27335019" y="18237603"/>
          <a:ext cx="18107890" cy="647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48</xdr:col>
      <xdr:colOff>498764</xdr:colOff>
      <xdr:row>46</xdr:row>
      <xdr:rowOff>74294</xdr:rowOff>
    </xdr:from>
    <xdr:to>
      <xdr:col>57</xdr:col>
      <xdr:colOff>0</xdr:colOff>
      <xdr:row>49</xdr:row>
      <xdr:rowOff>185901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5D80ABC-D87B-48ED-98E0-8119ABACD0ED}"/>
            </a:ext>
          </a:extLst>
        </xdr:cNvPr>
        <xdr:cNvSpPr txBox="1">
          <a:spLocks noChangeArrowheads="1"/>
        </xdr:cNvSpPr>
      </xdr:nvSpPr>
      <xdr:spPr bwMode="auto">
        <a:xfrm>
          <a:off x="50056473" y="18029785"/>
          <a:ext cx="18107891" cy="647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62</xdr:col>
      <xdr:colOff>498764</xdr:colOff>
      <xdr:row>46</xdr:row>
      <xdr:rowOff>74294</xdr:rowOff>
    </xdr:from>
    <xdr:to>
      <xdr:col>71</xdr:col>
      <xdr:colOff>0</xdr:colOff>
      <xdr:row>49</xdr:row>
      <xdr:rowOff>185901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38282365-2716-42D4-BAB1-8197C25F1E3C}"/>
            </a:ext>
          </a:extLst>
        </xdr:cNvPr>
        <xdr:cNvSpPr txBox="1">
          <a:spLocks noChangeArrowheads="1"/>
        </xdr:cNvSpPr>
      </xdr:nvSpPr>
      <xdr:spPr bwMode="auto">
        <a:xfrm>
          <a:off x="72777928" y="18029785"/>
          <a:ext cx="18107890" cy="64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76</xdr:col>
      <xdr:colOff>498764</xdr:colOff>
      <xdr:row>46</xdr:row>
      <xdr:rowOff>74294</xdr:rowOff>
    </xdr:from>
    <xdr:to>
      <xdr:col>85</xdr:col>
      <xdr:colOff>0</xdr:colOff>
      <xdr:row>49</xdr:row>
      <xdr:rowOff>185901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A681C8D-8FBD-46C9-B1C5-DDE831A79D28}"/>
            </a:ext>
          </a:extLst>
        </xdr:cNvPr>
        <xdr:cNvSpPr txBox="1">
          <a:spLocks noChangeArrowheads="1"/>
        </xdr:cNvSpPr>
      </xdr:nvSpPr>
      <xdr:spPr bwMode="auto">
        <a:xfrm>
          <a:off x="95499382" y="18029785"/>
          <a:ext cx="18107891" cy="64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90</xdr:col>
      <xdr:colOff>498764</xdr:colOff>
      <xdr:row>46</xdr:row>
      <xdr:rowOff>74294</xdr:rowOff>
    </xdr:from>
    <xdr:to>
      <xdr:col>99</xdr:col>
      <xdr:colOff>0</xdr:colOff>
      <xdr:row>49</xdr:row>
      <xdr:rowOff>185901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7F9C3B91-66FF-4521-8D90-5B4C744C66BD}"/>
            </a:ext>
          </a:extLst>
        </xdr:cNvPr>
        <xdr:cNvSpPr txBox="1">
          <a:spLocks noChangeArrowheads="1"/>
        </xdr:cNvSpPr>
      </xdr:nvSpPr>
      <xdr:spPr bwMode="auto">
        <a:xfrm>
          <a:off x="117988278" y="17752694"/>
          <a:ext cx="18061379" cy="61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104</xdr:col>
      <xdr:colOff>498764</xdr:colOff>
      <xdr:row>46</xdr:row>
      <xdr:rowOff>74294</xdr:rowOff>
    </xdr:from>
    <xdr:to>
      <xdr:col>109</xdr:col>
      <xdr:colOff>0</xdr:colOff>
      <xdr:row>49</xdr:row>
      <xdr:rowOff>185901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E60ECF01-1098-4218-9262-1C03C986F695}"/>
            </a:ext>
          </a:extLst>
        </xdr:cNvPr>
        <xdr:cNvSpPr txBox="1">
          <a:spLocks noChangeArrowheads="1"/>
        </xdr:cNvSpPr>
      </xdr:nvSpPr>
      <xdr:spPr bwMode="auto">
        <a:xfrm>
          <a:off x="140942291" y="17655712"/>
          <a:ext cx="18107891" cy="644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118</xdr:col>
      <xdr:colOff>498764</xdr:colOff>
      <xdr:row>46</xdr:row>
      <xdr:rowOff>74294</xdr:rowOff>
    </xdr:from>
    <xdr:to>
      <xdr:col>134</xdr:col>
      <xdr:colOff>0</xdr:colOff>
      <xdr:row>49</xdr:row>
      <xdr:rowOff>185901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C602E8E-5524-454D-B480-7E187E4D8E23}"/>
            </a:ext>
          </a:extLst>
        </xdr:cNvPr>
        <xdr:cNvSpPr txBox="1">
          <a:spLocks noChangeArrowheads="1"/>
        </xdr:cNvSpPr>
      </xdr:nvSpPr>
      <xdr:spPr bwMode="auto">
        <a:xfrm>
          <a:off x="4632614" y="18648044"/>
          <a:ext cx="19275136" cy="64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498764</xdr:colOff>
      <xdr:row>42</xdr:row>
      <xdr:rowOff>74294</xdr:rowOff>
    </xdr:from>
    <xdr:to>
      <xdr:col>69</xdr:col>
      <xdr:colOff>491837</xdr:colOff>
      <xdr:row>45</xdr:row>
      <xdr:rowOff>163859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10778BA-DFCE-4AA7-BBCC-49F629DAF6B3}"/>
            </a:ext>
          </a:extLst>
        </xdr:cNvPr>
        <xdr:cNvSpPr txBox="1">
          <a:spLocks noChangeArrowheads="1"/>
        </xdr:cNvSpPr>
      </xdr:nvSpPr>
      <xdr:spPr bwMode="auto">
        <a:xfrm>
          <a:off x="4621184" y="17531714"/>
          <a:ext cx="101963913" cy="615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当社は、電力の安定供給確保の観点から、火力機抑制などの回避措置を行ったとしても、電気の供給量（発電出力合計）が、その需要量等（エリア需要予想、連系線運用容量）を上回ることが</a:t>
          </a:r>
          <a:endParaRPr lang="en-US" altLang="ja-JP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見込まれたことから、余剰電力を満たす発電事業者さまに対して、以下の内容で、出力抑制の指示等を行いました。</a:t>
          </a:r>
        </a:p>
      </xdr:txBody>
    </xdr:sp>
    <xdr:clientData/>
  </xdr:twoCellAnchor>
  <xdr:twoCellAnchor>
    <xdr:from>
      <xdr:col>19</xdr:col>
      <xdr:colOff>533401</xdr:colOff>
      <xdr:row>39</xdr:row>
      <xdr:rowOff>1905</xdr:rowOff>
    </xdr:from>
    <xdr:to>
      <xdr:col>97</xdr:col>
      <xdr:colOff>305060</xdr:colOff>
      <xdr:row>51</xdr:row>
      <xdr:rowOff>63834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AA8FE42-13A5-4CF1-95DD-AF80E19B35AC}"/>
            </a:ext>
          </a:extLst>
        </xdr:cNvPr>
        <xdr:cNvSpPr txBox="1">
          <a:spLocks noChangeArrowheads="1"/>
        </xdr:cNvSpPr>
      </xdr:nvSpPr>
      <xdr:spPr bwMode="auto">
        <a:xfrm>
          <a:off x="25628918" y="16936402"/>
          <a:ext cx="124945399" cy="271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             </a:t>
          </a:r>
          <a:r>
            <a:rPr lang="ja-JP" altLang="en-US" sz="3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『再生可能エネルギーの固定価格買取制度』に基づく再エネ出力制御指示に関する報告</a:t>
          </a:r>
          <a:endParaRPr lang="en-US" altLang="ja-JP" sz="3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2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7.123\&#38656;&#32102;&#29677;\DOCUME~1\346104\LOCALS~1\Temp\&#36913;&#38291;&#65418;&#65438;&#65431;&#65437;&#65405;&#12288;(7.25&#65374;8.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ts005\&#38651;&#21147;&#21462;&#24341;\&#38651;&#21147;&#21462;&#24341;&#12464;&#12523;&#12540;&#12503;H16&#9733;&#9733;\T1_&#20808;&#28193;&#12375;&#21462;&#24341;\H1802&#26908;&#35342;\20051017&#36939;&#36578;&#21336;&#20385;&#34920;(11&#26376;)&#23436;&#25104;&#29256;&#12308;&#21407;&#27833;&#35576;&#25499;&#25913;&#123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示切替"/>
      <sheetName val="誤差"/>
    </sheetNames>
    <sheetDataSet>
      <sheetData sheetId="0" refreshError="1">
        <row r="3">
          <cell r="C3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ワーク"/>
      <sheetName val="差異算出"/>
      <sheetName val="先月"/>
      <sheetName val="単価計算表"/>
      <sheetName val="2005-11"/>
      <sheetName val="2005-10"/>
      <sheetName val="2005-9"/>
      <sheetName val="2005-8"/>
      <sheetName val="2005-7"/>
      <sheetName val="2005-6"/>
      <sheetName val="2005-5"/>
      <sheetName val="2005-4"/>
      <sheetName val="2005-3"/>
      <sheetName val="2005-2"/>
      <sheetName val="2005-1"/>
      <sheetName val="2004-12"/>
      <sheetName val="2004-11"/>
      <sheetName val="2004-10"/>
      <sheetName val="2004-9"/>
      <sheetName val="2004-8"/>
      <sheetName val="2004-7"/>
      <sheetName val="2004-6"/>
      <sheetName val="2004-5"/>
      <sheetName val="2004-4"/>
      <sheetName val="2004-3"/>
      <sheetName val="2004-2"/>
      <sheetName val="2004-1"/>
      <sheetName val="2003-12"/>
      <sheetName val="2003-11"/>
      <sheetName val="2003-10"/>
      <sheetName val="2003-9"/>
      <sheetName val="2003-8"/>
      <sheetName val="2003-6"/>
      <sheetName val="2002-12"/>
      <sheetName val="2002-11"/>
      <sheetName val="2002-10"/>
      <sheetName val="2002-9"/>
    </sheetNames>
    <sheetDataSet>
      <sheetData sheetId="0"/>
      <sheetData sheetId="1"/>
      <sheetData sheetId="2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AC41-C652-4843-93DB-F9A16AE3526B}">
  <dimension ref="A1:BGF47"/>
  <sheetViews>
    <sheetView tabSelected="1" view="pageBreakPreview" zoomScale="55" zoomScaleNormal="70" zoomScaleSheetLayoutView="55" workbookViewId="0">
      <selection activeCell="AXS6" sqref="AXS6"/>
    </sheetView>
  </sheetViews>
  <sheetFormatPr defaultColWidth="8" defaultRowHeight="21" x14ac:dyDescent="0.4"/>
  <cols>
    <col min="1" max="1" width="6.625" style="2" bestFit="1" customWidth="1"/>
    <col min="2" max="2" width="6.625" style="2" customWidth="1"/>
    <col min="3" max="3" width="3.625" style="2" customWidth="1"/>
    <col min="4" max="6" width="14.625" style="2" customWidth="1"/>
    <col min="7" max="7" width="7.125" style="2" customWidth="1"/>
    <col min="8" max="8" width="11.625" style="2" customWidth="1"/>
    <col min="9" max="9" width="2.125" style="2" customWidth="1"/>
    <col min="10" max="10" width="5.125" style="2" customWidth="1"/>
    <col min="11" max="11" width="11.625" style="2" customWidth="1"/>
    <col min="12" max="12" width="29.625" style="2" customWidth="1"/>
    <col min="13" max="13" width="11.625" style="2" customWidth="1"/>
    <col min="14" max="14" width="2.125" style="2" customWidth="1"/>
    <col min="15" max="15" width="5.125" style="2" customWidth="1"/>
    <col min="16" max="16" width="11.625" style="2" customWidth="1"/>
    <col min="17" max="17" width="29.625" style="2" customWidth="1"/>
    <col min="18" max="18" width="11.625" style="2" customWidth="1"/>
    <col min="19" max="19" width="2.125" style="2" customWidth="1"/>
    <col min="20" max="20" width="5.125" style="2" customWidth="1"/>
    <col min="21" max="21" width="11.625" style="2" customWidth="1"/>
    <col min="22" max="22" width="29.625" style="2" customWidth="1"/>
    <col min="23" max="23" width="11.625" style="2" customWidth="1"/>
    <col min="24" max="24" width="2.125" style="2" customWidth="1"/>
    <col min="25" max="25" width="5.125" style="2" customWidth="1"/>
    <col min="26" max="26" width="11.625" style="2" customWidth="1"/>
    <col min="27" max="27" width="29.625" style="2" customWidth="1"/>
    <col min="28" max="28" width="6.625" style="2" bestFit="1" customWidth="1"/>
    <col min="29" max="29" width="6.625" style="2" customWidth="1"/>
    <col min="30" max="30" width="3.625" style="2" customWidth="1"/>
    <col min="31" max="33" width="14.625" style="2" customWidth="1"/>
    <col min="34" max="34" width="7.125" style="2" customWidth="1"/>
    <col min="35" max="35" width="11.625" style="2" customWidth="1"/>
    <col min="36" max="36" width="2.125" style="2" customWidth="1"/>
    <col min="37" max="37" width="5.125" style="2" customWidth="1"/>
    <col min="38" max="38" width="11.625" style="2" customWidth="1"/>
    <col min="39" max="39" width="29.625" style="2" customWidth="1"/>
    <col min="40" max="40" width="11.625" style="2" customWidth="1"/>
    <col min="41" max="41" width="2.125" style="2" customWidth="1"/>
    <col min="42" max="42" width="5.125" style="2" customWidth="1"/>
    <col min="43" max="43" width="11.625" style="2" customWidth="1"/>
    <col min="44" max="44" width="29.625" style="2" customWidth="1"/>
    <col min="45" max="45" width="11.625" style="2" customWidth="1"/>
    <col min="46" max="46" width="2.125" style="2" customWidth="1"/>
    <col min="47" max="47" width="5.125" style="2" customWidth="1"/>
    <col min="48" max="48" width="11.625" style="2" customWidth="1"/>
    <col min="49" max="49" width="29.625" style="2" customWidth="1"/>
    <col min="50" max="50" width="11.625" style="2" customWidth="1"/>
    <col min="51" max="51" width="2.125" style="2" customWidth="1"/>
    <col min="52" max="52" width="5.125" style="2" customWidth="1"/>
    <col min="53" max="53" width="11.625" style="2" customWidth="1"/>
    <col min="54" max="54" width="29.625" style="2" customWidth="1"/>
    <col min="55" max="55" width="6.625" style="2" bestFit="1" customWidth="1"/>
    <col min="56" max="56" width="6.625" style="2" customWidth="1"/>
    <col min="57" max="57" width="3.625" style="2" customWidth="1"/>
    <col min="58" max="60" width="14.625" style="2" customWidth="1"/>
    <col min="61" max="61" width="7.125" style="2" customWidth="1"/>
    <col min="62" max="62" width="11.625" style="2" customWidth="1"/>
    <col min="63" max="63" width="2.125" style="2" customWidth="1"/>
    <col min="64" max="64" width="5.125" style="2" customWidth="1"/>
    <col min="65" max="65" width="11.625" style="2" customWidth="1"/>
    <col min="66" max="66" width="29.625" style="2" customWidth="1"/>
    <col min="67" max="67" width="11.625" style="2" customWidth="1"/>
    <col min="68" max="68" width="2.125" style="2" customWidth="1"/>
    <col min="69" max="69" width="5.125" style="2" customWidth="1"/>
    <col min="70" max="70" width="11.625" style="2" customWidth="1"/>
    <col min="71" max="71" width="29.625" style="2" customWidth="1"/>
    <col min="72" max="72" width="11.625" style="2" customWidth="1"/>
    <col min="73" max="73" width="2.125" style="2" customWidth="1"/>
    <col min="74" max="74" width="5.125" style="2" customWidth="1"/>
    <col min="75" max="75" width="11.625" style="2" customWidth="1"/>
    <col min="76" max="76" width="29.625" style="2" customWidth="1"/>
    <col min="77" max="77" width="11.625" style="2" customWidth="1"/>
    <col min="78" max="78" width="2.125" style="2" customWidth="1"/>
    <col min="79" max="79" width="5.125" style="2" customWidth="1"/>
    <col min="80" max="80" width="11.625" style="2" customWidth="1"/>
    <col min="81" max="81" width="29.625" style="2" customWidth="1"/>
    <col min="82" max="83" width="6.625" style="2" customWidth="1"/>
    <col min="84" max="84" width="3.625" style="2" customWidth="1"/>
    <col min="85" max="87" width="14.625" style="2" customWidth="1"/>
    <col min="88" max="88" width="7.125" style="2" customWidth="1"/>
    <col min="89" max="89" width="11.625" style="2" customWidth="1"/>
    <col min="90" max="90" width="2.125" style="2" customWidth="1"/>
    <col min="91" max="91" width="5.125" style="2" customWidth="1"/>
    <col min="92" max="92" width="11.625" style="2" customWidth="1"/>
    <col min="93" max="93" width="29.625" style="2" customWidth="1"/>
    <col min="94" max="94" width="11.625" style="2" customWidth="1"/>
    <col min="95" max="95" width="2.125" style="2" customWidth="1"/>
    <col min="96" max="96" width="5.125" style="2" customWidth="1"/>
    <col min="97" max="97" width="11.625" style="2" customWidth="1"/>
    <col min="98" max="98" width="29.625" style="2" customWidth="1"/>
    <col min="99" max="99" width="11.625" style="2" customWidth="1"/>
    <col min="100" max="100" width="2.125" style="2" customWidth="1"/>
    <col min="101" max="101" width="5.125" style="2" customWidth="1"/>
    <col min="102" max="102" width="11.625" style="2" customWidth="1"/>
    <col min="103" max="103" width="29.625" style="2" customWidth="1"/>
    <col min="104" max="104" width="11.625" style="2" customWidth="1"/>
    <col min="105" max="105" width="2.125" style="2" customWidth="1"/>
    <col min="106" max="106" width="5.125" style="2" customWidth="1"/>
    <col min="107" max="107" width="11.625" style="2" customWidth="1"/>
    <col min="108" max="108" width="29.625" style="2" customWidth="1"/>
    <col min="109" max="109" width="6.625" style="2" bestFit="1" customWidth="1"/>
    <col min="110" max="110" width="6.625" style="2" customWidth="1"/>
    <col min="111" max="111" width="3.625" style="2" customWidth="1"/>
    <col min="112" max="114" width="14.625" style="2" customWidth="1"/>
    <col min="115" max="115" width="7.125" style="2" customWidth="1"/>
    <col min="116" max="116" width="11.625" style="2" customWidth="1"/>
    <col min="117" max="117" width="2.125" style="2" customWidth="1"/>
    <col min="118" max="118" width="5.125" style="2" customWidth="1"/>
    <col min="119" max="119" width="11.625" style="2" customWidth="1"/>
    <col min="120" max="120" width="29.625" style="2" customWidth="1"/>
    <col min="121" max="121" width="11.625" style="2" customWidth="1"/>
    <col min="122" max="122" width="2.125" style="2" customWidth="1"/>
    <col min="123" max="123" width="5.125" style="2" customWidth="1"/>
    <col min="124" max="124" width="11.625" style="2" customWidth="1"/>
    <col min="125" max="125" width="29.625" style="2" customWidth="1"/>
    <col min="126" max="126" width="11.625" style="2" customWidth="1"/>
    <col min="127" max="127" width="2.125" style="2" customWidth="1"/>
    <col min="128" max="128" width="5.125" style="2" customWidth="1"/>
    <col min="129" max="129" width="11.625" style="2" customWidth="1"/>
    <col min="130" max="130" width="29.625" style="2" customWidth="1"/>
    <col min="131" max="131" width="11.625" style="2" customWidth="1"/>
    <col min="132" max="132" width="2.125" style="2" customWidth="1"/>
    <col min="133" max="133" width="5.125" style="2" customWidth="1"/>
    <col min="134" max="134" width="11.625" style="2" customWidth="1"/>
    <col min="135" max="135" width="29.625" style="2" customWidth="1"/>
    <col min="136" max="136" width="6.625" style="2" bestFit="1" customWidth="1"/>
    <col min="137" max="137" width="6.625" style="2" customWidth="1"/>
    <col min="138" max="138" width="3.625" style="2" customWidth="1"/>
    <col min="139" max="141" width="14.625" style="2" customWidth="1"/>
    <col min="142" max="142" width="7.125" style="2" customWidth="1"/>
    <col min="143" max="143" width="11.625" style="2" customWidth="1"/>
    <col min="144" max="144" width="2.125" style="2" customWidth="1"/>
    <col min="145" max="145" width="5.125" style="2" customWidth="1"/>
    <col min="146" max="146" width="11.625" style="2" customWidth="1"/>
    <col min="147" max="147" width="29.625" style="2" customWidth="1"/>
    <col min="148" max="148" width="11.625" style="2" customWidth="1"/>
    <col min="149" max="149" width="2.125" style="2" customWidth="1"/>
    <col min="150" max="150" width="5.125" style="2" customWidth="1"/>
    <col min="151" max="151" width="11.625" style="2" customWidth="1"/>
    <col min="152" max="152" width="29.625" style="2" customWidth="1"/>
    <col min="153" max="153" width="11.625" style="2" customWidth="1"/>
    <col min="154" max="154" width="2.125" style="2" customWidth="1"/>
    <col min="155" max="155" width="5.125" style="2" customWidth="1"/>
    <col min="156" max="156" width="11.625" style="2" customWidth="1"/>
    <col min="157" max="157" width="29.625" style="2" customWidth="1"/>
    <col min="158" max="158" width="11.625" style="2" customWidth="1"/>
    <col min="159" max="159" width="2.125" style="2" customWidth="1"/>
    <col min="160" max="160" width="5.125" style="2" customWidth="1"/>
    <col min="161" max="161" width="11.625" style="2" customWidth="1"/>
    <col min="162" max="162" width="29.625" style="2" customWidth="1"/>
    <col min="163" max="163" width="6.625" style="2" bestFit="1" customWidth="1"/>
    <col min="164" max="164" width="6.625" style="2" customWidth="1"/>
    <col min="165" max="165" width="3.625" style="2" customWidth="1"/>
    <col min="166" max="168" width="14.625" style="2" customWidth="1"/>
    <col min="169" max="169" width="7.125" style="2" customWidth="1"/>
    <col min="170" max="170" width="11.625" style="2" customWidth="1"/>
    <col min="171" max="171" width="2.125" style="2" customWidth="1"/>
    <col min="172" max="172" width="5.125" style="2" customWidth="1"/>
    <col min="173" max="173" width="11.625" style="2" customWidth="1"/>
    <col min="174" max="174" width="29.625" style="2" customWidth="1"/>
    <col min="175" max="175" width="11.625" style="2" customWidth="1"/>
    <col min="176" max="176" width="2.125" style="2" customWidth="1"/>
    <col min="177" max="177" width="5.125" style="2" customWidth="1"/>
    <col min="178" max="178" width="11.625" style="2" customWidth="1"/>
    <col min="179" max="179" width="29.625" style="2" customWidth="1"/>
    <col min="180" max="180" width="11.625" style="2" customWidth="1"/>
    <col min="181" max="181" width="2.125" style="2" customWidth="1"/>
    <col min="182" max="182" width="5.125" style="2" customWidth="1"/>
    <col min="183" max="183" width="11.625" style="2" customWidth="1"/>
    <col min="184" max="184" width="29.625" style="2" customWidth="1"/>
    <col min="185" max="185" width="11.625" style="2" customWidth="1"/>
    <col min="186" max="186" width="2.125" style="2" customWidth="1"/>
    <col min="187" max="187" width="5.125" style="2" customWidth="1"/>
    <col min="188" max="188" width="11.625" style="2" customWidth="1"/>
    <col min="189" max="189" width="29.625" style="2" customWidth="1"/>
    <col min="190" max="190" width="6.625" style="2" bestFit="1" customWidth="1"/>
    <col min="191" max="191" width="6.625" style="2" customWidth="1"/>
    <col min="192" max="192" width="3.625" style="2" customWidth="1"/>
    <col min="193" max="195" width="14.625" style="2" customWidth="1"/>
    <col min="196" max="196" width="7.125" style="2" customWidth="1"/>
    <col min="197" max="197" width="11.625" style="2" customWidth="1"/>
    <col min="198" max="198" width="2.125" style="2" customWidth="1"/>
    <col min="199" max="199" width="5.125" style="2" customWidth="1"/>
    <col min="200" max="200" width="11.625" style="2" customWidth="1"/>
    <col min="201" max="201" width="29.625" style="2" customWidth="1"/>
    <col min="202" max="202" width="11.625" style="2" customWidth="1"/>
    <col min="203" max="203" width="2.125" style="2" customWidth="1"/>
    <col min="204" max="204" width="5.125" style="2" customWidth="1"/>
    <col min="205" max="205" width="11.625" style="2" customWidth="1"/>
    <col min="206" max="206" width="29.625" style="2" customWidth="1"/>
    <col min="207" max="207" width="11.625" style="2" customWidth="1"/>
    <col min="208" max="208" width="2.125" style="2" customWidth="1"/>
    <col min="209" max="209" width="5.125" style="2" customWidth="1"/>
    <col min="210" max="210" width="11.625" style="2" customWidth="1"/>
    <col min="211" max="211" width="29.625" style="2" customWidth="1"/>
    <col min="212" max="212" width="11.625" style="2" customWidth="1"/>
    <col min="213" max="213" width="2.125" style="2" customWidth="1"/>
    <col min="214" max="214" width="5.125" style="2" customWidth="1"/>
    <col min="215" max="215" width="11.625" style="2" customWidth="1"/>
    <col min="216" max="216" width="29.625" style="2" customWidth="1"/>
    <col min="217" max="217" width="6.625" style="2" bestFit="1" customWidth="1"/>
    <col min="218" max="218" width="6.625" style="2" customWidth="1"/>
    <col min="219" max="219" width="3.625" style="2" customWidth="1"/>
    <col min="220" max="222" width="14.625" style="2" customWidth="1"/>
    <col min="223" max="223" width="7.125" style="2" customWidth="1"/>
    <col min="224" max="224" width="11.625" style="2" customWidth="1"/>
    <col min="225" max="225" width="2.125" style="2" customWidth="1"/>
    <col min="226" max="226" width="5.125" style="2" customWidth="1"/>
    <col min="227" max="227" width="11.625" style="2" customWidth="1"/>
    <col min="228" max="228" width="29.625" style="2" customWidth="1"/>
    <col min="229" max="229" width="11.625" style="2" customWidth="1"/>
    <col min="230" max="230" width="2.125" style="2" customWidth="1"/>
    <col min="231" max="231" width="5.125" style="2" customWidth="1"/>
    <col min="232" max="232" width="11.625" style="2" customWidth="1"/>
    <col min="233" max="233" width="29.625" style="2" customWidth="1"/>
    <col min="234" max="234" width="11.625" style="2" customWidth="1"/>
    <col min="235" max="235" width="2.125" style="2" customWidth="1"/>
    <col min="236" max="236" width="5.125" style="2" customWidth="1"/>
    <col min="237" max="237" width="11.625" style="2" customWidth="1"/>
    <col min="238" max="238" width="29.625" style="2" customWidth="1"/>
    <col min="239" max="239" width="11.625" style="2" customWidth="1"/>
    <col min="240" max="240" width="2.125" style="2" customWidth="1"/>
    <col min="241" max="241" width="5.125" style="2" customWidth="1"/>
    <col min="242" max="242" width="11.625" style="2" customWidth="1"/>
    <col min="243" max="243" width="33" style="2" customWidth="1"/>
    <col min="244" max="244" width="6.625" style="2" bestFit="1" customWidth="1"/>
    <col min="245" max="245" width="6.625" style="2" customWidth="1"/>
    <col min="246" max="246" width="3.625" style="2" customWidth="1"/>
    <col min="247" max="249" width="14.625" style="2" customWidth="1"/>
    <col min="250" max="250" width="7.125" style="2" customWidth="1"/>
    <col min="251" max="251" width="11.625" style="2" customWidth="1"/>
    <col min="252" max="252" width="2.125" style="2" customWidth="1"/>
    <col min="253" max="253" width="5.125" style="2" customWidth="1"/>
    <col min="254" max="254" width="11.625" style="2" customWidth="1"/>
    <col min="255" max="255" width="29.625" style="2" customWidth="1"/>
    <col min="256" max="256" width="11.625" style="2" customWidth="1"/>
    <col min="257" max="257" width="2.125" style="2" customWidth="1"/>
    <col min="258" max="258" width="5.125" style="2" customWidth="1"/>
    <col min="259" max="259" width="11.625" style="2" customWidth="1"/>
    <col min="260" max="260" width="29.625" style="2" customWidth="1"/>
    <col min="261" max="261" width="11.625" style="2" customWidth="1"/>
    <col min="262" max="262" width="2.125" style="2" customWidth="1"/>
    <col min="263" max="263" width="5.125" style="2" customWidth="1"/>
    <col min="264" max="264" width="11.625" style="2" customWidth="1"/>
    <col min="265" max="265" width="29.625" style="2" customWidth="1"/>
    <col min="266" max="266" width="11.625" style="2" customWidth="1"/>
    <col min="267" max="267" width="2.125" style="2" customWidth="1"/>
    <col min="268" max="268" width="5.125" style="2" customWidth="1"/>
    <col min="269" max="269" width="11.625" style="2" customWidth="1"/>
    <col min="270" max="270" width="29.625" style="2" customWidth="1"/>
    <col min="271" max="271" width="6.625" style="2" bestFit="1" customWidth="1"/>
    <col min="272" max="272" width="6.625" style="2" customWidth="1"/>
    <col min="273" max="273" width="3.625" style="2" customWidth="1"/>
    <col min="274" max="276" width="14.625" style="2" customWidth="1"/>
    <col min="277" max="277" width="7.125" style="2" customWidth="1"/>
    <col min="278" max="278" width="11.625" style="2" customWidth="1"/>
    <col min="279" max="279" width="2.125" style="2" customWidth="1"/>
    <col min="280" max="280" width="5.125" style="2" customWidth="1"/>
    <col min="281" max="281" width="11.625" style="2" customWidth="1"/>
    <col min="282" max="282" width="29.625" style="2" customWidth="1"/>
    <col min="283" max="283" width="11.625" style="2" customWidth="1"/>
    <col min="284" max="284" width="2.125" style="2" customWidth="1"/>
    <col min="285" max="285" width="5.125" style="2" customWidth="1"/>
    <col min="286" max="286" width="11.625" style="2" customWidth="1"/>
    <col min="287" max="287" width="29.625" style="2" customWidth="1"/>
    <col min="288" max="288" width="11.625" style="2" customWidth="1"/>
    <col min="289" max="289" width="2.125" style="2" customWidth="1"/>
    <col min="290" max="290" width="5.125" style="2" customWidth="1"/>
    <col min="291" max="291" width="11.625" style="2" customWidth="1"/>
    <col min="292" max="292" width="29.625" style="2" customWidth="1"/>
    <col min="293" max="293" width="11.625" style="2" customWidth="1"/>
    <col min="294" max="294" width="2.125" style="2" customWidth="1"/>
    <col min="295" max="295" width="5.125" style="2" customWidth="1"/>
    <col min="296" max="296" width="11.625" style="2" customWidth="1"/>
    <col min="297" max="297" width="29.625" style="2" customWidth="1"/>
    <col min="298" max="298" width="6.625" style="2" bestFit="1" customWidth="1"/>
    <col min="299" max="299" width="6.625" style="2" customWidth="1"/>
    <col min="300" max="300" width="3.625" style="2" customWidth="1"/>
    <col min="301" max="303" width="14.625" style="2" customWidth="1"/>
    <col min="304" max="304" width="7.125" style="2" customWidth="1"/>
    <col min="305" max="305" width="11.625" style="2" customWidth="1"/>
    <col min="306" max="306" width="2.125" style="2" customWidth="1"/>
    <col min="307" max="307" width="5.125" style="2" customWidth="1"/>
    <col min="308" max="308" width="11.625" style="2" customWidth="1"/>
    <col min="309" max="309" width="29.625" style="2" customWidth="1"/>
    <col min="310" max="310" width="11.625" style="2" customWidth="1"/>
    <col min="311" max="311" width="2.125" style="2" customWidth="1"/>
    <col min="312" max="312" width="5.125" style="2" customWidth="1"/>
    <col min="313" max="313" width="11.625" style="2" customWidth="1"/>
    <col min="314" max="314" width="29.625" style="2" customWidth="1"/>
    <col min="315" max="315" width="11.625" style="2" customWidth="1"/>
    <col min="316" max="316" width="2.125" style="2" customWidth="1"/>
    <col min="317" max="317" width="5.125" style="2" customWidth="1"/>
    <col min="318" max="318" width="11.625" style="2" customWidth="1"/>
    <col min="319" max="319" width="33" style="2" customWidth="1"/>
    <col min="320" max="320" width="11.625" style="2" customWidth="1"/>
    <col min="321" max="321" width="2.125" style="2" customWidth="1"/>
    <col min="322" max="322" width="5.125" style="2" customWidth="1"/>
    <col min="323" max="323" width="11.625" style="2" customWidth="1"/>
    <col min="324" max="324" width="29.625" style="2" customWidth="1"/>
    <col min="325" max="325" width="6.625" style="2" bestFit="1" customWidth="1"/>
    <col min="326" max="326" width="6.625" style="2" customWidth="1"/>
    <col min="327" max="327" width="3.625" style="2" customWidth="1"/>
    <col min="328" max="330" width="14.625" style="2" customWidth="1"/>
    <col min="331" max="331" width="7.125" style="2" customWidth="1"/>
    <col min="332" max="332" width="11.625" style="2" customWidth="1"/>
    <col min="333" max="333" width="2.125" style="2" customWidth="1"/>
    <col min="334" max="334" width="5.125" style="2" customWidth="1"/>
    <col min="335" max="335" width="11.625" style="2" customWidth="1"/>
    <col min="336" max="336" width="29.625" style="2" customWidth="1"/>
    <col min="337" max="337" width="11.625" style="2" customWidth="1"/>
    <col min="338" max="338" width="2.125" style="2" customWidth="1"/>
    <col min="339" max="339" width="5.125" style="2" customWidth="1"/>
    <col min="340" max="340" width="11.625" style="2" customWidth="1"/>
    <col min="341" max="341" width="29.625" style="2" customWidth="1"/>
    <col min="342" max="342" width="11.625" style="2" customWidth="1"/>
    <col min="343" max="343" width="2.125" style="2" customWidth="1"/>
    <col min="344" max="344" width="5.125" style="2" customWidth="1"/>
    <col min="345" max="345" width="11.625" style="2" customWidth="1"/>
    <col min="346" max="346" width="29.625" style="2" customWidth="1"/>
    <col min="347" max="347" width="11.625" style="2" customWidth="1"/>
    <col min="348" max="348" width="2.125" style="2" customWidth="1"/>
    <col min="349" max="349" width="5.125" style="2" customWidth="1"/>
    <col min="350" max="350" width="11.625" style="2" customWidth="1"/>
    <col min="351" max="351" width="29.625" style="2" customWidth="1"/>
    <col min="352" max="352" width="6.625" style="2" bestFit="1" customWidth="1"/>
    <col min="353" max="353" width="6.625" style="2" customWidth="1"/>
    <col min="354" max="354" width="3.625" style="2" customWidth="1"/>
    <col min="355" max="357" width="14.625" style="2" customWidth="1"/>
    <col min="358" max="358" width="7.125" style="2" customWidth="1"/>
    <col min="359" max="359" width="11.625" style="2" customWidth="1"/>
    <col min="360" max="360" width="2.125" style="2" customWidth="1"/>
    <col min="361" max="361" width="5.125" style="2" customWidth="1"/>
    <col min="362" max="362" width="11.625" style="2" customWidth="1"/>
    <col min="363" max="363" width="29.625" style="2" customWidth="1"/>
    <col min="364" max="364" width="11.625" style="2" customWidth="1"/>
    <col min="365" max="365" width="2.125" style="2" customWidth="1"/>
    <col min="366" max="366" width="5.125" style="2" customWidth="1"/>
    <col min="367" max="367" width="11.625" style="2" customWidth="1"/>
    <col min="368" max="368" width="29.625" style="2" customWidth="1"/>
    <col min="369" max="369" width="11.625" style="2" customWidth="1"/>
    <col min="370" max="370" width="2.125" style="2" customWidth="1"/>
    <col min="371" max="371" width="5.125" style="2" customWidth="1"/>
    <col min="372" max="372" width="11.625" style="2" customWidth="1"/>
    <col min="373" max="373" width="29.625" style="2" customWidth="1"/>
    <col min="374" max="374" width="11.625" style="2" customWidth="1"/>
    <col min="375" max="375" width="2.125" style="2" customWidth="1"/>
    <col min="376" max="376" width="5.125" style="2" customWidth="1"/>
    <col min="377" max="377" width="11.625" style="2" customWidth="1"/>
    <col min="378" max="378" width="29.625" style="2" customWidth="1"/>
    <col min="379" max="379" width="6.625" style="2" bestFit="1" customWidth="1"/>
    <col min="380" max="380" width="6.625" style="2" customWidth="1"/>
    <col min="381" max="381" width="3.625" style="2" customWidth="1"/>
    <col min="382" max="384" width="14.625" style="2" customWidth="1"/>
    <col min="385" max="385" width="7.125" style="2" customWidth="1"/>
    <col min="386" max="386" width="11.625" style="2" customWidth="1"/>
    <col min="387" max="387" width="2.125" style="2" customWidth="1"/>
    <col min="388" max="388" width="5.125" style="2" customWidth="1"/>
    <col min="389" max="389" width="9.625" style="2" bestFit="1" customWidth="1"/>
    <col min="390" max="390" width="30.625" style="2" customWidth="1"/>
    <col min="391" max="391" width="11.625" style="2" customWidth="1"/>
    <col min="392" max="392" width="2.125" style="2" customWidth="1"/>
    <col min="393" max="393" width="5.125" style="2" customWidth="1"/>
    <col min="394" max="394" width="11.625" style="2" customWidth="1"/>
    <col min="395" max="395" width="29.625" style="2" customWidth="1"/>
    <col min="396" max="396" width="11.625" style="2" customWidth="1"/>
    <col min="397" max="397" width="2.125" style="2" customWidth="1"/>
    <col min="398" max="398" width="5.125" style="2" customWidth="1"/>
    <col min="399" max="399" width="11.625" style="2" customWidth="1"/>
    <col min="400" max="400" width="29.625" style="2" customWidth="1"/>
    <col min="401" max="401" width="11.625" style="2" customWidth="1"/>
    <col min="402" max="402" width="2.125" style="2" customWidth="1"/>
    <col min="403" max="403" width="5.125" style="2" customWidth="1"/>
    <col min="404" max="404" width="11.625" style="2" customWidth="1"/>
    <col min="405" max="405" width="31.125" style="2" bestFit="1" customWidth="1"/>
    <col min="406" max="406" width="6.625" style="2" bestFit="1" customWidth="1"/>
    <col min="407" max="407" width="6.625" style="2" customWidth="1"/>
    <col min="408" max="408" width="3.625" style="2" customWidth="1"/>
    <col min="409" max="411" width="14.625" style="2" customWidth="1"/>
    <col min="412" max="412" width="7.125" style="2" customWidth="1"/>
    <col min="413" max="413" width="11.625" style="2" customWidth="1"/>
    <col min="414" max="414" width="2.125" style="2" customWidth="1"/>
    <col min="415" max="415" width="5.125" style="2" customWidth="1"/>
    <col min="416" max="416" width="9.625" style="2" bestFit="1" customWidth="1"/>
    <col min="417" max="417" width="31.125" style="2" customWidth="1"/>
    <col min="418" max="418" width="11.625" style="2" customWidth="1"/>
    <col min="419" max="419" width="2.125" style="2" customWidth="1"/>
    <col min="420" max="420" width="5.125" style="2" customWidth="1"/>
    <col min="421" max="421" width="11.625" style="2" customWidth="1"/>
    <col min="422" max="422" width="31.125" style="2" bestFit="1" customWidth="1"/>
    <col min="423" max="423" width="11.625" style="2" customWidth="1"/>
    <col min="424" max="424" width="2.125" style="2" customWidth="1"/>
    <col min="425" max="425" width="5.125" style="2" customWidth="1"/>
    <col min="426" max="426" width="11.625" style="2" customWidth="1"/>
    <col min="427" max="427" width="31.125" style="2" bestFit="1" customWidth="1"/>
    <col min="428" max="428" width="11.625" style="2" customWidth="1"/>
    <col min="429" max="429" width="2.125" style="2" customWidth="1"/>
    <col min="430" max="430" width="5.125" style="2" customWidth="1"/>
    <col min="431" max="431" width="11.625" style="2" customWidth="1"/>
    <col min="432" max="432" width="31.125" style="2" customWidth="1"/>
    <col min="433" max="433" width="6.625" style="2" bestFit="1" customWidth="1"/>
    <col min="434" max="434" width="6.625" style="2" customWidth="1"/>
    <col min="435" max="435" width="3.625" style="2" customWidth="1"/>
    <col min="436" max="438" width="14.625" style="2" customWidth="1"/>
    <col min="439" max="439" width="7.125" style="2" customWidth="1"/>
    <col min="440" max="440" width="11.625" style="2" customWidth="1"/>
    <col min="441" max="441" width="2.125" style="2" customWidth="1"/>
    <col min="442" max="442" width="5.125" style="2" customWidth="1"/>
    <col min="443" max="443" width="9.625" style="2" bestFit="1" customWidth="1"/>
    <col min="444" max="444" width="31.125" style="2" customWidth="1"/>
    <col min="445" max="445" width="11.625" style="2" customWidth="1"/>
    <col min="446" max="446" width="2.125" style="2" customWidth="1"/>
    <col min="447" max="447" width="5.125" style="2" customWidth="1"/>
    <col min="448" max="448" width="11.625" style="2" customWidth="1"/>
    <col min="449" max="449" width="31.125" style="2" customWidth="1"/>
    <col min="450" max="450" width="11.625" style="2" customWidth="1"/>
    <col min="451" max="451" width="2.125" style="2" customWidth="1"/>
    <col min="452" max="452" width="5.125" style="2" customWidth="1"/>
    <col min="453" max="453" width="11.625" style="2" customWidth="1"/>
    <col min="454" max="454" width="31.125" style="2" customWidth="1"/>
    <col min="455" max="455" width="11.625" style="2" customWidth="1"/>
    <col min="456" max="456" width="2.125" style="2" customWidth="1"/>
    <col min="457" max="457" width="5.125" style="2" customWidth="1"/>
    <col min="458" max="458" width="11.625" style="2" customWidth="1"/>
    <col min="459" max="459" width="31.125" style="2" customWidth="1"/>
    <col min="460" max="460" width="6.625" style="2" bestFit="1" customWidth="1"/>
    <col min="461" max="461" width="6.625" style="2" customWidth="1"/>
    <col min="462" max="462" width="3.625" style="2" customWidth="1"/>
    <col min="463" max="465" width="14.625" style="2" customWidth="1"/>
    <col min="466" max="466" width="7.125" style="2" customWidth="1"/>
    <col min="467" max="467" width="11.625" style="2" customWidth="1"/>
    <col min="468" max="468" width="2.125" style="2" customWidth="1"/>
    <col min="469" max="469" width="5.125" style="2" customWidth="1"/>
    <col min="470" max="470" width="9.625" style="2" bestFit="1" customWidth="1"/>
    <col min="471" max="471" width="31.125" style="2" customWidth="1"/>
    <col min="472" max="472" width="11.625" style="2" customWidth="1"/>
    <col min="473" max="473" width="2.125" style="2" customWidth="1"/>
    <col min="474" max="474" width="5.125" style="2" customWidth="1"/>
    <col min="475" max="475" width="11.625" style="2" customWidth="1"/>
    <col min="476" max="476" width="31.125" style="2" customWidth="1"/>
    <col min="477" max="477" width="11.625" style="2" customWidth="1"/>
    <col min="478" max="478" width="2.125" style="2" customWidth="1"/>
    <col min="479" max="479" width="5.125" style="2" customWidth="1"/>
    <col min="480" max="480" width="11.625" style="2" customWidth="1"/>
    <col min="481" max="481" width="31.125" style="2" customWidth="1"/>
    <col min="482" max="482" width="11.625" style="2" customWidth="1"/>
    <col min="483" max="483" width="2.125" style="2" customWidth="1"/>
    <col min="484" max="484" width="5.125" style="2" customWidth="1"/>
    <col min="485" max="485" width="11.625" style="2" customWidth="1"/>
    <col min="486" max="486" width="31.125" style="2" customWidth="1"/>
    <col min="487" max="487" width="6.625" style="2" bestFit="1" customWidth="1"/>
    <col min="488" max="488" width="6.625" style="2" customWidth="1"/>
    <col min="489" max="489" width="3.625" style="2" customWidth="1"/>
    <col min="490" max="492" width="14.625" style="2" customWidth="1"/>
    <col min="493" max="493" width="7.125" style="2" customWidth="1"/>
    <col min="494" max="494" width="11.625" style="2" customWidth="1"/>
    <col min="495" max="495" width="2.125" style="2" customWidth="1"/>
    <col min="496" max="496" width="5.125" style="2" customWidth="1"/>
    <col min="497" max="497" width="9.625" style="2" bestFit="1" customWidth="1"/>
    <col min="498" max="498" width="31.125" style="2" customWidth="1"/>
    <col min="499" max="499" width="11.625" style="2" customWidth="1"/>
    <col min="500" max="500" width="2.125" style="2" customWidth="1"/>
    <col min="501" max="501" width="5.125" style="2" customWidth="1"/>
    <col min="502" max="502" width="11.625" style="2" customWidth="1"/>
    <col min="503" max="503" width="31.125" style="2" customWidth="1"/>
    <col min="504" max="504" width="11.625" style="2" customWidth="1"/>
    <col min="505" max="505" width="2.125" style="2" customWidth="1"/>
    <col min="506" max="506" width="5.125" style="2" customWidth="1"/>
    <col min="507" max="507" width="11.625" style="2" customWidth="1"/>
    <col min="508" max="508" width="28.5" style="2" bestFit="1" customWidth="1"/>
    <col min="509" max="509" width="11.625" style="2" customWidth="1"/>
    <col min="510" max="510" width="2.125" style="2" customWidth="1"/>
    <col min="511" max="511" width="5.125" style="2" customWidth="1"/>
    <col min="512" max="512" width="11.625" style="2" customWidth="1"/>
    <col min="513" max="513" width="31.125" style="2" customWidth="1"/>
    <col min="514" max="514" width="6.625" style="2" bestFit="1" customWidth="1"/>
    <col min="515" max="515" width="6.625" style="2" customWidth="1"/>
    <col min="516" max="516" width="3.625" style="2" customWidth="1"/>
    <col min="517" max="519" width="14.625" style="2" customWidth="1"/>
    <col min="520" max="520" width="7.125" style="2" customWidth="1"/>
    <col min="521" max="521" width="11.625" style="2" customWidth="1"/>
    <col min="522" max="522" width="2.125" style="2" customWidth="1"/>
    <col min="523" max="523" width="5.125" style="2" customWidth="1"/>
    <col min="524" max="524" width="11.625" style="2" customWidth="1"/>
    <col min="525" max="525" width="29.625" style="2" customWidth="1"/>
    <col min="526" max="526" width="11.625" style="2" customWidth="1"/>
    <col min="527" max="527" width="2.125" style="2" customWidth="1"/>
    <col min="528" max="528" width="5.125" style="2" customWidth="1"/>
    <col min="529" max="529" width="11.625" style="2" customWidth="1"/>
    <col min="530" max="530" width="29.625" style="2" customWidth="1"/>
    <col min="531" max="531" width="11.625" style="2" customWidth="1"/>
    <col min="532" max="532" width="2.125" style="2" customWidth="1"/>
    <col min="533" max="533" width="5.125" style="2" customWidth="1"/>
    <col min="534" max="534" width="11.625" style="2" customWidth="1"/>
    <col min="535" max="535" width="29.625" style="2" customWidth="1"/>
    <col min="536" max="536" width="11.625" style="2" customWidth="1"/>
    <col min="537" max="537" width="2.125" style="2" customWidth="1"/>
    <col min="538" max="538" width="5.125" style="2" customWidth="1"/>
    <col min="539" max="539" width="11.625" style="2" customWidth="1"/>
    <col min="540" max="540" width="29.625" style="2" customWidth="1"/>
    <col min="541" max="541" width="6.625" style="2" bestFit="1" customWidth="1"/>
    <col min="542" max="542" width="6.625" style="2" customWidth="1"/>
    <col min="543" max="543" width="3.625" style="2" customWidth="1"/>
    <col min="544" max="546" width="14.625" style="2" customWidth="1"/>
    <col min="547" max="547" width="7.125" style="2" customWidth="1"/>
    <col min="548" max="548" width="11.625" style="2" customWidth="1"/>
    <col min="549" max="549" width="2.125" style="2" customWidth="1"/>
    <col min="550" max="550" width="5.125" style="2" customWidth="1"/>
    <col min="551" max="551" width="11.625" style="2" customWidth="1"/>
    <col min="552" max="552" width="29.625" style="2" customWidth="1"/>
    <col min="553" max="553" width="11.625" style="2" customWidth="1"/>
    <col min="554" max="554" width="2.125" style="2" customWidth="1"/>
    <col min="555" max="555" width="5.125" style="2" customWidth="1"/>
    <col min="556" max="556" width="11.625" style="2" customWidth="1"/>
    <col min="557" max="557" width="29.625" style="2" customWidth="1"/>
    <col min="558" max="558" width="11.625" style="2" customWidth="1"/>
    <col min="559" max="559" width="2.125" style="2" customWidth="1"/>
    <col min="560" max="560" width="5.125" style="2" customWidth="1"/>
    <col min="561" max="561" width="11.625" style="2" customWidth="1"/>
    <col min="562" max="562" width="29.625" style="2" customWidth="1"/>
    <col min="563" max="563" width="11.625" style="2" customWidth="1"/>
    <col min="564" max="564" width="2.125" style="2" customWidth="1"/>
    <col min="565" max="565" width="5.125" style="2" customWidth="1"/>
    <col min="566" max="566" width="11.625" style="2" customWidth="1"/>
    <col min="567" max="567" width="29.625" style="2" customWidth="1"/>
    <col min="568" max="568" width="6.625" style="2" bestFit="1" customWidth="1"/>
    <col min="569" max="569" width="6.625" style="2" customWidth="1"/>
    <col min="570" max="570" width="3.625" style="2" customWidth="1"/>
    <col min="571" max="573" width="14.625" style="2" customWidth="1"/>
    <col min="574" max="574" width="7.125" style="2" customWidth="1"/>
    <col min="575" max="575" width="11.625" style="2" customWidth="1"/>
    <col min="576" max="576" width="2.125" style="2" customWidth="1"/>
    <col min="577" max="577" width="5.125" style="2" customWidth="1"/>
    <col min="578" max="578" width="11.625" style="2" customWidth="1"/>
    <col min="579" max="579" width="29.625" style="2" customWidth="1"/>
    <col min="580" max="580" width="11.625" style="2" customWidth="1"/>
    <col min="581" max="581" width="2.125" style="2" customWidth="1"/>
    <col min="582" max="582" width="5.125" style="2" customWidth="1"/>
    <col min="583" max="583" width="11.625" style="2" customWidth="1"/>
    <col min="584" max="584" width="29.625" style="2" customWidth="1"/>
    <col min="585" max="585" width="11.625" style="2" customWidth="1"/>
    <col min="586" max="586" width="2.125" style="2" customWidth="1"/>
    <col min="587" max="587" width="5.125" style="2" customWidth="1"/>
    <col min="588" max="588" width="11.625" style="2" customWidth="1"/>
    <col min="589" max="589" width="29.625" style="2" customWidth="1"/>
    <col min="590" max="590" width="11.625" style="2" customWidth="1"/>
    <col min="591" max="591" width="2.125" style="2" customWidth="1"/>
    <col min="592" max="592" width="5.125" style="2" customWidth="1"/>
    <col min="593" max="593" width="11.625" style="2" customWidth="1"/>
    <col min="594" max="594" width="29.625" style="2" customWidth="1"/>
    <col min="595" max="595" width="6.625" style="2" bestFit="1" customWidth="1"/>
    <col min="596" max="596" width="6.625" style="2" customWidth="1"/>
    <col min="597" max="597" width="3.625" style="2" customWidth="1"/>
    <col min="598" max="600" width="14.625" style="2" customWidth="1"/>
    <col min="601" max="601" width="7.125" style="2" customWidth="1"/>
    <col min="602" max="602" width="11.625" style="2" customWidth="1"/>
    <col min="603" max="603" width="2.125" style="2" customWidth="1"/>
    <col min="604" max="604" width="5.125" style="2" customWidth="1"/>
    <col min="605" max="605" width="11.625" style="2" customWidth="1"/>
    <col min="606" max="606" width="29.625" style="2" customWidth="1"/>
    <col min="607" max="607" width="11.625" style="2" customWidth="1"/>
    <col min="608" max="608" width="2.125" style="2" customWidth="1"/>
    <col min="609" max="609" width="5.125" style="2" customWidth="1"/>
    <col min="610" max="610" width="11.625" style="2" customWidth="1"/>
    <col min="611" max="611" width="29.625" style="2" customWidth="1"/>
    <col min="612" max="612" width="11.625" style="2" customWidth="1"/>
    <col min="613" max="613" width="2.125" style="2" customWidth="1"/>
    <col min="614" max="614" width="5.125" style="2" customWidth="1"/>
    <col min="615" max="615" width="11.625" style="2" customWidth="1"/>
    <col min="616" max="616" width="29.625" style="2" customWidth="1"/>
    <col min="617" max="617" width="11.625" style="2" customWidth="1"/>
    <col min="618" max="618" width="2.125" style="2" customWidth="1"/>
    <col min="619" max="619" width="5.125" style="2" customWidth="1"/>
    <col min="620" max="620" width="11.625" style="2" customWidth="1"/>
    <col min="621" max="621" width="29.625" style="2" customWidth="1"/>
    <col min="622" max="622" width="6.625" style="2" bestFit="1" customWidth="1"/>
    <col min="623" max="623" width="6.625" style="2" customWidth="1"/>
    <col min="624" max="624" width="3.625" style="2" customWidth="1"/>
    <col min="625" max="627" width="14.625" style="2" customWidth="1"/>
    <col min="628" max="628" width="7.125" style="2" customWidth="1"/>
    <col min="629" max="629" width="11.625" style="2" customWidth="1"/>
    <col min="630" max="630" width="2.125" style="2" customWidth="1"/>
    <col min="631" max="631" width="5.125" style="2" customWidth="1"/>
    <col min="632" max="632" width="11.625" style="2" customWidth="1"/>
    <col min="633" max="633" width="29.625" style="2" customWidth="1"/>
    <col min="634" max="634" width="11.625" style="2" customWidth="1"/>
    <col min="635" max="635" width="2.125" style="2" customWidth="1"/>
    <col min="636" max="636" width="5.125" style="2" customWidth="1"/>
    <col min="637" max="637" width="11.625" style="2" customWidth="1"/>
    <col min="638" max="638" width="29.5" style="2" customWidth="1"/>
    <col min="639" max="639" width="11.625" style="2" customWidth="1"/>
    <col min="640" max="640" width="2.125" style="2" customWidth="1"/>
    <col min="641" max="641" width="5.125" style="2" customWidth="1"/>
    <col min="642" max="642" width="11.625" style="2" customWidth="1"/>
    <col min="643" max="643" width="29.625" style="2" customWidth="1"/>
    <col min="644" max="644" width="11.625" style="2" customWidth="1"/>
    <col min="645" max="645" width="2.125" style="2" customWidth="1"/>
    <col min="646" max="646" width="5.125" style="2" customWidth="1"/>
    <col min="647" max="647" width="11.625" style="2" customWidth="1"/>
    <col min="648" max="648" width="29.5" style="2" customWidth="1"/>
    <col min="649" max="649" width="6.625" style="2" bestFit="1" customWidth="1"/>
    <col min="650" max="650" width="6.625" style="2" customWidth="1"/>
    <col min="651" max="651" width="3.625" style="2" customWidth="1"/>
    <col min="652" max="654" width="14.625" style="2" customWidth="1"/>
    <col min="655" max="655" width="7.125" style="2" customWidth="1"/>
    <col min="656" max="656" width="11.625" style="2" customWidth="1"/>
    <col min="657" max="657" width="2.125" style="2" customWidth="1"/>
    <col min="658" max="658" width="5.125" style="2" customWidth="1"/>
    <col min="659" max="659" width="11.625" style="2" customWidth="1"/>
    <col min="660" max="660" width="29.625" style="2" customWidth="1"/>
    <col min="661" max="661" width="11.625" style="2" customWidth="1"/>
    <col min="662" max="662" width="2.125" style="2" customWidth="1"/>
    <col min="663" max="663" width="5.125" style="2" customWidth="1"/>
    <col min="664" max="664" width="11.625" style="2" customWidth="1"/>
    <col min="665" max="665" width="29.625" style="2" customWidth="1"/>
    <col min="666" max="666" width="11.625" style="2" customWidth="1"/>
    <col min="667" max="667" width="2.125" style="2" customWidth="1"/>
    <col min="668" max="668" width="5.125" style="2" customWidth="1"/>
    <col min="669" max="669" width="9.625" style="2" bestFit="1" customWidth="1"/>
    <col min="670" max="670" width="29.625" style="2" customWidth="1"/>
    <col min="671" max="671" width="11.625" style="2" customWidth="1"/>
    <col min="672" max="672" width="2.125" style="2" customWidth="1"/>
    <col min="673" max="673" width="5.125" style="2" customWidth="1"/>
    <col min="674" max="674" width="11.625" style="2" customWidth="1"/>
    <col min="675" max="675" width="29.625" style="2" customWidth="1"/>
    <col min="676" max="676" width="6.625" style="2" bestFit="1" customWidth="1"/>
    <col min="677" max="677" width="6.625" style="2" customWidth="1"/>
    <col min="678" max="678" width="3.625" style="2" customWidth="1"/>
    <col min="679" max="681" width="14.625" style="2" customWidth="1"/>
    <col min="682" max="682" width="7.125" style="2" customWidth="1"/>
    <col min="683" max="683" width="11.625" style="2" customWidth="1"/>
    <col min="684" max="684" width="2.125" style="2" customWidth="1"/>
    <col min="685" max="685" width="5.125" style="2" customWidth="1"/>
    <col min="686" max="686" width="11.625" style="2" customWidth="1"/>
    <col min="687" max="687" width="29.625" style="2" customWidth="1"/>
    <col min="688" max="688" width="11.625" style="2" customWidth="1"/>
    <col min="689" max="689" width="2.125" style="2" customWidth="1"/>
    <col min="690" max="690" width="5.125" style="2" customWidth="1"/>
    <col min="691" max="691" width="11.625" style="2" customWidth="1"/>
    <col min="692" max="692" width="29.625" style="2" customWidth="1"/>
    <col min="693" max="693" width="11.625" style="2" customWidth="1"/>
    <col min="694" max="694" width="2.125" style="2" customWidth="1"/>
    <col min="695" max="695" width="5.125" style="2" customWidth="1"/>
    <col min="696" max="696" width="9.625" style="2" bestFit="1" customWidth="1"/>
    <col min="697" max="697" width="29.625" style="2" customWidth="1"/>
    <col min="698" max="698" width="11.625" style="2" customWidth="1"/>
    <col min="699" max="699" width="2.125" style="2" customWidth="1"/>
    <col min="700" max="700" width="5.125" style="2" customWidth="1"/>
    <col min="701" max="701" width="11.625" style="2" customWidth="1"/>
    <col min="702" max="702" width="29.625" style="2" customWidth="1"/>
    <col min="703" max="703" width="6.625" style="2" bestFit="1" customWidth="1"/>
    <col min="704" max="704" width="6.625" style="2" customWidth="1"/>
    <col min="705" max="705" width="3.625" style="2" customWidth="1"/>
    <col min="706" max="708" width="14.625" style="2" customWidth="1"/>
    <col min="709" max="709" width="7.125" style="2" customWidth="1"/>
    <col min="710" max="710" width="11.625" style="2" customWidth="1"/>
    <col min="711" max="711" width="2.125" style="2" customWidth="1"/>
    <col min="712" max="712" width="5.125" style="2" customWidth="1"/>
    <col min="713" max="713" width="11.625" style="2" customWidth="1"/>
    <col min="714" max="714" width="29.5" style="2" customWidth="1"/>
    <col min="715" max="715" width="11.625" style="2" customWidth="1"/>
    <col min="716" max="716" width="2.125" style="2" customWidth="1"/>
    <col min="717" max="717" width="5.125" style="2" customWidth="1"/>
    <col min="718" max="718" width="11.625" style="2" customWidth="1"/>
    <col min="719" max="719" width="28.5" style="2" bestFit="1" customWidth="1"/>
    <col min="720" max="720" width="11.625" style="2" customWidth="1"/>
    <col min="721" max="721" width="2.125" style="2" customWidth="1"/>
    <col min="722" max="722" width="5.125" style="2" customWidth="1"/>
    <col min="723" max="723" width="11.625" style="2" customWidth="1"/>
    <col min="724" max="724" width="29.625" style="2" customWidth="1"/>
    <col min="725" max="725" width="11.625" style="2" customWidth="1"/>
    <col min="726" max="726" width="2.125" style="2" customWidth="1"/>
    <col min="727" max="727" width="5.125" style="2" customWidth="1"/>
    <col min="728" max="728" width="11.625" style="2" customWidth="1"/>
    <col min="729" max="729" width="29.625" style="2" customWidth="1"/>
    <col min="730" max="730" width="6.625" style="2" bestFit="1" customWidth="1"/>
    <col min="731" max="731" width="6.625" style="2" customWidth="1"/>
    <col min="732" max="732" width="3.625" style="2" customWidth="1"/>
    <col min="733" max="735" width="14.625" style="2" customWidth="1"/>
    <col min="736" max="736" width="7.125" style="2" customWidth="1"/>
    <col min="737" max="737" width="11.625" style="2" customWidth="1"/>
    <col min="738" max="738" width="2.125" style="2" customWidth="1"/>
    <col min="739" max="739" width="5.125" style="2" customWidth="1"/>
    <col min="740" max="740" width="11.625" style="2" customWidth="1"/>
    <col min="741" max="741" width="29.625" style="2" customWidth="1"/>
    <col min="742" max="742" width="11.625" style="2" customWidth="1"/>
    <col min="743" max="743" width="2.125" style="2" customWidth="1"/>
    <col min="744" max="744" width="5.125" style="2" customWidth="1"/>
    <col min="745" max="745" width="11.625" style="2" customWidth="1"/>
    <col min="746" max="746" width="29.625" style="2" customWidth="1"/>
    <col min="747" max="747" width="11.625" style="2" customWidth="1"/>
    <col min="748" max="748" width="2.125" style="2" customWidth="1"/>
    <col min="749" max="749" width="5.125" style="2" customWidth="1"/>
    <col min="750" max="750" width="11.625" style="2" customWidth="1"/>
    <col min="751" max="751" width="29.625" style="2" customWidth="1"/>
    <col min="752" max="752" width="11.625" style="2" customWidth="1"/>
    <col min="753" max="753" width="2.125" style="2" customWidth="1"/>
    <col min="754" max="754" width="5.125" style="2" customWidth="1"/>
    <col min="755" max="755" width="11.625" style="2" customWidth="1"/>
    <col min="756" max="756" width="29.625" style="2" customWidth="1"/>
    <col min="757" max="757" width="6.625" style="2" bestFit="1" customWidth="1"/>
    <col min="758" max="758" width="6.625" style="2" customWidth="1"/>
    <col min="759" max="759" width="3.625" style="2" customWidth="1"/>
    <col min="760" max="762" width="14.625" style="2" customWidth="1"/>
    <col min="763" max="763" width="7.125" style="2" customWidth="1"/>
    <col min="764" max="764" width="11.625" style="2" customWidth="1"/>
    <col min="765" max="765" width="2.125" style="2" customWidth="1"/>
    <col min="766" max="766" width="5.125" style="2" customWidth="1"/>
    <col min="767" max="767" width="11.625" style="2" customWidth="1"/>
    <col min="768" max="768" width="29.625" style="2" customWidth="1"/>
    <col min="769" max="769" width="11.625" style="2" customWidth="1"/>
    <col min="770" max="770" width="2.125" style="2" customWidth="1"/>
    <col min="771" max="771" width="5.125" style="2" customWidth="1"/>
    <col min="772" max="772" width="11.625" style="2" customWidth="1"/>
    <col min="773" max="773" width="29.625" style="2" customWidth="1"/>
    <col min="774" max="774" width="11.625" style="2" customWidth="1"/>
    <col min="775" max="775" width="2.125" style="2" customWidth="1"/>
    <col min="776" max="776" width="5.125" style="2" customWidth="1"/>
    <col min="777" max="777" width="11.625" style="2" customWidth="1"/>
    <col min="778" max="778" width="29.625" style="2" customWidth="1"/>
    <col min="779" max="779" width="11.625" style="2" customWidth="1"/>
    <col min="780" max="780" width="2.125" style="2" customWidth="1"/>
    <col min="781" max="781" width="5.125" style="2" customWidth="1"/>
    <col min="782" max="782" width="11.625" style="2" customWidth="1"/>
    <col min="783" max="783" width="29.625" style="2" customWidth="1"/>
    <col min="784" max="784" width="6.625" style="2" bestFit="1" customWidth="1"/>
    <col min="785" max="785" width="6.625" style="2" customWidth="1"/>
    <col min="786" max="786" width="3.625" style="2" customWidth="1"/>
    <col min="787" max="789" width="14.625" style="2" customWidth="1"/>
    <col min="790" max="790" width="7.125" style="2" customWidth="1"/>
    <col min="791" max="791" width="11.625" style="2" customWidth="1"/>
    <col min="792" max="792" width="2.125" style="2" customWidth="1"/>
    <col min="793" max="793" width="5.125" style="2" customWidth="1"/>
    <col min="794" max="794" width="11.625" style="2" customWidth="1"/>
    <col min="795" max="795" width="29.625" style="2" customWidth="1"/>
    <col min="796" max="796" width="11.625" style="2" customWidth="1"/>
    <col min="797" max="797" width="2.125" style="2" customWidth="1"/>
    <col min="798" max="798" width="5.125" style="2" customWidth="1"/>
    <col min="799" max="799" width="11.625" style="2" customWidth="1"/>
    <col min="800" max="800" width="29.625" style="2" customWidth="1"/>
    <col min="801" max="801" width="11.625" style="2" customWidth="1"/>
    <col min="802" max="802" width="2.125" style="2" customWidth="1"/>
    <col min="803" max="803" width="5.125" style="2" customWidth="1"/>
    <col min="804" max="804" width="11.625" style="2" customWidth="1"/>
    <col min="805" max="805" width="29.625" style="2" customWidth="1"/>
    <col min="806" max="806" width="11.625" style="2" customWidth="1"/>
    <col min="807" max="807" width="2.125" style="2" customWidth="1"/>
    <col min="808" max="808" width="5.125" style="2" customWidth="1"/>
    <col min="809" max="809" width="11.625" style="2" customWidth="1"/>
    <col min="810" max="810" width="29.625" style="2" customWidth="1"/>
    <col min="811" max="811" width="6.625" style="2" bestFit="1" customWidth="1"/>
    <col min="812" max="812" width="6.625" style="2" customWidth="1"/>
    <col min="813" max="813" width="3.625" style="2" customWidth="1"/>
    <col min="814" max="816" width="14.625" style="2" customWidth="1"/>
    <col min="817" max="817" width="7.125" style="2" customWidth="1"/>
    <col min="818" max="818" width="11.625" style="2" customWidth="1"/>
    <col min="819" max="819" width="2.125" style="2" customWidth="1"/>
    <col min="820" max="820" width="5.125" style="2" customWidth="1"/>
    <col min="821" max="821" width="11.625" style="2" customWidth="1"/>
    <col min="822" max="822" width="29.625" style="2" customWidth="1"/>
    <col min="823" max="823" width="11.625" style="2" customWidth="1"/>
    <col min="824" max="824" width="2.125" style="2" customWidth="1"/>
    <col min="825" max="825" width="5.125" style="2" customWidth="1"/>
    <col min="826" max="826" width="11.625" style="2" customWidth="1"/>
    <col min="827" max="827" width="29.625" style="2" bestFit="1" customWidth="1"/>
    <col min="828" max="828" width="11.625" style="2" customWidth="1"/>
    <col min="829" max="829" width="2.125" style="2" customWidth="1"/>
    <col min="830" max="830" width="5.125" style="2" customWidth="1"/>
    <col min="831" max="831" width="11.625" style="2" customWidth="1"/>
    <col min="832" max="832" width="29.625" style="2" customWidth="1"/>
    <col min="833" max="833" width="11.625" style="2" customWidth="1"/>
    <col min="834" max="834" width="2.125" style="2" customWidth="1"/>
    <col min="835" max="835" width="5.125" style="2" customWidth="1"/>
    <col min="836" max="836" width="11.625" style="2" customWidth="1"/>
    <col min="837" max="837" width="29.625" style="2" customWidth="1"/>
    <col min="838" max="838" width="6.625" style="2" bestFit="1" customWidth="1"/>
    <col min="839" max="839" width="6.625" style="2" customWidth="1"/>
    <col min="840" max="840" width="3.625" style="2" customWidth="1"/>
    <col min="841" max="843" width="14.625" style="2" customWidth="1"/>
    <col min="844" max="844" width="7.125" style="2" customWidth="1"/>
    <col min="845" max="845" width="11.625" style="2" customWidth="1"/>
    <col min="846" max="846" width="2.125" style="2" customWidth="1"/>
    <col min="847" max="847" width="5.125" style="2" customWidth="1"/>
    <col min="848" max="848" width="9" style="2" bestFit="1" customWidth="1"/>
    <col min="849" max="849" width="29.625" style="2" customWidth="1"/>
    <col min="850" max="850" width="11.625" style="2" customWidth="1"/>
    <col min="851" max="851" width="2.125" style="2" customWidth="1"/>
    <col min="852" max="852" width="5.125" style="2" customWidth="1"/>
    <col min="853" max="853" width="11.625" style="2" customWidth="1"/>
    <col min="854" max="854" width="29.625" style="2" customWidth="1"/>
    <col min="855" max="855" width="11.625" style="2" customWidth="1"/>
    <col min="856" max="856" width="2.125" style="2" customWidth="1"/>
    <col min="857" max="857" width="5.125" style="2" customWidth="1"/>
    <col min="858" max="858" width="11.625" style="2" customWidth="1"/>
    <col min="859" max="859" width="29.625" style="2" customWidth="1"/>
    <col min="860" max="860" width="11.625" style="2" customWidth="1"/>
    <col min="861" max="861" width="2.125" style="2" customWidth="1"/>
    <col min="862" max="862" width="5.125" style="2" customWidth="1"/>
    <col min="863" max="863" width="11.625" style="2" customWidth="1"/>
    <col min="864" max="864" width="29.625" style="2" customWidth="1"/>
    <col min="865" max="865" width="6.625" style="2" bestFit="1" customWidth="1"/>
    <col min="866" max="866" width="6.625" style="2" customWidth="1"/>
    <col min="867" max="867" width="3.625" style="2" customWidth="1"/>
    <col min="868" max="870" width="14.625" style="2" customWidth="1"/>
    <col min="871" max="871" width="7.125" style="2" customWidth="1"/>
    <col min="872" max="872" width="11.625" style="2" customWidth="1"/>
    <col min="873" max="873" width="2.125" style="2" customWidth="1"/>
    <col min="874" max="874" width="5.125" style="2" customWidth="1"/>
    <col min="875" max="875" width="11.625" style="2" customWidth="1"/>
    <col min="876" max="876" width="29.625" style="2" customWidth="1"/>
    <col min="877" max="877" width="11.625" style="2" customWidth="1"/>
    <col min="878" max="878" width="2.125" style="2" customWidth="1"/>
    <col min="879" max="879" width="5.125" style="2" customWidth="1"/>
    <col min="880" max="880" width="11.625" style="2" customWidth="1"/>
    <col min="881" max="881" width="29.625" style="2" customWidth="1"/>
    <col min="882" max="882" width="11.625" style="2" customWidth="1"/>
    <col min="883" max="883" width="2.125" style="2" customWidth="1"/>
    <col min="884" max="884" width="5.125" style="2" customWidth="1"/>
    <col min="885" max="885" width="11.625" style="2" customWidth="1"/>
    <col min="886" max="886" width="29.625" style="2" customWidth="1"/>
    <col min="887" max="887" width="11.625" style="2" customWidth="1"/>
    <col min="888" max="888" width="2.125" style="2" customWidth="1"/>
    <col min="889" max="889" width="5.125" style="2" customWidth="1"/>
    <col min="890" max="890" width="11.625" style="2" customWidth="1"/>
    <col min="891" max="891" width="29.625" style="2" customWidth="1"/>
    <col min="892" max="892" width="6.625" style="2" bestFit="1" customWidth="1"/>
    <col min="893" max="893" width="6.625" style="2" customWidth="1"/>
    <col min="894" max="894" width="3.625" style="2" customWidth="1"/>
    <col min="895" max="897" width="14.625" style="2" customWidth="1"/>
    <col min="898" max="898" width="7.125" style="2" customWidth="1"/>
    <col min="899" max="899" width="11.625" style="2" customWidth="1"/>
    <col min="900" max="900" width="2.125" style="2" customWidth="1"/>
    <col min="901" max="901" width="5.125" style="2" customWidth="1"/>
    <col min="902" max="902" width="11.625" style="2" customWidth="1"/>
    <col min="903" max="903" width="29.625" style="2" customWidth="1"/>
    <col min="904" max="904" width="11.625" style="2" customWidth="1"/>
    <col min="905" max="905" width="2.125" style="2" customWidth="1"/>
    <col min="906" max="906" width="5.125" style="2" customWidth="1"/>
    <col min="907" max="907" width="11.625" style="2" customWidth="1"/>
    <col min="908" max="908" width="32.125" style="2" bestFit="1" customWidth="1"/>
    <col min="909" max="909" width="11.625" style="2" customWidth="1"/>
    <col min="910" max="910" width="2.125" style="2" customWidth="1"/>
    <col min="911" max="911" width="5.125" style="2" customWidth="1"/>
    <col min="912" max="912" width="11.625" style="2" customWidth="1"/>
    <col min="913" max="913" width="32.125" style="2" bestFit="1" customWidth="1"/>
    <col min="914" max="914" width="11.625" style="2" customWidth="1"/>
    <col min="915" max="915" width="2.125" style="2" customWidth="1"/>
    <col min="916" max="916" width="5.125" style="2" customWidth="1"/>
    <col min="917" max="917" width="11.625" style="2" customWidth="1"/>
    <col min="918" max="918" width="32.125" style="2" customWidth="1"/>
    <col min="919" max="919" width="6.625" style="2" bestFit="1" customWidth="1"/>
    <col min="920" max="920" width="6.625" style="2" customWidth="1"/>
    <col min="921" max="921" width="3.625" style="2" customWidth="1"/>
    <col min="922" max="924" width="14.625" style="2" customWidth="1"/>
    <col min="925" max="925" width="7.125" style="2" customWidth="1"/>
    <col min="926" max="926" width="11.625" style="2" customWidth="1"/>
    <col min="927" max="927" width="2.125" style="2" customWidth="1"/>
    <col min="928" max="928" width="5.125" style="2" customWidth="1"/>
    <col min="929" max="929" width="11.625" style="2" customWidth="1"/>
    <col min="930" max="930" width="29.625" style="2" customWidth="1"/>
    <col min="931" max="931" width="11.625" style="2" customWidth="1"/>
    <col min="932" max="932" width="2.125" style="2" customWidth="1"/>
    <col min="933" max="933" width="5.125" style="2" customWidth="1"/>
    <col min="934" max="934" width="11.625" style="2" customWidth="1"/>
    <col min="935" max="935" width="32.125" style="2" customWidth="1"/>
    <col min="936" max="936" width="11.625" style="2" customWidth="1"/>
    <col min="937" max="937" width="2.125" style="2" customWidth="1"/>
    <col min="938" max="938" width="5.125" style="2" customWidth="1"/>
    <col min="939" max="939" width="11.625" style="2" customWidth="1"/>
    <col min="940" max="940" width="32.125" style="2" customWidth="1"/>
    <col min="941" max="941" width="11.625" style="2" customWidth="1"/>
    <col min="942" max="942" width="2.125" style="2" customWidth="1"/>
    <col min="943" max="943" width="5.125" style="2" customWidth="1"/>
    <col min="944" max="944" width="11.625" style="2" customWidth="1"/>
    <col min="945" max="945" width="32.125" style="2" customWidth="1"/>
    <col min="946" max="946" width="6.625" style="2" bestFit="1" customWidth="1"/>
    <col min="947" max="947" width="6.625" style="2" customWidth="1"/>
    <col min="948" max="948" width="3.625" style="2" customWidth="1"/>
    <col min="949" max="951" width="14.625" style="2" customWidth="1"/>
    <col min="952" max="952" width="7.125" style="2" customWidth="1"/>
    <col min="953" max="953" width="11.625" style="2" customWidth="1"/>
    <col min="954" max="954" width="2.125" style="2" customWidth="1"/>
    <col min="955" max="955" width="5.125" style="2" customWidth="1"/>
    <col min="956" max="956" width="11.625" style="2" customWidth="1"/>
    <col min="957" max="957" width="29.625" style="2" customWidth="1"/>
    <col min="958" max="958" width="11.625" style="2" customWidth="1"/>
    <col min="959" max="959" width="2.125" style="2" customWidth="1"/>
    <col min="960" max="960" width="5.125" style="2" customWidth="1"/>
    <col min="961" max="961" width="11.625" style="2" customWidth="1"/>
    <col min="962" max="962" width="32.125" style="2" customWidth="1"/>
    <col min="963" max="963" width="11.625" style="2" customWidth="1"/>
    <col min="964" max="964" width="2.125" style="2" customWidth="1"/>
    <col min="965" max="965" width="5.125" style="2" customWidth="1"/>
    <col min="966" max="966" width="11.625" style="2" customWidth="1"/>
    <col min="967" max="967" width="32.125" style="2" customWidth="1"/>
    <col min="968" max="968" width="11.625" style="2" customWidth="1"/>
    <col min="969" max="969" width="2.125" style="2" customWidth="1"/>
    <col min="970" max="970" width="5.125" style="2" customWidth="1"/>
    <col min="971" max="971" width="11.625" style="2" customWidth="1"/>
    <col min="972" max="972" width="32.125" style="2" customWidth="1"/>
    <col min="973" max="973" width="6.625" style="2" bestFit="1" customWidth="1"/>
    <col min="974" max="974" width="6.625" style="2" customWidth="1"/>
    <col min="975" max="975" width="3.625" style="2" customWidth="1"/>
    <col min="976" max="978" width="14.625" style="2" customWidth="1"/>
    <col min="979" max="979" width="7.125" style="2" customWidth="1"/>
    <col min="980" max="980" width="11.625" style="2" customWidth="1"/>
    <col min="981" max="981" width="2.125" style="2" customWidth="1"/>
    <col min="982" max="982" width="5.125" style="2" customWidth="1"/>
    <col min="983" max="983" width="11.625" style="2" customWidth="1"/>
    <col min="984" max="984" width="29.625" style="2" customWidth="1"/>
    <col min="985" max="985" width="11.625" style="2" customWidth="1"/>
    <col min="986" max="986" width="2.125" style="2" customWidth="1"/>
    <col min="987" max="987" width="5.125" style="2" customWidth="1"/>
    <col min="988" max="988" width="11.625" style="2" customWidth="1"/>
    <col min="989" max="989" width="32.125" style="2" customWidth="1"/>
    <col min="990" max="990" width="11.625" style="2" customWidth="1"/>
    <col min="991" max="991" width="2.125" style="2" customWidth="1"/>
    <col min="992" max="992" width="5.125" style="2" customWidth="1"/>
    <col min="993" max="993" width="11.625" style="2" customWidth="1"/>
    <col min="994" max="994" width="32.125" style="2" customWidth="1"/>
    <col min="995" max="995" width="11.625" style="2" customWidth="1"/>
    <col min="996" max="996" width="2.125" style="2" customWidth="1"/>
    <col min="997" max="997" width="5.125" style="2" customWidth="1"/>
    <col min="998" max="998" width="11.625" style="2" customWidth="1"/>
    <col min="999" max="999" width="32.125" style="2" customWidth="1"/>
    <col min="1000" max="1000" width="6.625" style="2" bestFit="1" customWidth="1"/>
    <col min="1001" max="1001" width="6.625" style="2" customWidth="1"/>
    <col min="1002" max="1002" width="3.625" style="2" customWidth="1"/>
    <col min="1003" max="1005" width="14.625" style="2" customWidth="1"/>
    <col min="1006" max="1006" width="7.125" style="2" customWidth="1"/>
    <col min="1007" max="1007" width="11.625" style="2" customWidth="1"/>
    <col min="1008" max="1008" width="2.125" style="2" customWidth="1"/>
    <col min="1009" max="1009" width="5.125" style="2" customWidth="1"/>
    <col min="1010" max="1010" width="11.625" style="2" customWidth="1"/>
    <col min="1011" max="1011" width="29.625" style="2" customWidth="1"/>
    <col min="1012" max="1012" width="11.625" style="2" customWidth="1"/>
    <col min="1013" max="1013" width="2.125" style="2" customWidth="1"/>
    <col min="1014" max="1014" width="5.125" style="2" customWidth="1"/>
    <col min="1015" max="1015" width="11.625" style="2" customWidth="1"/>
    <col min="1016" max="1016" width="32.125" style="2" customWidth="1"/>
    <col min="1017" max="1017" width="11.625" style="2" customWidth="1"/>
    <col min="1018" max="1018" width="2.125" style="2" customWidth="1"/>
    <col min="1019" max="1019" width="5.125" style="2" customWidth="1"/>
    <col min="1020" max="1020" width="11.625" style="2" customWidth="1"/>
    <col min="1021" max="1021" width="32.125" style="2" customWidth="1"/>
    <col min="1022" max="1022" width="11.625" style="2" customWidth="1"/>
    <col min="1023" max="1023" width="2.125" style="2" customWidth="1"/>
    <col min="1024" max="1024" width="5.125" style="2" customWidth="1"/>
    <col min="1025" max="1025" width="11.625" style="2" customWidth="1"/>
    <col min="1026" max="1026" width="32.125" style="2" customWidth="1"/>
    <col min="1027" max="1027" width="6.625" style="2" bestFit="1" customWidth="1"/>
    <col min="1028" max="1028" width="6.625" style="2" customWidth="1"/>
    <col min="1029" max="1029" width="3.625" style="2" customWidth="1"/>
    <col min="1030" max="1032" width="14.625" style="2" customWidth="1"/>
    <col min="1033" max="1033" width="7.125" style="2" customWidth="1"/>
    <col min="1034" max="1034" width="11.625" style="2" customWidth="1"/>
    <col min="1035" max="1035" width="2.125" style="2" customWidth="1"/>
    <col min="1036" max="1036" width="5.125" style="2" customWidth="1"/>
    <col min="1037" max="1037" width="11.625" style="2" customWidth="1"/>
    <col min="1038" max="1038" width="32.125" style="2" customWidth="1"/>
    <col min="1039" max="1039" width="11.625" style="2" customWidth="1"/>
    <col min="1040" max="1040" width="2.125" style="2" customWidth="1"/>
    <col min="1041" max="1041" width="5.125" style="2" customWidth="1"/>
    <col min="1042" max="1042" width="11.625" style="2" customWidth="1"/>
    <col min="1043" max="1043" width="32.125" style="2" customWidth="1"/>
    <col min="1044" max="1044" width="11.625" style="2" customWidth="1"/>
    <col min="1045" max="1045" width="2.125" style="2" customWidth="1"/>
    <col min="1046" max="1046" width="5.125" style="2" customWidth="1"/>
    <col min="1047" max="1047" width="11.625" style="2" customWidth="1"/>
    <col min="1048" max="1048" width="32.125" style="2" customWidth="1"/>
    <col min="1049" max="1049" width="11.625" style="2" customWidth="1"/>
    <col min="1050" max="1050" width="2.125" style="2" customWidth="1"/>
    <col min="1051" max="1051" width="5.125" style="2" customWidth="1"/>
    <col min="1052" max="1052" width="11.625" style="2" customWidth="1"/>
    <col min="1053" max="1053" width="32.125" style="2" customWidth="1"/>
    <col min="1054" max="1054" width="6.625" style="2" bestFit="1" customWidth="1"/>
    <col min="1055" max="1055" width="6.625" style="2" customWidth="1"/>
    <col min="1056" max="1056" width="3.625" style="2" customWidth="1"/>
    <col min="1057" max="1059" width="14.625" style="2" customWidth="1"/>
    <col min="1060" max="1060" width="7.125" style="2" customWidth="1"/>
    <col min="1061" max="1061" width="11.625" style="2" customWidth="1"/>
    <col min="1062" max="1062" width="2.125" style="2" customWidth="1"/>
    <col min="1063" max="1063" width="5.125" style="2" customWidth="1"/>
    <col min="1064" max="1064" width="11.625" style="2" customWidth="1"/>
    <col min="1065" max="1065" width="32.125" style="2" customWidth="1"/>
    <col min="1066" max="1066" width="11.625" style="2" customWidth="1"/>
    <col min="1067" max="1067" width="2.125" style="2" customWidth="1"/>
    <col min="1068" max="1068" width="5.125" style="2" customWidth="1"/>
    <col min="1069" max="1069" width="11.625" style="2" customWidth="1"/>
    <col min="1070" max="1070" width="32.125" style="2" customWidth="1"/>
    <col min="1071" max="1071" width="11.625" style="2" customWidth="1"/>
    <col min="1072" max="1072" width="2.125" style="2" customWidth="1"/>
    <col min="1073" max="1073" width="5.125" style="2" customWidth="1"/>
    <col min="1074" max="1074" width="11.625" style="2" customWidth="1"/>
    <col min="1075" max="1075" width="22.125" style="2" customWidth="1"/>
    <col min="1076" max="1076" width="10" style="2" customWidth="1"/>
    <col min="1077" max="1077" width="11.625" style="2" customWidth="1"/>
    <col min="1078" max="1078" width="2.125" style="2" customWidth="1"/>
    <col min="1079" max="1079" width="5.125" style="2" customWidth="1"/>
    <col min="1080" max="1080" width="11.625" style="2" customWidth="1"/>
    <col min="1081" max="1081" width="32.125" style="2" customWidth="1"/>
    <col min="1082" max="1082" width="6.625" style="2" bestFit="1" customWidth="1"/>
    <col min="1083" max="1083" width="6.625" style="2" customWidth="1"/>
    <col min="1084" max="1084" width="3.625" style="2" customWidth="1"/>
    <col min="1085" max="1087" width="14.625" style="2" customWidth="1"/>
    <col min="1088" max="1088" width="7.125" style="2" customWidth="1"/>
    <col min="1089" max="1089" width="11.625" style="2" customWidth="1"/>
    <col min="1090" max="1090" width="2.125" style="2" customWidth="1"/>
    <col min="1091" max="1091" width="5.125" style="2" customWidth="1"/>
    <col min="1092" max="1092" width="11.625" style="2" customWidth="1"/>
    <col min="1093" max="1093" width="32.125" style="2" customWidth="1"/>
    <col min="1094" max="1094" width="11.625" style="2" customWidth="1"/>
    <col min="1095" max="1095" width="2.125" style="2" customWidth="1"/>
    <col min="1096" max="1096" width="5.125" style="2" customWidth="1"/>
    <col min="1097" max="1097" width="11.625" style="2" customWidth="1"/>
    <col min="1098" max="1098" width="32.125" style="2" customWidth="1"/>
    <col min="1099" max="1099" width="11.625" style="2" customWidth="1"/>
    <col min="1100" max="1100" width="2.125" style="2" customWidth="1"/>
    <col min="1101" max="1101" width="5.125" style="2" customWidth="1"/>
    <col min="1102" max="1102" width="11.625" style="2" customWidth="1"/>
    <col min="1103" max="1103" width="32.125" style="2" customWidth="1"/>
    <col min="1104" max="1104" width="11.625" style="2" customWidth="1"/>
    <col min="1105" max="1105" width="2.125" style="2" customWidth="1"/>
    <col min="1106" max="1106" width="5.125" style="2" customWidth="1"/>
    <col min="1107" max="1107" width="11.625" style="2" customWidth="1"/>
    <col min="1108" max="1108" width="32.125" style="2" customWidth="1"/>
    <col min="1109" max="1109" width="6.625" style="2" bestFit="1" customWidth="1"/>
    <col min="1110" max="1110" width="6.625" style="2" customWidth="1"/>
    <col min="1111" max="1111" width="3.625" style="2" customWidth="1"/>
    <col min="1112" max="1114" width="14.625" style="2" customWidth="1"/>
    <col min="1115" max="1115" width="7.125" style="2" customWidth="1"/>
    <col min="1116" max="1116" width="11.625" style="2" customWidth="1"/>
    <col min="1117" max="1117" width="2.125" style="2" customWidth="1"/>
    <col min="1118" max="1118" width="5.125" style="2" customWidth="1"/>
    <col min="1119" max="1119" width="11.625" style="2" customWidth="1"/>
    <col min="1120" max="1120" width="32.125" style="2" customWidth="1"/>
    <col min="1121" max="1121" width="11.625" style="2" customWidth="1"/>
    <col min="1122" max="1122" width="2.125" style="2" customWidth="1"/>
    <col min="1123" max="1123" width="5.125" style="2" customWidth="1"/>
    <col min="1124" max="1124" width="11.625" style="2" customWidth="1"/>
    <col min="1125" max="1125" width="32.125" style="2" customWidth="1"/>
    <col min="1126" max="1126" width="11.625" style="2" customWidth="1"/>
    <col min="1127" max="1127" width="2.125" style="2" customWidth="1"/>
    <col min="1128" max="1128" width="5.125" style="2" customWidth="1"/>
    <col min="1129" max="1129" width="11.625" style="2" customWidth="1"/>
    <col min="1130" max="1130" width="32.125" style="2" customWidth="1"/>
    <col min="1131" max="1131" width="11.625" style="2" customWidth="1"/>
    <col min="1132" max="1132" width="2.125" style="2" customWidth="1"/>
    <col min="1133" max="1133" width="5.125" style="2" customWidth="1"/>
    <col min="1134" max="1134" width="11.625" style="2" customWidth="1"/>
    <col min="1135" max="1135" width="32.125" style="2" customWidth="1"/>
    <col min="1136" max="1136" width="6.625" style="2" bestFit="1" customWidth="1"/>
    <col min="1137" max="1137" width="6.625" style="2" customWidth="1"/>
    <col min="1138" max="1138" width="3.625" style="2" customWidth="1"/>
    <col min="1139" max="1141" width="14.625" style="2" customWidth="1"/>
    <col min="1142" max="1142" width="7.125" style="2" customWidth="1"/>
    <col min="1143" max="1143" width="11.625" style="2" customWidth="1"/>
    <col min="1144" max="1144" width="2.125" style="2" customWidth="1"/>
    <col min="1145" max="1145" width="5.125" style="2" customWidth="1"/>
    <col min="1146" max="1146" width="11.625" style="2" customWidth="1"/>
    <col min="1147" max="1147" width="32.125" style="2" customWidth="1"/>
    <col min="1148" max="1148" width="11.625" style="2" customWidth="1"/>
    <col min="1149" max="1149" width="2.125" style="2" customWidth="1"/>
    <col min="1150" max="1150" width="5.125" style="2" customWidth="1"/>
    <col min="1151" max="1151" width="11.625" style="2" customWidth="1"/>
    <col min="1152" max="1152" width="32.125" style="2" customWidth="1"/>
    <col min="1153" max="1153" width="11.625" style="2" customWidth="1"/>
    <col min="1154" max="1154" width="2.125" style="2" customWidth="1"/>
    <col min="1155" max="1155" width="5.125" style="2" customWidth="1"/>
    <col min="1156" max="1156" width="11.625" style="2" customWidth="1"/>
    <col min="1157" max="1157" width="32.125" style="2" customWidth="1"/>
    <col min="1158" max="1158" width="11.625" style="2" customWidth="1"/>
    <col min="1159" max="1159" width="2.125" style="2" customWidth="1"/>
    <col min="1160" max="1160" width="5.125" style="2" customWidth="1"/>
    <col min="1161" max="1161" width="11.625" style="2" customWidth="1"/>
    <col min="1162" max="1162" width="32.125" style="2" customWidth="1"/>
    <col min="1163" max="1163" width="6.625" style="2" bestFit="1" customWidth="1"/>
    <col min="1164" max="1164" width="6.625" style="2" customWidth="1"/>
    <col min="1165" max="1165" width="3.625" style="2" customWidth="1"/>
    <col min="1166" max="1168" width="14.625" style="2" customWidth="1"/>
    <col min="1169" max="1169" width="7.125" style="2" customWidth="1"/>
    <col min="1170" max="1170" width="11.625" style="2" customWidth="1"/>
    <col min="1171" max="1171" width="2.125" style="2" customWidth="1"/>
    <col min="1172" max="1172" width="5.125" style="2" customWidth="1"/>
    <col min="1173" max="1173" width="11.625" style="2" customWidth="1"/>
    <col min="1174" max="1174" width="32.125" style="2" customWidth="1"/>
    <col min="1175" max="1175" width="11.625" style="2" customWidth="1"/>
    <col min="1176" max="1176" width="2.125" style="2" customWidth="1"/>
    <col min="1177" max="1177" width="5.125" style="2" customWidth="1"/>
    <col min="1178" max="1178" width="11.625" style="2" customWidth="1"/>
    <col min="1179" max="1179" width="32.125" style="2" customWidth="1"/>
    <col min="1180" max="1180" width="11.625" style="2" customWidth="1"/>
    <col min="1181" max="1181" width="2.125" style="2" customWidth="1"/>
    <col min="1182" max="1182" width="5.125" style="2" customWidth="1"/>
    <col min="1183" max="1183" width="11.625" style="2" customWidth="1"/>
    <col min="1184" max="1184" width="31.125" style="2" customWidth="1"/>
    <col min="1185" max="1185" width="11.625" style="2" customWidth="1"/>
    <col min="1186" max="1186" width="2.125" style="2" customWidth="1"/>
    <col min="1187" max="1187" width="5.125" style="2" customWidth="1"/>
    <col min="1188" max="1188" width="11.625" style="2" customWidth="1"/>
    <col min="1189" max="1189" width="32.125" style="2" customWidth="1"/>
    <col min="1190" max="1190" width="6.625" style="2" bestFit="1" customWidth="1"/>
    <col min="1191" max="1191" width="6.625" style="2" customWidth="1"/>
    <col min="1192" max="1192" width="3.625" style="2" customWidth="1"/>
    <col min="1193" max="1195" width="14.625" style="2" customWidth="1"/>
    <col min="1196" max="1196" width="7.125" style="2" customWidth="1"/>
    <col min="1197" max="1197" width="11.625" style="2" customWidth="1"/>
    <col min="1198" max="1198" width="2.125" style="2" customWidth="1"/>
    <col min="1199" max="1199" width="5.125" style="2" customWidth="1"/>
    <col min="1200" max="1200" width="11.625" style="2" customWidth="1"/>
    <col min="1201" max="1201" width="29.625" style="2" customWidth="1"/>
    <col min="1202" max="1202" width="11.625" style="2" customWidth="1"/>
    <col min="1203" max="1203" width="2.125" style="2" customWidth="1"/>
    <col min="1204" max="1204" width="5.125" style="2" customWidth="1"/>
    <col min="1205" max="1205" width="11.625" style="2" customWidth="1"/>
    <col min="1206" max="1206" width="29.625" style="2" customWidth="1"/>
    <col min="1207" max="1207" width="11.625" style="2" customWidth="1"/>
    <col min="1208" max="1208" width="2.125" style="2" customWidth="1"/>
    <col min="1209" max="1209" width="5.125" style="2" customWidth="1"/>
    <col min="1210" max="1210" width="11.625" style="2" customWidth="1"/>
    <col min="1211" max="1211" width="29.625" style="2" customWidth="1"/>
    <col min="1212" max="1212" width="11.625" style="2" customWidth="1"/>
    <col min="1213" max="1213" width="2.125" style="2" customWidth="1"/>
    <col min="1214" max="1214" width="5.125" style="2" customWidth="1"/>
    <col min="1215" max="1215" width="11.625" style="2" customWidth="1"/>
    <col min="1216" max="1216" width="29.625" style="2" customWidth="1"/>
    <col min="1217" max="1217" width="6.625" style="2" bestFit="1" customWidth="1"/>
    <col min="1218" max="1218" width="6.625" style="2" customWidth="1"/>
    <col min="1219" max="1219" width="3.625" style="2" customWidth="1"/>
    <col min="1220" max="1222" width="14.625" style="2" customWidth="1"/>
    <col min="1223" max="1223" width="7.125" style="2" customWidth="1"/>
    <col min="1224" max="1224" width="11.625" style="2" customWidth="1"/>
    <col min="1225" max="1225" width="2.125" style="2" customWidth="1"/>
    <col min="1226" max="1226" width="5.125" style="2" customWidth="1"/>
    <col min="1227" max="1227" width="11.625" style="2" customWidth="1"/>
    <col min="1228" max="1228" width="29.625" style="2" customWidth="1"/>
    <col min="1229" max="1229" width="11.625" style="2" customWidth="1"/>
    <col min="1230" max="1230" width="2.125" style="2" customWidth="1"/>
    <col min="1231" max="1231" width="5.125" style="2" customWidth="1"/>
    <col min="1232" max="1232" width="11.625" style="2" customWidth="1"/>
    <col min="1233" max="1233" width="29.625" style="2" customWidth="1"/>
    <col min="1234" max="1234" width="11.625" style="2" customWidth="1"/>
    <col min="1235" max="1235" width="2.125" style="2" customWidth="1"/>
    <col min="1236" max="1236" width="5.125" style="2" customWidth="1"/>
    <col min="1237" max="1237" width="11.625" style="2" customWidth="1"/>
    <col min="1238" max="1238" width="29.625" style="2" customWidth="1"/>
    <col min="1239" max="1239" width="11.625" style="2" customWidth="1"/>
    <col min="1240" max="1240" width="2.125" style="2" customWidth="1"/>
    <col min="1241" max="1241" width="5.125" style="2" customWidth="1"/>
    <col min="1242" max="1242" width="11.625" style="2" customWidth="1"/>
    <col min="1243" max="1243" width="29.625" style="2" customWidth="1"/>
    <col min="1244" max="1244" width="6.625" style="2" bestFit="1" customWidth="1"/>
    <col min="1245" max="1245" width="6.625" style="2" customWidth="1"/>
    <col min="1246" max="1246" width="3.625" style="2" customWidth="1"/>
    <col min="1247" max="1249" width="14.625" style="2" customWidth="1"/>
    <col min="1250" max="1250" width="7.125" style="2" customWidth="1"/>
    <col min="1251" max="1251" width="11.625" style="2" customWidth="1"/>
    <col min="1252" max="1252" width="2.125" style="2" customWidth="1"/>
    <col min="1253" max="1253" width="5.125" style="2" customWidth="1"/>
    <col min="1254" max="1254" width="11.625" style="2" customWidth="1"/>
    <col min="1255" max="1255" width="30.625" style="2" customWidth="1"/>
    <col min="1256" max="1256" width="11.625" style="2" customWidth="1"/>
    <col min="1257" max="1257" width="2.125" style="2" customWidth="1"/>
    <col min="1258" max="1258" width="5.125" style="2" customWidth="1"/>
    <col min="1259" max="1259" width="11.625" style="2" customWidth="1"/>
    <col min="1260" max="1260" width="30.625" style="2" customWidth="1"/>
    <col min="1261" max="1261" width="11.625" style="2" customWidth="1"/>
    <col min="1262" max="1262" width="2.125" style="2" customWidth="1"/>
    <col min="1263" max="1263" width="5.125" style="2" customWidth="1"/>
    <col min="1264" max="1264" width="11.625" style="2" customWidth="1"/>
    <col min="1265" max="1265" width="31" style="2" customWidth="1"/>
    <col min="1266" max="1266" width="11.625" style="2" customWidth="1"/>
    <col min="1267" max="1267" width="2.125" style="2" customWidth="1"/>
    <col min="1268" max="1268" width="5.125" style="2" customWidth="1"/>
    <col min="1269" max="1269" width="11.625" style="2" customWidth="1"/>
    <col min="1270" max="1270" width="31" style="2" customWidth="1"/>
    <col min="1271" max="1271" width="6.625" style="2" bestFit="1" customWidth="1"/>
    <col min="1272" max="1272" width="6.625" style="2" customWidth="1"/>
    <col min="1273" max="1273" width="3.625" style="2" customWidth="1"/>
    <col min="1274" max="1276" width="14.625" style="2" customWidth="1"/>
    <col min="1277" max="1277" width="7.125" style="2" customWidth="1"/>
    <col min="1278" max="1278" width="11.625" style="2" customWidth="1"/>
    <col min="1279" max="1279" width="2.125" style="2" customWidth="1"/>
    <col min="1280" max="1280" width="5.125" style="2" customWidth="1"/>
    <col min="1281" max="1281" width="11.625" style="2" customWidth="1"/>
    <col min="1282" max="1282" width="29.625" style="2" customWidth="1"/>
    <col min="1283" max="1283" width="11.625" style="2" customWidth="1"/>
    <col min="1284" max="1284" width="2.125" style="2" customWidth="1"/>
    <col min="1285" max="1285" width="5.125" style="2" customWidth="1"/>
    <col min="1286" max="1286" width="11.625" style="2" customWidth="1"/>
    <col min="1287" max="1287" width="29.625" style="2" customWidth="1"/>
    <col min="1288" max="1288" width="11.625" style="2" customWidth="1"/>
    <col min="1289" max="1289" width="2.125" style="2" customWidth="1"/>
    <col min="1290" max="1290" width="5.125" style="2" customWidth="1"/>
    <col min="1291" max="1291" width="11.625" style="2" customWidth="1"/>
    <col min="1292" max="1292" width="29.625" style="2" customWidth="1"/>
    <col min="1293" max="1293" width="11.625" style="2" customWidth="1"/>
    <col min="1294" max="1294" width="2.125" style="2" customWidth="1"/>
    <col min="1295" max="1295" width="5.125" style="2" customWidth="1"/>
    <col min="1296" max="1296" width="11.625" style="2" customWidth="1"/>
    <col min="1297" max="1297" width="29.625" style="2" customWidth="1"/>
    <col min="1298" max="1298" width="6.625" style="2" bestFit="1" customWidth="1"/>
    <col min="1299" max="1299" width="6.625" style="2" customWidth="1"/>
    <col min="1300" max="1300" width="3.625" style="2" customWidth="1"/>
    <col min="1301" max="1303" width="14.625" style="2" customWidth="1"/>
    <col min="1304" max="1304" width="7.125" style="2" customWidth="1"/>
    <col min="1305" max="1305" width="11.625" style="2" customWidth="1"/>
    <col min="1306" max="1306" width="2.125" style="2" customWidth="1"/>
    <col min="1307" max="1307" width="5.125" style="2" customWidth="1"/>
    <col min="1308" max="1308" width="11.625" style="2" customWidth="1"/>
    <col min="1309" max="1309" width="29.625" style="2" customWidth="1"/>
    <col min="1310" max="1310" width="11.625" style="2" customWidth="1"/>
    <col min="1311" max="1311" width="2.125" style="2" customWidth="1"/>
    <col min="1312" max="1312" width="5.125" style="2" customWidth="1"/>
    <col min="1313" max="1313" width="11.625" style="2" customWidth="1"/>
    <col min="1314" max="1314" width="29.625" style="2" customWidth="1"/>
    <col min="1315" max="1315" width="11.625" style="2" customWidth="1"/>
    <col min="1316" max="1316" width="2.125" style="2" customWidth="1"/>
    <col min="1317" max="1317" width="5.125" style="2" customWidth="1"/>
    <col min="1318" max="1318" width="11.625" style="2" customWidth="1"/>
    <col min="1319" max="1319" width="29.625" style="2" customWidth="1"/>
    <col min="1320" max="1320" width="11.625" style="2" customWidth="1"/>
    <col min="1321" max="1321" width="2.125" style="2" customWidth="1"/>
    <col min="1322" max="1322" width="5.125" style="2" customWidth="1"/>
    <col min="1323" max="1323" width="11.625" style="2" customWidth="1"/>
    <col min="1324" max="1324" width="29.625" style="2" customWidth="1"/>
    <col min="1325" max="1325" width="6.625" style="2" bestFit="1" customWidth="1"/>
    <col min="1326" max="1326" width="6.625" style="2" customWidth="1"/>
    <col min="1327" max="1327" width="3.625" style="2" customWidth="1"/>
    <col min="1328" max="1330" width="14.625" style="2" customWidth="1"/>
    <col min="1331" max="1331" width="7.125" style="2" customWidth="1"/>
    <col min="1332" max="1332" width="11.625" style="2" customWidth="1"/>
    <col min="1333" max="1333" width="2.125" style="2" customWidth="1"/>
    <col min="1334" max="1334" width="5.125" style="2" customWidth="1"/>
    <col min="1335" max="1335" width="11.625" style="2" customWidth="1"/>
    <col min="1336" max="1336" width="29.625" style="2" customWidth="1"/>
    <col min="1337" max="1337" width="11.625" style="2" customWidth="1"/>
    <col min="1338" max="1338" width="2.125" style="2" customWidth="1"/>
    <col min="1339" max="1339" width="5.125" style="2" customWidth="1"/>
    <col min="1340" max="1340" width="11.625" style="2" customWidth="1"/>
    <col min="1341" max="1341" width="29.625" style="2" customWidth="1"/>
    <col min="1342" max="1342" width="11.625" style="2" customWidth="1"/>
    <col min="1343" max="1343" width="2.125" style="2" customWidth="1"/>
    <col min="1344" max="1344" width="5.125" style="2" customWidth="1"/>
    <col min="1345" max="1345" width="11.625" style="2" customWidth="1"/>
    <col min="1346" max="1346" width="29.625" style="2" customWidth="1"/>
    <col min="1347" max="1347" width="11.625" style="2" customWidth="1"/>
    <col min="1348" max="1348" width="2.125" style="2" customWidth="1"/>
    <col min="1349" max="1349" width="5.125" style="2" customWidth="1"/>
    <col min="1350" max="1350" width="11.625" style="2" customWidth="1"/>
    <col min="1351" max="1351" width="29.625" style="2" customWidth="1"/>
    <col min="1352" max="1352" width="6.625" style="2" bestFit="1" customWidth="1"/>
    <col min="1353" max="1353" width="6.625" style="2" customWidth="1"/>
    <col min="1354" max="1354" width="3.625" style="2" customWidth="1"/>
    <col min="1355" max="1357" width="14.625" style="2" customWidth="1"/>
    <col min="1358" max="1358" width="7.125" style="2" customWidth="1"/>
    <col min="1359" max="1359" width="11.625" style="2" customWidth="1"/>
    <col min="1360" max="1360" width="2.125" style="2" customWidth="1"/>
    <col min="1361" max="1361" width="5.125" style="2" customWidth="1"/>
    <col min="1362" max="1362" width="11.625" style="2" customWidth="1"/>
    <col min="1363" max="1363" width="29.625" style="2" customWidth="1"/>
    <col min="1364" max="1364" width="11.625" style="2" customWidth="1"/>
    <col min="1365" max="1365" width="2.125" style="2" customWidth="1"/>
    <col min="1366" max="1366" width="5.125" style="2" customWidth="1"/>
    <col min="1367" max="1367" width="11.625" style="2" customWidth="1"/>
    <col min="1368" max="1368" width="29.625" style="2" customWidth="1"/>
    <col min="1369" max="1369" width="11.625" style="2" customWidth="1"/>
    <col min="1370" max="1370" width="2.125" style="2" customWidth="1"/>
    <col min="1371" max="1371" width="5.125" style="2" customWidth="1"/>
    <col min="1372" max="1372" width="11.625" style="2" customWidth="1"/>
    <col min="1373" max="1373" width="29.625" style="2" customWidth="1"/>
    <col min="1374" max="1374" width="11.625" style="2" customWidth="1"/>
    <col min="1375" max="1375" width="2.125" style="2" customWidth="1"/>
    <col min="1376" max="1376" width="5.125" style="2" customWidth="1"/>
    <col min="1377" max="1377" width="11.625" style="2" customWidth="1"/>
    <col min="1378" max="1378" width="29.625" style="2" customWidth="1"/>
    <col min="1379" max="1379" width="6.625" style="2" bestFit="1" customWidth="1"/>
    <col min="1380" max="1380" width="6.625" style="2" customWidth="1"/>
    <col min="1381" max="1381" width="3.625" style="2" customWidth="1"/>
    <col min="1382" max="1384" width="14.625" style="2" customWidth="1"/>
    <col min="1385" max="1385" width="7.125" style="2" customWidth="1"/>
    <col min="1386" max="1386" width="11.625" style="2" customWidth="1"/>
    <col min="1387" max="1387" width="2.125" style="2" customWidth="1"/>
    <col min="1388" max="1388" width="5.125" style="2" customWidth="1"/>
    <col min="1389" max="1389" width="11.625" style="2" customWidth="1"/>
    <col min="1390" max="1390" width="29.625" style="2" customWidth="1"/>
    <col min="1391" max="1391" width="11.625" style="2" customWidth="1"/>
    <col min="1392" max="1392" width="2.125" style="2" customWidth="1"/>
    <col min="1393" max="1393" width="5.125" style="2" customWidth="1"/>
    <col min="1394" max="1394" width="11.625" style="2" customWidth="1"/>
    <col min="1395" max="1395" width="29.625" style="2" customWidth="1"/>
    <col min="1396" max="1396" width="11.625" style="2" customWidth="1"/>
    <col min="1397" max="1397" width="2.125" style="2" customWidth="1"/>
    <col min="1398" max="1398" width="5.125" style="2" customWidth="1"/>
    <col min="1399" max="1399" width="11.625" style="2" customWidth="1"/>
    <col min="1400" max="1400" width="29.625" style="2" customWidth="1"/>
    <col min="1401" max="1401" width="11.625" style="2" customWidth="1"/>
    <col min="1402" max="1402" width="2.125" style="2" customWidth="1"/>
    <col min="1403" max="1403" width="5.125" style="2" customWidth="1"/>
    <col min="1404" max="1404" width="11.625" style="2" customWidth="1"/>
    <col min="1405" max="1405" width="29.625" style="2" customWidth="1"/>
    <col min="1406" max="1406" width="6.625" style="2" bestFit="1" customWidth="1"/>
    <col min="1407" max="1407" width="6.625" style="2" customWidth="1"/>
    <col min="1408" max="1408" width="3.625" style="2" customWidth="1"/>
    <col min="1409" max="1411" width="14.625" style="2" customWidth="1"/>
    <col min="1412" max="1412" width="7.125" style="2" customWidth="1"/>
    <col min="1413" max="1413" width="11.625" style="2" customWidth="1"/>
    <col min="1414" max="1414" width="2.125" style="2" customWidth="1"/>
    <col min="1415" max="1415" width="5.125" style="2" customWidth="1"/>
    <col min="1416" max="1416" width="11.625" style="2" customWidth="1"/>
    <col min="1417" max="1417" width="29.625" style="2" customWidth="1"/>
    <col min="1418" max="1418" width="11.625" style="2" customWidth="1"/>
    <col min="1419" max="1419" width="2.125" style="2" customWidth="1"/>
    <col min="1420" max="1420" width="5.125" style="2" customWidth="1"/>
    <col min="1421" max="1421" width="11.625" style="2" customWidth="1"/>
    <col min="1422" max="1422" width="29.625" style="2" customWidth="1"/>
    <col min="1423" max="1423" width="11.625" style="2" customWidth="1"/>
    <col min="1424" max="1424" width="2.125" style="2" customWidth="1"/>
    <col min="1425" max="1425" width="5.125" style="2" customWidth="1"/>
    <col min="1426" max="1426" width="11.625" style="2" customWidth="1"/>
    <col min="1427" max="1427" width="29.625" style="2" customWidth="1"/>
    <col min="1428" max="1428" width="11.625" style="2" customWidth="1"/>
    <col min="1429" max="1429" width="2.125" style="2" customWidth="1"/>
    <col min="1430" max="1430" width="5.125" style="2" customWidth="1"/>
    <col min="1431" max="1431" width="11.625" style="2" customWidth="1"/>
    <col min="1432" max="1432" width="29.625" style="2" customWidth="1"/>
    <col min="1433" max="1433" width="6.625" style="2" bestFit="1" customWidth="1"/>
    <col min="1434" max="1434" width="6.625" style="2" customWidth="1"/>
    <col min="1435" max="1435" width="3.625" style="2" customWidth="1"/>
    <col min="1436" max="1438" width="14.625" style="2" customWidth="1"/>
    <col min="1439" max="1439" width="7.125" style="2" customWidth="1"/>
    <col min="1440" max="1440" width="11.625" style="2" customWidth="1"/>
    <col min="1441" max="1441" width="2.125" style="2" customWidth="1"/>
    <col min="1442" max="1442" width="5.125" style="2" customWidth="1"/>
    <col min="1443" max="1443" width="11.625" style="2" customWidth="1"/>
    <col min="1444" max="1444" width="29.625" style="2" customWidth="1"/>
    <col min="1445" max="1445" width="11.625" style="2" customWidth="1"/>
    <col min="1446" max="1446" width="2.125" style="2" customWidth="1"/>
    <col min="1447" max="1447" width="5.125" style="2" customWidth="1"/>
    <col min="1448" max="1448" width="11.625" style="2" customWidth="1"/>
    <col min="1449" max="1449" width="29.625" style="2" customWidth="1"/>
    <col min="1450" max="1450" width="11.625" style="2" customWidth="1"/>
    <col min="1451" max="1451" width="2.125" style="2" customWidth="1"/>
    <col min="1452" max="1452" width="5.125" style="2" customWidth="1"/>
    <col min="1453" max="1453" width="11.625" style="2" customWidth="1"/>
    <col min="1454" max="1454" width="29.625" style="2" customWidth="1"/>
    <col min="1455" max="1455" width="11.625" style="2" customWidth="1"/>
    <col min="1456" max="1456" width="2.125" style="2" customWidth="1"/>
    <col min="1457" max="1457" width="5.125" style="2" customWidth="1"/>
    <col min="1458" max="1458" width="11.625" style="2" customWidth="1"/>
    <col min="1459" max="1459" width="29.625" style="2" customWidth="1"/>
    <col min="1460" max="1460" width="6.625" style="2" bestFit="1" customWidth="1"/>
    <col min="1461" max="1461" width="6.625" style="2" customWidth="1"/>
    <col min="1462" max="1462" width="3.625" style="2" customWidth="1"/>
    <col min="1463" max="1465" width="14.625" style="2" customWidth="1"/>
    <col min="1466" max="1466" width="7.125" style="2" customWidth="1"/>
    <col min="1467" max="1467" width="11.625" style="2" customWidth="1"/>
    <col min="1468" max="1468" width="2.125" style="2" customWidth="1"/>
    <col min="1469" max="1469" width="5.125" style="2" customWidth="1"/>
    <col min="1470" max="1470" width="11.625" style="2" customWidth="1"/>
    <col min="1471" max="1471" width="29.625" style="2" customWidth="1"/>
    <col min="1472" max="1472" width="11.625" style="2" customWidth="1"/>
    <col min="1473" max="1473" width="2.125" style="2" customWidth="1"/>
    <col min="1474" max="1474" width="5.125" style="2" customWidth="1"/>
    <col min="1475" max="1475" width="11.625" style="2" customWidth="1"/>
    <col min="1476" max="1476" width="29.625" style="2" customWidth="1"/>
    <col min="1477" max="1477" width="11.625" style="2" customWidth="1"/>
    <col min="1478" max="1478" width="2.125" style="2" customWidth="1"/>
    <col min="1479" max="1479" width="5.125" style="2" customWidth="1"/>
    <col min="1480" max="1480" width="11.625" style="2" customWidth="1"/>
    <col min="1481" max="1481" width="29.625" style="2" customWidth="1"/>
    <col min="1482" max="1482" width="11.625" style="2" customWidth="1"/>
    <col min="1483" max="1483" width="2.125" style="2" customWidth="1"/>
    <col min="1484" max="1484" width="5.125" style="2" customWidth="1"/>
    <col min="1485" max="1485" width="11.625" style="2" customWidth="1"/>
    <col min="1486" max="1486" width="29.625" style="2" customWidth="1"/>
    <col min="1487" max="1487" width="6.625" style="2" bestFit="1" customWidth="1"/>
    <col min="1488" max="1488" width="6.625" style="2" customWidth="1"/>
    <col min="1489" max="1489" width="3.625" style="2" customWidth="1"/>
    <col min="1490" max="1492" width="14.625" style="2" customWidth="1"/>
    <col min="1493" max="1493" width="7.125" style="2" customWidth="1"/>
    <col min="1494" max="1494" width="11.625" style="2" customWidth="1"/>
    <col min="1495" max="1495" width="2.125" style="2" customWidth="1"/>
    <col min="1496" max="1496" width="5.125" style="2" customWidth="1"/>
    <col min="1497" max="1497" width="11.625" style="2" customWidth="1"/>
    <col min="1498" max="1498" width="29.625" style="2" customWidth="1"/>
    <col min="1499" max="1499" width="11.625" style="2" customWidth="1"/>
    <col min="1500" max="1500" width="2.125" style="2" customWidth="1"/>
    <col min="1501" max="1501" width="5.125" style="2" customWidth="1"/>
    <col min="1502" max="1502" width="11.625" style="2" customWidth="1"/>
    <col min="1503" max="1503" width="29.625" style="2" customWidth="1"/>
    <col min="1504" max="1504" width="11.625" style="2" customWidth="1"/>
    <col min="1505" max="1505" width="2.125" style="2" customWidth="1"/>
    <col min="1506" max="1506" width="5.125" style="2" customWidth="1"/>
    <col min="1507" max="1507" width="11.625" style="2" customWidth="1"/>
    <col min="1508" max="1508" width="29.625" style="2" customWidth="1"/>
    <col min="1509" max="1509" width="11.625" style="2" customWidth="1"/>
    <col min="1510" max="1510" width="2.125" style="2" customWidth="1"/>
    <col min="1511" max="1511" width="5.125" style="2" customWidth="1"/>
    <col min="1512" max="1512" width="11.625" style="2" customWidth="1"/>
    <col min="1513" max="1513" width="29.625" style="2" customWidth="1"/>
    <col min="1514" max="1514" width="6.625" style="2" bestFit="1" customWidth="1"/>
    <col min="1515" max="1515" width="6.625" style="2" customWidth="1"/>
    <col min="1516" max="1516" width="3.625" style="2" customWidth="1"/>
    <col min="1517" max="1519" width="14.625" style="2" customWidth="1"/>
    <col min="1520" max="1520" width="7.125" style="2" customWidth="1"/>
    <col min="1521" max="1521" width="11.625" style="2" customWidth="1"/>
    <col min="1522" max="1522" width="2.125" style="2" customWidth="1"/>
    <col min="1523" max="1523" width="5.125" style="2" customWidth="1"/>
    <col min="1524" max="1524" width="11.625" style="2" customWidth="1"/>
    <col min="1525" max="1525" width="29.625" style="2" customWidth="1"/>
    <col min="1526" max="1526" width="11.625" style="2" customWidth="1"/>
    <col min="1527" max="1527" width="2.125" style="2" customWidth="1"/>
    <col min="1528" max="1528" width="5.125" style="2" customWidth="1"/>
    <col min="1529" max="1529" width="11.625" style="2" customWidth="1"/>
    <col min="1530" max="1530" width="29.625" style="2" customWidth="1"/>
    <col min="1531" max="1531" width="11.625" style="2" customWidth="1"/>
    <col min="1532" max="1532" width="2.125" style="2" customWidth="1"/>
    <col min="1533" max="1533" width="5.125" style="2" customWidth="1"/>
    <col min="1534" max="1534" width="11.625" style="2" customWidth="1"/>
    <col min="1535" max="1535" width="29.625" style="2" customWidth="1"/>
    <col min="1536" max="1536" width="11.625" style="2" customWidth="1"/>
    <col min="1537" max="1537" width="2.125" style="2" customWidth="1"/>
    <col min="1538" max="1538" width="5.125" style="2" customWidth="1"/>
    <col min="1539" max="1539" width="11.625" style="2" customWidth="1"/>
    <col min="1540" max="1540" width="29.625" style="2" customWidth="1"/>
    <col min="1541" max="16384" width="8" style="2"/>
  </cols>
  <sheetData>
    <row r="1" spans="1:1540" ht="27.75" customHeight="1" x14ac:dyDescent="0.4">
      <c r="C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53">
        <f ca="1">TODAY()</f>
        <v>45386</v>
      </c>
      <c r="X1" s="453"/>
      <c r="Y1" s="453"/>
      <c r="Z1" s="453"/>
      <c r="AA1" s="453"/>
      <c r="AD1" s="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53">
        <f ca="1">TODAY()</f>
        <v>45386</v>
      </c>
      <c r="AY1" s="453"/>
      <c r="AZ1" s="453"/>
      <c r="BA1" s="453"/>
      <c r="BB1" s="453"/>
      <c r="BE1" s="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439"/>
      <c r="BZ1" s="439"/>
      <c r="CA1" s="439"/>
      <c r="CB1" s="439"/>
      <c r="CC1" s="439">
        <f ca="1">TODAY()</f>
        <v>45386</v>
      </c>
      <c r="CF1" s="1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453">
        <f ca="1">TODAY()</f>
        <v>45386</v>
      </c>
      <c r="DA1" s="453"/>
      <c r="DB1" s="453"/>
      <c r="DC1" s="453"/>
      <c r="DD1" s="453"/>
      <c r="DG1" s="1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439"/>
      <c r="EB1" s="439"/>
      <c r="EC1" s="439"/>
      <c r="ED1" s="439"/>
      <c r="EE1" s="439">
        <f ca="1">TODAY()</f>
        <v>45386</v>
      </c>
      <c r="EH1" s="1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439"/>
      <c r="FC1" s="439"/>
      <c r="FD1" s="439"/>
      <c r="FE1" s="439"/>
      <c r="FF1" s="439">
        <f ca="1">TODAY()</f>
        <v>45386</v>
      </c>
      <c r="FI1" s="1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439">
        <f ca="1">TODAY()</f>
        <v>45386</v>
      </c>
      <c r="GJ1" s="1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439"/>
      <c r="HE1" s="439"/>
      <c r="HF1" s="439"/>
      <c r="HG1" s="439"/>
      <c r="HH1" s="439">
        <f ca="1">TODAY()</f>
        <v>45386</v>
      </c>
      <c r="HK1" s="1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439">
        <f ca="1">TODAY()</f>
        <v>45386</v>
      </c>
      <c r="IL1" s="1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453">
        <f ca="1">TODAY()</f>
        <v>45386</v>
      </c>
      <c r="JG1" s="453"/>
      <c r="JH1" s="453"/>
      <c r="JI1" s="453"/>
      <c r="JJ1" s="453"/>
      <c r="JM1" s="1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453">
        <f ca="1">TODAY()</f>
        <v>45386</v>
      </c>
      <c r="KH1" s="453"/>
      <c r="KI1" s="453"/>
      <c r="KJ1" s="453"/>
      <c r="KK1" s="453"/>
      <c r="KN1" s="1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453">
        <f ca="1">TODAY()</f>
        <v>45386</v>
      </c>
      <c r="LI1" s="453"/>
      <c r="LJ1" s="453"/>
      <c r="LK1" s="453"/>
      <c r="LL1" s="453"/>
      <c r="LO1" s="1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453">
        <f ca="1">TODAY()</f>
        <v>45386</v>
      </c>
      <c r="MJ1" s="453"/>
      <c r="MK1" s="453"/>
      <c r="ML1" s="453"/>
      <c r="MM1" s="453"/>
      <c r="MP1" s="1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453">
        <f ca="1">TODAY()</f>
        <v>45386</v>
      </c>
      <c r="NK1" s="453"/>
      <c r="NL1" s="453"/>
      <c r="NM1" s="453"/>
      <c r="NN1" s="453"/>
      <c r="NQ1" s="1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451">
        <f ca="1">TODAY()</f>
        <v>45386</v>
      </c>
      <c r="OR1" s="1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440">
        <f ca="1">TODAY()</f>
        <v>45386</v>
      </c>
      <c r="PS1" s="1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440">
        <f ca="1">TODAY()</f>
        <v>45386</v>
      </c>
      <c r="QT1" s="1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440">
        <f ca="1">TODAY()</f>
        <v>45386</v>
      </c>
      <c r="RU1" s="1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440">
        <f ca="1">TODAY()</f>
        <v>45386</v>
      </c>
      <c r="SV1" s="1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440">
        <f ca="1">TODAY()</f>
        <v>45386</v>
      </c>
      <c r="TW1" s="1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440">
        <f ca="1">TODAY()</f>
        <v>45386</v>
      </c>
      <c r="UX1" s="1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O1" s="439"/>
      <c r="VP1" s="439"/>
      <c r="VQ1" s="439"/>
      <c r="VR1" s="439"/>
      <c r="VS1" s="439"/>
      <c r="VT1" s="439"/>
      <c r="VU1" s="439"/>
      <c r="VV1" s="440">
        <f ca="1">TODAY()</f>
        <v>45386</v>
      </c>
      <c r="VY1" s="1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453">
        <f ca="1">TODAY()</f>
        <v>45386</v>
      </c>
      <c r="WT1" s="453"/>
      <c r="WU1" s="453"/>
      <c r="WV1" s="453"/>
      <c r="WW1" s="453"/>
      <c r="WZ1" s="1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439"/>
      <c r="XU1" s="439"/>
      <c r="XV1" s="439"/>
      <c r="XW1" s="439"/>
      <c r="XX1" s="439">
        <f ca="1">TODAY()</f>
        <v>45386</v>
      </c>
      <c r="YA1" s="1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453">
        <f ca="1">TODAY()</f>
        <v>45386</v>
      </c>
      <c r="YR1" s="453"/>
      <c r="YS1" s="453"/>
      <c r="YT1" s="453"/>
      <c r="YU1" s="453"/>
      <c r="YV1" s="453"/>
      <c r="YW1" s="453"/>
      <c r="YX1" s="453"/>
      <c r="YY1" s="453"/>
      <c r="ZB1" s="1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453">
        <f ca="1">TODAY()</f>
        <v>45386</v>
      </c>
      <c r="ZS1" s="453"/>
      <c r="ZT1" s="453"/>
      <c r="ZU1" s="453"/>
      <c r="ZV1" s="453"/>
      <c r="ZW1" s="453"/>
      <c r="ZX1" s="453"/>
      <c r="ZY1" s="453"/>
      <c r="ZZ1" s="453"/>
      <c r="AAC1" s="1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X1" s="451"/>
      <c r="AAY1" s="451"/>
      <c r="AAZ1" s="451"/>
      <c r="ABA1" s="451">
        <f ca="1">TODAY()</f>
        <v>45386</v>
      </c>
      <c r="ABD1" s="1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439">
        <f ca="1">TODAY()</f>
        <v>45386</v>
      </c>
      <c r="ACE1" s="1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Z1" s="451"/>
      <c r="ADA1" s="451"/>
      <c r="ADB1" s="451"/>
      <c r="ADC1" s="451">
        <f ca="1">TODAY()</f>
        <v>45386</v>
      </c>
      <c r="ADF1" s="1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453">
        <f ca="1">TODAY()</f>
        <v>45386</v>
      </c>
      <c r="ADW1" s="453"/>
      <c r="ADX1" s="453"/>
      <c r="ADY1" s="453"/>
      <c r="ADZ1" s="453"/>
      <c r="AEA1" s="453"/>
      <c r="AEB1" s="453"/>
      <c r="AEC1" s="453"/>
      <c r="AED1" s="453"/>
      <c r="AEG1" s="1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440">
        <f ca="1">TODAY()</f>
        <v>45386</v>
      </c>
      <c r="AFH1" s="1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453">
        <f ca="1">TODAY()</f>
        <v>45386</v>
      </c>
      <c r="AGB1" s="453"/>
      <c r="AGC1" s="453"/>
      <c r="AGD1" s="453"/>
      <c r="AGE1" s="453"/>
      <c r="AGF1" s="453"/>
      <c r="AGI1" s="1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453">
        <f ca="1">TODAY()</f>
        <v>45386</v>
      </c>
      <c r="AHD1" s="453"/>
      <c r="AHE1" s="453"/>
      <c r="AHF1" s="453"/>
      <c r="AHG1" s="453"/>
      <c r="AHJ1" s="1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440"/>
      <c r="AHZ1" s="440"/>
      <c r="AIA1" s="440"/>
      <c r="AIB1" s="440"/>
      <c r="AIC1" s="440"/>
      <c r="AID1" s="440"/>
      <c r="AIE1" s="440"/>
      <c r="AIF1" s="440"/>
      <c r="AIG1" s="440"/>
      <c r="AIH1" s="440">
        <f ca="1">TODAY()</f>
        <v>45386</v>
      </c>
      <c r="AIK1" s="1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440"/>
      <c r="AJA1" s="440"/>
      <c r="AJB1" s="440"/>
      <c r="AJC1" s="440"/>
      <c r="AJD1" s="440"/>
      <c r="AJE1" s="440"/>
      <c r="AJF1" s="440"/>
      <c r="AJG1" s="440"/>
      <c r="AJH1" s="440"/>
      <c r="AJI1" s="440">
        <f ca="1">TODAY()</f>
        <v>45386</v>
      </c>
      <c r="AJL1" s="1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440"/>
      <c r="AKB1" s="440"/>
      <c r="AKC1" s="440"/>
      <c r="AKD1" s="440"/>
      <c r="AKE1" s="440"/>
      <c r="AKF1" s="440"/>
      <c r="AKG1" s="440"/>
      <c r="AKH1" s="440"/>
      <c r="AKI1" s="440"/>
      <c r="AKJ1" s="440">
        <f ca="1">TODAY()</f>
        <v>45386</v>
      </c>
      <c r="AKM1" s="1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440"/>
      <c r="ALC1" s="440"/>
      <c r="ALD1" s="440"/>
      <c r="ALE1" s="440"/>
      <c r="ALF1" s="440"/>
      <c r="ALG1" s="440"/>
      <c r="ALH1" s="440"/>
      <c r="ALI1" s="440"/>
      <c r="ALJ1" s="440"/>
      <c r="ALK1" s="440">
        <f ca="1">TODAY()</f>
        <v>45386</v>
      </c>
      <c r="ALN1" s="1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440"/>
      <c r="AMD1" s="440"/>
      <c r="AME1" s="440"/>
      <c r="AMF1" s="440"/>
      <c r="AMG1" s="439"/>
      <c r="AMH1" s="439"/>
      <c r="AMI1" s="439"/>
      <c r="AMJ1" s="439"/>
      <c r="AMK1" s="439"/>
      <c r="AML1" s="439">
        <f ca="1">TODAY()</f>
        <v>45386</v>
      </c>
      <c r="AMO1" s="1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440"/>
      <c r="ANE1" s="440"/>
      <c r="ANF1" s="440"/>
      <c r="ANG1" s="440"/>
      <c r="ANH1" s="439"/>
      <c r="ANI1" s="439"/>
      <c r="ANJ1" s="439"/>
      <c r="ANK1" s="439"/>
      <c r="ANL1" s="439"/>
      <c r="ANM1" s="439">
        <f ca="1">TODAY()</f>
        <v>45386</v>
      </c>
      <c r="ANP1" s="1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440"/>
      <c r="AOF1" s="440"/>
      <c r="AOG1" s="440"/>
      <c r="AOH1" s="440"/>
      <c r="AOI1" s="439"/>
      <c r="AOJ1" s="439"/>
      <c r="AOK1" s="439"/>
      <c r="AOL1" s="439"/>
      <c r="AOM1" s="439"/>
      <c r="AON1" s="439"/>
      <c r="AOO1" s="439">
        <f ca="1">TODAY()</f>
        <v>45386</v>
      </c>
      <c r="AOR1" s="1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453">
        <f ca="1">TODAY()</f>
        <v>45386</v>
      </c>
      <c r="APH1" s="453"/>
      <c r="API1" s="453"/>
      <c r="APJ1" s="453"/>
      <c r="APK1" s="453"/>
      <c r="APL1" s="453"/>
      <c r="APM1" s="453"/>
      <c r="APN1" s="453"/>
      <c r="APO1" s="453"/>
      <c r="APP1" s="453"/>
      <c r="APS1" s="1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441">
        <f ca="1">TODAY()</f>
        <v>45386</v>
      </c>
      <c r="AQT1" s="1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453">
        <f ca="1">TODAY()</f>
        <v>45386</v>
      </c>
      <c r="ARO1" s="453"/>
      <c r="ARP1" s="453"/>
      <c r="ARQ1" s="453"/>
      <c r="ARR1" s="453"/>
      <c r="ARU1" s="1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439">
        <f ca="1">TODAY()</f>
        <v>45386</v>
      </c>
      <c r="ASV1" s="1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439"/>
      <c r="ATQ1" s="439"/>
      <c r="ATR1" s="439"/>
      <c r="ATS1" s="439"/>
      <c r="ATT1" s="439">
        <f ca="1">TODAY()</f>
        <v>45386</v>
      </c>
      <c r="ATW1" s="1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453">
        <f ca="1">TODAY()</f>
        <v>45386</v>
      </c>
      <c r="AUR1" s="453"/>
      <c r="AUS1" s="453"/>
      <c r="AUT1" s="453"/>
      <c r="AUU1" s="453"/>
      <c r="AUX1" s="1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453">
        <f ca="1">TODAY()</f>
        <v>45386</v>
      </c>
      <c r="AVT1" s="453"/>
      <c r="AVU1" s="453"/>
      <c r="AVV1" s="453"/>
      <c r="AVY1" s="1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453">
        <f ca="1">TODAY()</f>
        <v>45386</v>
      </c>
      <c r="AWU1" s="453"/>
      <c r="AWV1" s="453"/>
      <c r="AWW1" s="453"/>
      <c r="AWZ1" s="1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453">
        <f ca="1">TODAY()</f>
        <v>45386</v>
      </c>
      <c r="AXU1" s="453"/>
      <c r="AXV1" s="453"/>
      <c r="AXW1" s="453"/>
      <c r="AXX1" s="453"/>
      <c r="AYA1" s="1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453">
        <f ca="1">TODAY()</f>
        <v>45386</v>
      </c>
      <c r="AYW1" s="453"/>
      <c r="AYX1" s="453"/>
      <c r="AYY1" s="453"/>
      <c r="AZB1" s="1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453">
        <f ca="1">TODAY()</f>
        <v>45386</v>
      </c>
      <c r="AZX1" s="453"/>
      <c r="AZY1" s="453"/>
      <c r="AZZ1" s="453"/>
      <c r="BAC1" s="1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453">
        <f ca="1">TODAY()</f>
        <v>45386</v>
      </c>
      <c r="BAX1" s="453"/>
      <c r="BAY1" s="453"/>
      <c r="BAZ1" s="453"/>
      <c r="BBA1" s="453"/>
      <c r="BBD1" s="1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453">
        <f ca="1">TODAY()</f>
        <v>45386</v>
      </c>
      <c r="BBY1" s="453"/>
      <c r="BBZ1" s="453"/>
      <c r="BCA1" s="453"/>
      <c r="BCB1" s="453"/>
      <c r="BCE1" s="1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440">
        <f ca="1">TODAY()</f>
        <v>45386</v>
      </c>
      <c r="BDF1" s="1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439"/>
      <c r="BEA1" s="439"/>
      <c r="BEB1" s="439"/>
      <c r="BEC1" s="439"/>
      <c r="BED1" s="439">
        <f ca="1">TODAY()</f>
        <v>45386</v>
      </c>
      <c r="BEG1" s="1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E1" s="439">
        <f ca="1">TODAY()</f>
        <v>45386</v>
      </c>
      <c r="BFH1" s="1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453">
        <f ca="1">TODAY()</f>
        <v>45386</v>
      </c>
      <c r="BGB1" s="453"/>
      <c r="BGC1" s="453"/>
      <c r="BGD1" s="453"/>
      <c r="BGE1" s="453"/>
      <c r="BGF1" s="453"/>
    </row>
    <row r="2" spans="1:1540" ht="39" customHeight="1" x14ac:dyDescent="0.4">
      <c r="A2" s="454" t="s">
        <v>797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 t="s">
        <v>797</v>
      </c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 t="s">
        <v>797</v>
      </c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 t="s">
        <v>797</v>
      </c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 t="s">
        <v>797</v>
      </c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 t="s">
        <v>797</v>
      </c>
      <c r="EG2" s="454"/>
      <c r="EH2" s="454"/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/>
      <c r="FE2" s="454"/>
      <c r="FF2" s="454"/>
      <c r="FG2" s="454" t="s">
        <v>797</v>
      </c>
      <c r="FH2" s="454"/>
      <c r="FI2" s="454"/>
      <c r="FJ2" s="454"/>
      <c r="FK2" s="454"/>
      <c r="FL2" s="454"/>
      <c r="FM2" s="454"/>
      <c r="FN2" s="454"/>
      <c r="FO2" s="454"/>
      <c r="FP2" s="454"/>
      <c r="FQ2" s="454"/>
      <c r="FR2" s="454"/>
      <c r="FS2" s="454"/>
      <c r="FT2" s="454"/>
      <c r="FU2" s="454"/>
      <c r="FV2" s="454"/>
      <c r="FW2" s="454"/>
      <c r="FX2" s="454"/>
      <c r="FY2" s="454"/>
      <c r="FZ2" s="454"/>
      <c r="GA2" s="454"/>
      <c r="GB2" s="454"/>
      <c r="GC2" s="454"/>
      <c r="GD2" s="454"/>
      <c r="GE2" s="454"/>
      <c r="GF2" s="454"/>
      <c r="GG2" s="454"/>
      <c r="GH2" s="454" t="s">
        <v>797</v>
      </c>
      <c r="GI2" s="454"/>
      <c r="GJ2" s="454"/>
      <c r="GK2" s="454"/>
      <c r="GL2" s="454"/>
      <c r="GM2" s="454"/>
      <c r="GN2" s="454"/>
      <c r="GO2" s="454"/>
      <c r="GP2" s="454"/>
      <c r="GQ2" s="454"/>
      <c r="GR2" s="454"/>
      <c r="GS2" s="454"/>
      <c r="GT2" s="454"/>
      <c r="GU2" s="454"/>
      <c r="GV2" s="454"/>
      <c r="GW2" s="454"/>
      <c r="GX2" s="454"/>
      <c r="GY2" s="454"/>
      <c r="GZ2" s="454"/>
      <c r="HA2" s="454"/>
      <c r="HB2" s="454"/>
      <c r="HC2" s="454"/>
      <c r="HD2" s="454"/>
      <c r="HE2" s="454"/>
      <c r="HF2" s="454"/>
      <c r="HG2" s="454"/>
      <c r="HH2" s="454"/>
      <c r="HI2" s="454" t="s">
        <v>797</v>
      </c>
      <c r="HJ2" s="454"/>
      <c r="HK2" s="454"/>
      <c r="HL2" s="454"/>
      <c r="HM2" s="454"/>
      <c r="HN2" s="454"/>
      <c r="HO2" s="454"/>
      <c r="HP2" s="454"/>
      <c r="HQ2" s="454"/>
      <c r="HR2" s="454"/>
      <c r="HS2" s="454"/>
      <c r="HT2" s="454"/>
      <c r="HU2" s="454"/>
      <c r="HV2" s="454"/>
      <c r="HW2" s="454"/>
      <c r="HX2" s="454"/>
      <c r="HY2" s="454"/>
      <c r="HZ2" s="454"/>
      <c r="IA2" s="454"/>
      <c r="IB2" s="454"/>
      <c r="IC2" s="454"/>
      <c r="ID2" s="454"/>
      <c r="IE2" s="454"/>
      <c r="IF2" s="454"/>
      <c r="IG2" s="454"/>
      <c r="IH2" s="454"/>
      <c r="II2" s="454"/>
      <c r="IJ2" s="454" t="s">
        <v>797</v>
      </c>
      <c r="IK2" s="454"/>
      <c r="IL2" s="454"/>
      <c r="IM2" s="454"/>
      <c r="IN2" s="454"/>
      <c r="IO2" s="454"/>
      <c r="IP2" s="454"/>
      <c r="IQ2" s="454"/>
      <c r="IR2" s="454"/>
      <c r="IS2" s="454"/>
      <c r="IT2" s="454"/>
      <c r="IU2" s="454"/>
      <c r="IV2" s="454"/>
      <c r="IW2" s="454"/>
      <c r="IX2" s="454"/>
      <c r="IY2" s="454"/>
      <c r="IZ2" s="454"/>
      <c r="JA2" s="454"/>
      <c r="JB2" s="454"/>
      <c r="JC2" s="454"/>
      <c r="JD2" s="454"/>
      <c r="JE2" s="454"/>
      <c r="JF2" s="454"/>
      <c r="JG2" s="454"/>
      <c r="JH2" s="454"/>
      <c r="JI2" s="454"/>
      <c r="JJ2" s="454"/>
      <c r="JK2" s="454" t="s">
        <v>797</v>
      </c>
      <c r="JL2" s="454"/>
      <c r="JM2" s="454"/>
      <c r="JN2" s="454"/>
      <c r="JO2" s="454"/>
      <c r="JP2" s="454"/>
      <c r="JQ2" s="454"/>
      <c r="JR2" s="454"/>
      <c r="JS2" s="454"/>
      <c r="JT2" s="454"/>
      <c r="JU2" s="454"/>
      <c r="JV2" s="454"/>
      <c r="JW2" s="454"/>
      <c r="JX2" s="454"/>
      <c r="JY2" s="454"/>
      <c r="JZ2" s="454"/>
      <c r="KA2" s="454"/>
      <c r="KB2" s="454"/>
      <c r="KC2" s="454"/>
      <c r="KD2" s="454"/>
      <c r="KE2" s="454"/>
      <c r="KF2" s="454"/>
      <c r="KG2" s="454"/>
      <c r="KH2" s="454"/>
      <c r="KI2" s="454"/>
      <c r="KJ2" s="454"/>
      <c r="KK2" s="454"/>
      <c r="KL2" s="454" t="s">
        <v>797</v>
      </c>
      <c r="KM2" s="454"/>
      <c r="KN2" s="454"/>
      <c r="KO2" s="454"/>
      <c r="KP2" s="454"/>
      <c r="KQ2" s="454"/>
      <c r="KR2" s="454"/>
      <c r="KS2" s="454"/>
      <c r="KT2" s="454"/>
      <c r="KU2" s="454"/>
      <c r="KV2" s="454"/>
      <c r="KW2" s="454"/>
      <c r="KX2" s="454"/>
      <c r="KY2" s="454"/>
      <c r="KZ2" s="454"/>
      <c r="LA2" s="454"/>
      <c r="LB2" s="454"/>
      <c r="LC2" s="454"/>
      <c r="LD2" s="454"/>
      <c r="LE2" s="454"/>
      <c r="LF2" s="454"/>
      <c r="LG2" s="454"/>
      <c r="LH2" s="454"/>
      <c r="LI2" s="454"/>
      <c r="LJ2" s="454"/>
      <c r="LK2" s="454"/>
      <c r="LL2" s="454"/>
      <c r="LM2" s="454" t="s">
        <v>797</v>
      </c>
      <c r="LN2" s="454"/>
      <c r="LO2" s="454"/>
      <c r="LP2" s="454"/>
      <c r="LQ2" s="454"/>
      <c r="LR2" s="454"/>
      <c r="LS2" s="454"/>
      <c r="LT2" s="454"/>
      <c r="LU2" s="454"/>
      <c r="LV2" s="454"/>
      <c r="LW2" s="454"/>
      <c r="LX2" s="454"/>
      <c r="LY2" s="454"/>
      <c r="LZ2" s="454"/>
      <c r="MA2" s="454"/>
      <c r="MB2" s="454"/>
      <c r="MC2" s="454"/>
      <c r="MD2" s="454"/>
      <c r="ME2" s="454"/>
      <c r="MF2" s="454"/>
      <c r="MG2" s="454"/>
      <c r="MH2" s="454"/>
      <c r="MI2" s="454"/>
      <c r="MJ2" s="454"/>
      <c r="MK2" s="454"/>
      <c r="ML2" s="454"/>
      <c r="MM2" s="454"/>
      <c r="MN2" s="454" t="s">
        <v>797</v>
      </c>
      <c r="MO2" s="454"/>
      <c r="MP2" s="454"/>
      <c r="MQ2" s="454"/>
      <c r="MR2" s="454"/>
      <c r="MS2" s="454"/>
      <c r="MT2" s="454"/>
      <c r="MU2" s="454"/>
      <c r="MV2" s="454"/>
      <c r="MW2" s="454"/>
      <c r="MX2" s="454"/>
      <c r="MY2" s="454"/>
      <c r="MZ2" s="454"/>
      <c r="NA2" s="454"/>
      <c r="NB2" s="454"/>
      <c r="NC2" s="454"/>
      <c r="ND2" s="454"/>
      <c r="NE2" s="454"/>
      <c r="NF2" s="454"/>
      <c r="NG2" s="454"/>
      <c r="NH2" s="454"/>
      <c r="NI2" s="454"/>
      <c r="NJ2" s="454"/>
      <c r="NK2" s="454"/>
      <c r="NL2" s="454"/>
      <c r="NM2" s="454"/>
      <c r="NN2" s="454"/>
      <c r="NO2" s="454" t="s">
        <v>797</v>
      </c>
      <c r="NP2" s="454"/>
      <c r="NQ2" s="454"/>
      <c r="NR2" s="454"/>
      <c r="NS2" s="454"/>
      <c r="NT2" s="454"/>
      <c r="NU2" s="454"/>
      <c r="NV2" s="454"/>
      <c r="NW2" s="454"/>
      <c r="NX2" s="454"/>
      <c r="NY2" s="454"/>
      <c r="NZ2" s="454"/>
      <c r="OA2" s="454"/>
      <c r="OB2" s="454"/>
      <c r="OC2" s="454"/>
      <c r="OD2" s="454"/>
      <c r="OE2" s="454"/>
      <c r="OF2" s="454"/>
      <c r="OG2" s="454"/>
      <c r="OH2" s="454"/>
      <c r="OI2" s="454"/>
      <c r="OJ2" s="454"/>
      <c r="OK2" s="454"/>
      <c r="OL2" s="454"/>
      <c r="OM2" s="454"/>
      <c r="ON2" s="454"/>
      <c r="OO2" s="454"/>
      <c r="OP2" s="454" t="s">
        <v>797</v>
      </c>
      <c r="OQ2" s="454"/>
      <c r="OR2" s="454"/>
      <c r="OS2" s="454"/>
      <c r="OT2" s="454"/>
      <c r="OU2" s="454"/>
      <c r="OV2" s="454"/>
      <c r="OW2" s="454"/>
      <c r="OX2" s="454"/>
      <c r="OY2" s="454"/>
      <c r="OZ2" s="454"/>
      <c r="PA2" s="454"/>
      <c r="PB2" s="454"/>
      <c r="PC2" s="454"/>
      <c r="PD2" s="454"/>
      <c r="PE2" s="454"/>
      <c r="PF2" s="454"/>
      <c r="PG2" s="454"/>
      <c r="PH2" s="454"/>
      <c r="PI2" s="454"/>
      <c r="PJ2" s="454"/>
      <c r="PK2" s="454"/>
      <c r="PL2" s="454"/>
      <c r="PM2" s="454"/>
      <c r="PN2" s="454"/>
      <c r="PO2" s="454"/>
      <c r="PP2" s="454"/>
      <c r="PQ2" s="454" t="s">
        <v>797</v>
      </c>
      <c r="PR2" s="454"/>
      <c r="PS2" s="454"/>
      <c r="PT2" s="454"/>
      <c r="PU2" s="454"/>
      <c r="PV2" s="454"/>
      <c r="PW2" s="454"/>
      <c r="PX2" s="454"/>
      <c r="PY2" s="454"/>
      <c r="PZ2" s="454"/>
      <c r="QA2" s="454"/>
      <c r="QB2" s="454"/>
      <c r="QC2" s="454"/>
      <c r="QD2" s="454"/>
      <c r="QE2" s="454"/>
      <c r="QF2" s="454"/>
      <c r="QG2" s="454"/>
      <c r="QH2" s="454"/>
      <c r="QI2" s="454"/>
      <c r="QJ2" s="454"/>
      <c r="QK2" s="454"/>
      <c r="QL2" s="454"/>
      <c r="QM2" s="454"/>
      <c r="QN2" s="454"/>
      <c r="QO2" s="454"/>
      <c r="QP2" s="454"/>
      <c r="QQ2" s="454"/>
      <c r="QR2" s="454" t="s">
        <v>797</v>
      </c>
      <c r="QS2" s="454"/>
      <c r="QT2" s="454"/>
      <c r="QU2" s="454"/>
      <c r="QV2" s="454"/>
      <c r="QW2" s="454"/>
      <c r="QX2" s="454"/>
      <c r="QY2" s="454"/>
      <c r="QZ2" s="454"/>
      <c r="RA2" s="454"/>
      <c r="RB2" s="454"/>
      <c r="RC2" s="454"/>
      <c r="RD2" s="454"/>
      <c r="RE2" s="454"/>
      <c r="RF2" s="454"/>
      <c r="RG2" s="454"/>
      <c r="RH2" s="454"/>
      <c r="RI2" s="454"/>
      <c r="RJ2" s="454"/>
      <c r="RK2" s="454"/>
      <c r="RL2" s="454"/>
      <c r="RM2" s="454"/>
      <c r="RN2" s="454"/>
      <c r="RO2" s="454"/>
      <c r="RP2" s="454"/>
      <c r="RQ2" s="454"/>
      <c r="RR2" s="454"/>
      <c r="RS2" s="454" t="s">
        <v>797</v>
      </c>
      <c r="RT2" s="454"/>
      <c r="RU2" s="454"/>
      <c r="RV2" s="454"/>
      <c r="RW2" s="454"/>
      <c r="RX2" s="454"/>
      <c r="RY2" s="454"/>
      <c r="RZ2" s="454"/>
      <c r="SA2" s="454"/>
      <c r="SB2" s="454"/>
      <c r="SC2" s="454"/>
      <c r="SD2" s="454"/>
      <c r="SE2" s="454"/>
      <c r="SF2" s="454"/>
      <c r="SG2" s="454"/>
      <c r="SH2" s="454"/>
      <c r="SI2" s="454"/>
      <c r="SJ2" s="454"/>
      <c r="SK2" s="454"/>
      <c r="SL2" s="454"/>
      <c r="SM2" s="454"/>
      <c r="SN2" s="454"/>
      <c r="SO2" s="454"/>
      <c r="SP2" s="454"/>
      <c r="SQ2" s="454"/>
      <c r="SR2" s="454"/>
      <c r="SS2" s="454"/>
      <c r="ST2" s="454" t="s">
        <v>797</v>
      </c>
      <c r="SU2" s="454"/>
      <c r="SV2" s="454"/>
      <c r="SW2" s="454"/>
      <c r="SX2" s="454"/>
      <c r="SY2" s="454"/>
      <c r="SZ2" s="454"/>
      <c r="TA2" s="454"/>
      <c r="TB2" s="454"/>
      <c r="TC2" s="454"/>
      <c r="TD2" s="454"/>
      <c r="TE2" s="454"/>
      <c r="TF2" s="454"/>
      <c r="TG2" s="454"/>
      <c r="TH2" s="454"/>
      <c r="TI2" s="454"/>
      <c r="TJ2" s="454"/>
      <c r="TK2" s="454"/>
      <c r="TL2" s="454"/>
      <c r="TM2" s="454"/>
      <c r="TN2" s="454"/>
      <c r="TO2" s="454"/>
      <c r="TP2" s="454"/>
      <c r="TQ2" s="454"/>
      <c r="TR2" s="454"/>
      <c r="TS2" s="454"/>
      <c r="TT2" s="454"/>
      <c r="TU2" s="454" t="s">
        <v>797</v>
      </c>
      <c r="TV2" s="454"/>
      <c r="TW2" s="454"/>
      <c r="TX2" s="454"/>
      <c r="TY2" s="454"/>
      <c r="TZ2" s="454"/>
      <c r="UA2" s="454"/>
      <c r="UB2" s="454"/>
      <c r="UC2" s="454"/>
      <c r="UD2" s="454"/>
      <c r="UE2" s="454"/>
      <c r="UF2" s="454"/>
      <c r="UG2" s="454"/>
      <c r="UH2" s="454"/>
      <c r="UI2" s="454"/>
      <c r="UJ2" s="454"/>
      <c r="UK2" s="454"/>
      <c r="UL2" s="454"/>
      <c r="UM2" s="454"/>
      <c r="UN2" s="454"/>
      <c r="UO2" s="454"/>
      <c r="UP2" s="454"/>
      <c r="UQ2" s="454"/>
      <c r="UR2" s="454"/>
      <c r="US2" s="454"/>
      <c r="UT2" s="454"/>
      <c r="UU2" s="454"/>
      <c r="UV2" s="454" t="s">
        <v>797</v>
      </c>
      <c r="UW2" s="454"/>
      <c r="UX2" s="454"/>
      <c r="UY2" s="454"/>
      <c r="UZ2" s="454"/>
      <c r="VA2" s="454"/>
      <c r="VB2" s="454"/>
      <c r="VC2" s="454"/>
      <c r="VD2" s="454"/>
      <c r="VE2" s="454"/>
      <c r="VF2" s="454"/>
      <c r="VG2" s="454"/>
      <c r="VH2" s="454"/>
      <c r="VI2" s="454"/>
      <c r="VJ2" s="454"/>
      <c r="VK2" s="454"/>
      <c r="VL2" s="454"/>
      <c r="VM2" s="454"/>
      <c r="VN2" s="454"/>
      <c r="VO2" s="454"/>
      <c r="VP2" s="454"/>
      <c r="VQ2" s="454"/>
      <c r="VR2" s="454"/>
      <c r="VS2" s="454"/>
      <c r="VT2" s="454"/>
      <c r="VU2" s="454"/>
      <c r="VV2" s="454"/>
      <c r="VW2" s="454" t="s">
        <v>797</v>
      </c>
      <c r="VX2" s="454"/>
      <c r="VY2" s="454"/>
      <c r="VZ2" s="454"/>
      <c r="WA2" s="454"/>
      <c r="WB2" s="454"/>
      <c r="WC2" s="454"/>
      <c r="WD2" s="454"/>
      <c r="WE2" s="454"/>
      <c r="WF2" s="454"/>
      <c r="WG2" s="454"/>
      <c r="WH2" s="454"/>
      <c r="WI2" s="454"/>
      <c r="WJ2" s="454"/>
      <c r="WK2" s="454"/>
      <c r="WL2" s="454"/>
      <c r="WM2" s="454"/>
      <c r="WN2" s="454"/>
      <c r="WO2" s="454"/>
      <c r="WP2" s="454"/>
      <c r="WQ2" s="454"/>
      <c r="WR2" s="454"/>
      <c r="WS2" s="454"/>
      <c r="WT2" s="454"/>
      <c r="WU2" s="454"/>
      <c r="WV2" s="454"/>
      <c r="WW2" s="454"/>
      <c r="WX2" s="454" t="s">
        <v>797</v>
      </c>
      <c r="WY2" s="454"/>
      <c r="WZ2" s="454"/>
      <c r="XA2" s="454"/>
      <c r="XB2" s="454"/>
      <c r="XC2" s="454"/>
      <c r="XD2" s="454"/>
      <c r="XE2" s="454"/>
      <c r="XF2" s="454"/>
      <c r="XG2" s="454"/>
      <c r="XH2" s="454"/>
      <c r="XI2" s="454"/>
      <c r="XJ2" s="454"/>
      <c r="XK2" s="454"/>
      <c r="XL2" s="454"/>
      <c r="XM2" s="454"/>
      <c r="XN2" s="454"/>
      <c r="XO2" s="454"/>
      <c r="XP2" s="454"/>
      <c r="XQ2" s="454"/>
      <c r="XR2" s="454"/>
      <c r="XS2" s="454"/>
      <c r="XT2" s="454"/>
      <c r="XU2" s="454"/>
      <c r="XV2" s="454"/>
      <c r="XW2" s="454"/>
      <c r="XX2" s="454"/>
      <c r="XY2" s="454" t="s">
        <v>797</v>
      </c>
      <c r="XZ2" s="454"/>
      <c r="YA2" s="454"/>
      <c r="YB2" s="454"/>
      <c r="YC2" s="454"/>
      <c r="YD2" s="454"/>
      <c r="YE2" s="454"/>
      <c r="YF2" s="454"/>
      <c r="YG2" s="454"/>
      <c r="YH2" s="454"/>
      <c r="YI2" s="454"/>
      <c r="YJ2" s="454"/>
      <c r="YK2" s="454"/>
      <c r="YL2" s="454"/>
      <c r="YM2" s="454"/>
      <c r="YN2" s="454"/>
      <c r="YO2" s="454"/>
      <c r="YP2" s="454"/>
      <c r="YQ2" s="454"/>
      <c r="YR2" s="454"/>
      <c r="YS2" s="454"/>
      <c r="YT2" s="454"/>
      <c r="YU2" s="454"/>
      <c r="YV2" s="454"/>
      <c r="YW2" s="454"/>
      <c r="YX2" s="454"/>
      <c r="YY2" s="454"/>
      <c r="YZ2" s="454" t="s">
        <v>797</v>
      </c>
      <c r="ZA2" s="454"/>
      <c r="ZB2" s="454"/>
      <c r="ZC2" s="454"/>
      <c r="ZD2" s="454"/>
      <c r="ZE2" s="454"/>
      <c r="ZF2" s="454"/>
      <c r="ZG2" s="454"/>
      <c r="ZH2" s="454"/>
      <c r="ZI2" s="454"/>
      <c r="ZJ2" s="454"/>
      <c r="ZK2" s="454"/>
      <c r="ZL2" s="454"/>
      <c r="ZM2" s="454"/>
      <c r="ZN2" s="454"/>
      <c r="ZO2" s="454"/>
      <c r="ZP2" s="454"/>
      <c r="ZQ2" s="454"/>
      <c r="ZR2" s="454"/>
      <c r="ZS2" s="454"/>
      <c r="ZT2" s="454"/>
      <c r="ZU2" s="454"/>
      <c r="ZV2" s="454"/>
      <c r="ZW2" s="454"/>
      <c r="ZX2" s="454"/>
      <c r="ZY2" s="454"/>
      <c r="ZZ2" s="454"/>
      <c r="AAA2" s="454" t="s">
        <v>797</v>
      </c>
      <c r="AAB2" s="454"/>
      <c r="AAC2" s="454"/>
      <c r="AAD2" s="454"/>
      <c r="AAE2" s="454"/>
      <c r="AAF2" s="454"/>
      <c r="AAG2" s="454"/>
      <c r="AAH2" s="454"/>
      <c r="AAI2" s="454"/>
      <c r="AAJ2" s="454"/>
      <c r="AAK2" s="454"/>
      <c r="AAL2" s="454"/>
      <c r="AAM2" s="454"/>
      <c r="AAN2" s="454"/>
      <c r="AAO2" s="454"/>
      <c r="AAP2" s="454"/>
      <c r="AAQ2" s="454"/>
      <c r="AAR2" s="454"/>
      <c r="AAS2" s="454"/>
      <c r="AAT2" s="454"/>
      <c r="AAU2" s="454"/>
      <c r="AAV2" s="454"/>
      <c r="AAW2" s="454"/>
      <c r="AAX2" s="454"/>
      <c r="AAY2" s="454"/>
      <c r="AAZ2" s="454"/>
      <c r="ABA2" s="454"/>
      <c r="ABB2" s="454" t="s">
        <v>797</v>
      </c>
      <c r="ABC2" s="454"/>
      <c r="ABD2" s="454"/>
      <c r="ABE2" s="454"/>
      <c r="ABF2" s="454"/>
      <c r="ABG2" s="454"/>
      <c r="ABH2" s="454"/>
      <c r="ABI2" s="454"/>
      <c r="ABJ2" s="454"/>
      <c r="ABK2" s="454"/>
      <c r="ABL2" s="454"/>
      <c r="ABM2" s="454"/>
      <c r="ABN2" s="454"/>
      <c r="ABO2" s="454"/>
      <c r="ABP2" s="454"/>
      <c r="ABQ2" s="454"/>
      <c r="ABR2" s="454"/>
      <c r="ABS2" s="454"/>
      <c r="ABT2" s="454"/>
      <c r="ABU2" s="454"/>
      <c r="ABV2" s="454"/>
      <c r="ABW2" s="454"/>
      <c r="ABX2" s="454"/>
      <c r="ABY2" s="454"/>
      <c r="ABZ2" s="454"/>
      <c r="ACA2" s="454"/>
      <c r="ACB2" s="454"/>
      <c r="ACC2" s="454" t="s">
        <v>797</v>
      </c>
      <c r="ACD2" s="454"/>
      <c r="ACE2" s="454"/>
      <c r="ACF2" s="454"/>
      <c r="ACG2" s="454"/>
      <c r="ACH2" s="454"/>
      <c r="ACI2" s="454"/>
      <c r="ACJ2" s="454"/>
      <c r="ACK2" s="454"/>
      <c r="ACL2" s="454"/>
      <c r="ACM2" s="454"/>
      <c r="ACN2" s="454"/>
      <c r="ACO2" s="454"/>
      <c r="ACP2" s="454"/>
      <c r="ACQ2" s="454"/>
      <c r="ACR2" s="454"/>
      <c r="ACS2" s="454"/>
      <c r="ACT2" s="454"/>
      <c r="ACU2" s="454"/>
      <c r="ACV2" s="454"/>
      <c r="ACW2" s="454"/>
      <c r="ACX2" s="454"/>
      <c r="ACY2" s="454"/>
      <c r="ACZ2" s="454"/>
      <c r="ADA2" s="454"/>
      <c r="ADB2" s="454"/>
      <c r="ADC2" s="454"/>
      <c r="ADD2" s="454" t="s">
        <v>797</v>
      </c>
      <c r="ADE2" s="454"/>
      <c r="ADF2" s="454"/>
      <c r="ADG2" s="454"/>
      <c r="ADH2" s="454"/>
      <c r="ADI2" s="454"/>
      <c r="ADJ2" s="454"/>
      <c r="ADK2" s="454"/>
      <c r="ADL2" s="454"/>
      <c r="ADM2" s="454"/>
      <c r="ADN2" s="454"/>
      <c r="ADO2" s="454"/>
      <c r="ADP2" s="454"/>
      <c r="ADQ2" s="454"/>
      <c r="ADR2" s="454"/>
      <c r="ADS2" s="454"/>
      <c r="ADT2" s="454"/>
      <c r="ADU2" s="454"/>
      <c r="ADV2" s="454"/>
      <c r="ADW2" s="454"/>
      <c r="ADX2" s="454"/>
      <c r="ADY2" s="454"/>
      <c r="ADZ2" s="454"/>
      <c r="AEA2" s="454"/>
      <c r="AEB2" s="454"/>
      <c r="AEC2" s="454"/>
      <c r="AED2" s="454"/>
      <c r="AEE2" s="454" t="s">
        <v>797</v>
      </c>
      <c r="AEF2" s="454"/>
      <c r="AEG2" s="454"/>
      <c r="AEH2" s="454"/>
      <c r="AEI2" s="454"/>
      <c r="AEJ2" s="454"/>
      <c r="AEK2" s="454"/>
      <c r="AEL2" s="454"/>
      <c r="AEM2" s="454"/>
      <c r="AEN2" s="454"/>
      <c r="AEO2" s="454"/>
      <c r="AEP2" s="454"/>
      <c r="AEQ2" s="454"/>
      <c r="AER2" s="454"/>
      <c r="AES2" s="454"/>
      <c r="AET2" s="454"/>
      <c r="AEU2" s="454"/>
      <c r="AEV2" s="454"/>
      <c r="AEW2" s="454"/>
      <c r="AEX2" s="454"/>
      <c r="AEY2" s="454"/>
      <c r="AEZ2" s="454"/>
      <c r="AFA2" s="454"/>
      <c r="AFB2" s="454"/>
      <c r="AFC2" s="454"/>
      <c r="AFD2" s="454"/>
      <c r="AFE2" s="454"/>
      <c r="AFF2" s="454" t="s">
        <v>797</v>
      </c>
      <c r="AFG2" s="454"/>
      <c r="AFH2" s="454"/>
      <c r="AFI2" s="454"/>
      <c r="AFJ2" s="454"/>
      <c r="AFK2" s="454"/>
      <c r="AFL2" s="454"/>
      <c r="AFM2" s="454"/>
      <c r="AFN2" s="454"/>
      <c r="AFO2" s="454"/>
      <c r="AFP2" s="454"/>
      <c r="AFQ2" s="454"/>
      <c r="AFR2" s="454"/>
      <c r="AFS2" s="454"/>
      <c r="AFT2" s="454"/>
      <c r="AFU2" s="454"/>
      <c r="AFV2" s="454"/>
      <c r="AFW2" s="454"/>
      <c r="AFX2" s="454"/>
      <c r="AFY2" s="454"/>
      <c r="AFZ2" s="454"/>
      <c r="AGA2" s="454"/>
      <c r="AGB2" s="454"/>
      <c r="AGC2" s="454"/>
      <c r="AGD2" s="454"/>
      <c r="AGE2" s="454"/>
      <c r="AGF2" s="454"/>
      <c r="AGG2" s="454" t="s">
        <v>797</v>
      </c>
      <c r="AGH2" s="454"/>
      <c r="AGI2" s="454"/>
      <c r="AGJ2" s="454"/>
      <c r="AGK2" s="454"/>
      <c r="AGL2" s="454"/>
      <c r="AGM2" s="454"/>
      <c r="AGN2" s="454"/>
      <c r="AGO2" s="454"/>
      <c r="AGP2" s="454"/>
      <c r="AGQ2" s="454"/>
      <c r="AGR2" s="454"/>
      <c r="AGS2" s="454"/>
      <c r="AGT2" s="454"/>
      <c r="AGU2" s="454"/>
      <c r="AGV2" s="454"/>
      <c r="AGW2" s="454"/>
      <c r="AGX2" s="454"/>
      <c r="AGY2" s="454"/>
      <c r="AGZ2" s="454"/>
      <c r="AHA2" s="454"/>
      <c r="AHB2" s="454"/>
      <c r="AHC2" s="454"/>
      <c r="AHD2" s="454"/>
      <c r="AHE2" s="454"/>
      <c r="AHF2" s="454"/>
      <c r="AHG2" s="454"/>
      <c r="AHH2" s="454" t="s">
        <v>797</v>
      </c>
      <c r="AHI2" s="454"/>
      <c r="AHJ2" s="454"/>
      <c r="AHK2" s="454"/>
      <c r="AHL2" s="454"/>
      <c r="AHM2" s="454"/>
      <c r="AHN2" s="454"/>
      <c r="AHO2" s="454"/>
      <c r="AHP2" s="454"/>
      <c r="AHQ2" s="454"/>
      <c r="AHR2" s="454"/>
      <c r="AHS2" s="454"/>
      <c r="AHT2" s="454"/>
      <c r="AHU2" s="454"/>
      <c r="AHV2" s="454"/>
      <c r="AHW2" s="454"/>
      <c r="AHX2" s="454"/>
      <c r="AHY2" s="454"/>
      <c r="AHZ2" s="454"/>
      <c r="AIA2" s="454"/>
      <c r="AIB2" s="454"/>
      <c r="AIC2" s="454"/>
      <c r="AID2" s="454"/>
      <c r="AIE2" s="454"/>
      <c r="AIF2" s="454"/>
      <c r="AIG2" s="454"/>
      <c r="AIH2" s="454"/>
      <c r="AII2" s="454" t="s">
        <v>797</v>
      </c>
      <c r="AIJ2" s="454"/>
      <c r="AIK2" s="454"/>
      <c r="AIL2" s="454"/>
      <c r="AIM2" s="454"/>
      <c r="AIN2" s="454"/>
      <c r="AIO2" s="454"/>
      <c r="AIP2" s="454"/>
      <c r="AIQ2" s="454"/>
      <c r="AIR2" s="454"/>
      <c r="AIS2" s="454"/>
      <c r="AIT2" s="454"/>
      <c r="AIU2" s="454"/>
      <c r="AIV2" s="454"/>
      <c r="AIW2" s="454"/>
      <c r="AIX2" s="454"/>
      <c r="AIY2" s="454"/>
      <c r="AIZ2" s="454"/>
      <c r="AJA2" s="454"/>
      <c r="AJB2" s="454"/>
      <c r="AJC2" s="454"/>
      <c r="AJD2" s="454"/>
      <c r="AJE2" s="454"/>
      <c r="AJF2" s="454"/>
      <c r="AJG2" s="454"/>
      <c r="AJH2" s="454"/>
      <c r="AJI2" s="454"/>
      <c r="AJJ2" s="454" t="s">
        <v>797</v>
      </c>
      <c r="AJK2" s="454"/>
      <c r="AJL2" s="454"/>
      <c r="AJM2" s="454"/>
      <c r="AJN2" s="454"/>
      <c r="AJO2" s="454"/>
      <c r="AJP2" s="454"/>
      <c r="AJQ2" s="454"/>
      <c r="AJR2" s="454"/>
      <c r="AJS2" s="454"/>
      <c r="AJT2" s="454"/>
      <c r="AJU2" s="454"/>
      <c r="AJV2" s="454"/>
      <c r="AJW2" s="454"/>
      <c r="AJX2" s="454"/>
      <c r="AJY2" s="454"/>
      <c r="AJZ2" s="454"/>
      <c r="AKA2" s="454"/>
      <c r="AKB2" s="454"/>
      <c r="AKC2" s="454"/>
      <c r="AKD2" s="454"/>
      <c r="AKE2" s="454"/>
      <c r="AKF2" s="454"/>
      <c r="AKG2" s="454"/>
      <c r="AKH2" s="454"/>
      <c r="AKI2" s="454"/>
      <c r="AKJ2" s="454"/>
      <c r="AKK2" s="454" t="s">
        <v>797</v>
      </c>
      <c r="AKL2" s="454"/>
      <c r="AKM2" s="454"/>
      <c r="AKN2" s="454"/>
      <c r="AKO2" s="454"/>
      <c r="AKP2" s="454"/>
      <c r="AKQ2" s="454"/>
      <c r="AKR2" s="454"/>
      <c r="AKS2" s="454"/>
      <c r="AKT2" s="454"/>
      <c r="AKU2" s="454"/>
      <c r="AKV2" s="454"/>
      <c r="AKW2" s="454"/>
      <c r="AKX2" s="454"/>
      <c r="AKY2" s="454"/>
      <c r="AKZ2" s="454"/>
      <c r="ALA2" s="454"/>
      <c r="ALB2" s="454"/>
      <c r="ALC2" s="454"/>
      <c r="ALD2" s="454"/>
      <c r="ALE2" s="454"/>
      <c r="ALF2" s="454"/>
      <c r="ALG2" s="454"/>
      <c r="ALH2" s="454"/>
      <c r="ALI2" s="454"/>
      <c r="ALJ2" s="454"/>
      <c r="ALK2" s="454"/>
      <c r="ALL2" s="454" t="s">
        <v>797</v>
      </c>
      <c r="ALM2" s="454"/>
      <c r="ALN2" s="454"/>
      <c r="ALO2" s="454"/>
      <c r="ALP2" s="454"/>
      <c r="ALQ2" s="454"/>
      <c r="ALR2" s="454"/>
      <c r="ALS2" s="454"/>
      <c r="ALT2" s="454"/>
      <c r="ALU2" s="454"/>
      <c r="ALV2" s="454"/>
      <c r="ALW2" s="454"/>
      <c r="ALX2" s="454"/>
      <c r="ALY2" s="454"/>
      <c r="ALZ2" s="454"/>
      <c r="AMA2" s="454"/>
      <c r="AMB2" s="454"/>
      <c r="AMC2" s="454"/>
      <c r="AMD2" s="454"/>
      <c r="AME2" s="454"/>
      <c r="AMF2" s="454"/>
      <c r="AMG2" s="454"/>
      <c r="AMH2" s="454"/>
      <c r="AMI2" s="454"/>
      <c r="AMJ2" s="454"/>
      <c r="AMK2" s="454"/>
      <c r="AML2" s="454"/>
      <c r="AMM2" s="454" t="s">
        <v>797</v>
      </c>
      <c r="AMN2" s="454"/>
      <c r="AMO2" s="454"/>
      <c r="AMP2" s="454"/>
      <c r="AMQ2" s="454"/>
      <c r="AMR2" s="454"/>
      <c r="AMS2" s="454"/>
      <c r="AMT2" s="454"/>
      <c r="AMU2" s="454"/>
      <c r="AMV2" s="454"/>
      <c r="AMW2" s="454"/>
      <c r="AMX2" s="454"/>
      <c r="AMY2" s="454"/>
      <c r="AMZ2" s="454"/>
      <c r="ANA2" s="454"/>
      <c r="ANB2" s="454"/>
      <c r="ANC2" s="454"/>
      <c r="AND2" s="454"/>
      <c r="ANE2" s="454"/>
      <c r="ANF2" s="454"/>
      <c r="ANG2" s="454"/>
      <c r="ANH2" s="454"/>
      <c r="ANI2" s="454"/>
      <c r="ANJ2" s="454"/>
      <c r="ANK2" s="454"/>
      <c r="ANL2" s="454"/>
      <c r="ANM2" s="454"/>
      <c r="ANN2" s="454" t="s">
        <v>798</v>
      </c>
      <c r="ANO2" s="454"/>
      <c r="ANP2" s="454"/>
      <c r="ANQ2" s="454"/>
      <c r="ANR2" s="454"/>
      <c r="ANS2" s="454"/>
      <c r="ANT2" s="454"/>
      <c r="ANU2" s="454"/>
      <c r="ANV2" s="454"/>
      <c r="ANW2" s="454"/>
      <c r="ANX2" s="454"/>
      <c r="ANY2" s="454"/>
      <c r="ANZ2" s="454"/>
      <c r="AOA2" s="454"/>
      <c r="AOB2" s="454"/>
      <c r="AOC2" s="454"/>
      <c r="AOD2" s="454"/>
      <c r="AOE2" s="454"/>
      <c r="AOF2" s="454"/>
      <c r="AOG2" s="454"/>
      <c r="AOH2" s="454"/>
      <c r="AOI2" s="454"/>
      <c r="AOJ2" s="454"/>
      <c r="AOK2" s="454"/>
      <c r="AOL2" s="454"/>
      <c r="AOM2" s="454"/>
      <c r="AON2" s="454"/>
      <c r="AOO2" s="454"/>
      <c r="AOP2" s="454" t="s">
        <v>798</v>
      </c>
      <c r="AOQ2" s="454"/>
      <c r="AOR2" s="454"/>
      <c r="AOS2" s="454"/>
      <c r="AOT2" s="454"/>
      <c r="AOU2" s="454"/>
      <c r="AOV2" s="454"/>
      <c r="AOW2" s="454"/>
      <c r="AOX2" s="454"/>
      <c r="AOY2" s="454"/>
      <c r="AOZ2" s="454"/>
      <c r="APA2" s="454"/>
      <c r="APB2" s="454"/>
      <c r="APC2" s="454"/>
      <c r="APD2" s="454"/>
      <c r="APE2" s="454"/>
      <c r="APF2" s="454"/>
      <c r="APG2" s="454"/>
      <c r="APH2" s="454"/>
      <c r="API2" s="454"/>
      <c r="APJ2" s="454"/>
      <c r="APK2" s="454"/>
      <c r="APL2" s="454"/>
      <c r="APM2" s="454"/>
      <c r="APN2" s="454"/>
      <c r="APO2" s="454"/>
      <c r="APP2" s="454"/>
      <c r="APQ2" s="454" t="s">
        <v>797</v>
      </c>
      <c r="APR2" s="454"/>
      <c r="APS2" s="454"/>
      <c r="APT2" s="454"/>
      <c r="APU2" s="454"/>
      <c r="APV2" s="454"/>
      <c r="APW2" s="454"/>
      <c r="APX2" s="454"/>
      <c r="APY2" s="454"/>
      <c r="APZ2" s="454"/>
      <c r="AQA2" s="454"/>
      <c r="AQB2" s="454"/>
      <c r="AQC2" s="454"/>
      <c r="AQD2" s="454"/>
      <c r="AQE2" s="454"/>
      <c r="AQF2" s="454"/>
      <c r="AQG2" s="454"/>
      <c r="AQH2" s="454"/>
      <c r="AQI2" s="454"/>
      <c r="AQJ2" s="454"/>
      <c r="AQK2" s="454"/>
      <c r="AQL2" s="454"/>
      <c r="AQM2" s="454"/>
      <c r="AQN2" s="454"/>
      <c r="AQO2" s="454"/>
      <c r="AQP2" s="454"/>
      <c r="AQQ2" s="454"/>
      <c r="AQR2" s="454" t="s">
        <v>797</v>
      </c>
      <c r="AQS2" s="454"/>
      <c r="AQT2" s="454"/>
      <c r="AQU2" s="454"/>
      <c r="AQV2" s="454"/>
      <c r="AQW2" s="454"/>
      <c r="AQX2" s="454"/>
      <c r="AQY2" s="454"/>
      <c r="AQZ2" s="454"/>
      <c r="ARA2" s="454"/>
      <c r="ARB2" s="454"/>
      <c r="ARC2" s="454"/>
      <c r="ARD2" s="454"/>
      <c r="ARE2" s="454"/>
      <c r="ARF2" s="454"/>
      <c r="ARG2" s="454"/>
      <c r="ARH2" s="454"/>
      <c r="ARI2" s="454"/>
      <c r="ARJ2" s="454"/>
      <c r="ARK2" s="454"/>
      <c r="ARL2" s="454"/>
      <c r="ARM2" s="454"/>
      <c r="ARN2" s="454"/>
      <c r="ARO2" s="454"/>
      <c r="ARP2" s="454"/>
      <c r="ARQ2" s="454"/>
      <c r="ARR2" s="454"/>
      <c r="ARS2" s="454" t="s">
        <v>797</v>
      </c>
      <c r="ART2" s="454"/>
      <c r="ARU2" s="454"/>
      <c r="ARV2" s="454"/>
      <c r="ARW2" s="454"/>
      <c r="ARX2" s="454"/>
      <c r="ARY2" s="454"/>
      <c r="ARZ2" s="454"/>
      <c r="ASA2" s="454"/>
      <c r="ASB2" s="454"/>
      <c r="ASC2" s="454"/>
      <c r="ASD2" s="454"/>
      <c r="ASE2" s="454"/>
      <c r="ASF2" s="454"/>
      <c r="ASG2" s="454"/>
      <c r="ASH2" s="454"/>
      <c r="ASI2" s="454"/>
      <c r="ASJ2" s="454"/>
      <c r="ASK2" s="454"/>
      <c r="ASL2" s="454"/>
      <c r="ASM2" s="454"/>
      <c r="ASN2" s="454"/>
      <c r="ASO2" s="454"/>
      <c r="ASP2" s="454"/>
      <c r="ASQ2" s="454"/>
      <c r="ASR2" s="454"/>
      <c r="ASS2" s="454"/>
      <c r="AST2" s="454" t="s">
        <v>797</v>
      </c>
      <c r="ASU2" s="454"/>
      <c r="ASV2" s="454"/>
      <c r="ASW2" s="454"/>
      <c r="ASX2" s="454"/>
      <c r="ASY2" s="454"/>
      <c r="ASZ2" s="454"/>
      <c r="ATA2" s="454"/>
      <c r="ATB2" s="454"/>
      <c r="ATC2" s="454"/>
      <c r="ATD2" s="454"/>
      <c r="ATE2" s="454"/>
      <c r="ATF2" s="454"/>
      <c r="ATG2" s="454"/>
      <c r="ATH2" s="454"/>
      <c r="ATI2" s="454"/>
      <c r="ATJ2" s="454"/>
      <c r="ATK2" s="454"/>
      <c r="ATL2" s="454"/>
      <c r="ATM2" s="454"/>
      <c r="ATN2" s="454"/>
      <c r="ATO2" s="454"/>
      <c r="ATP2" s="454"/>
      <c r="ATQ2" s="454"/>
      <c r="ATR2" s="454"/>
      <c r="ATS2" s="454"/>
      <c r="ATT2" s="454"/>
      <c r="ATU2" s="454" t="s">
        <v>797</v>
      </c>
      <c r="ATV2" s="454"/>
      <c r="ATW2" s="454"/>
      <c r="ATX2" s="454"/>
      <c r="ATY2" s="454"/>
      <c r="ATZ2" s="454"/>
      <c r="AUA2" s="454"/>
      <c r="AUB2" s="454"/>
      <c r="AUC2" s="454"/>
      <c r="AUD2" s="454"/>
      <c r="AUE2" s="454"/>
      <c r="AUF2" s="454"/>
      <c r="AUG2" s="454"/>
      <c r="AUH2" s="454"/>
      <c r="AUI2" s="454"/>
      <c r="AUJ2" s="454"/>
      <c r="AUK2" s="454"/>
      <c r="AUL2" s="454"/>
      <c r="AUM2" s="454"/>
      <c r="AUN2" s="454"/>
      <c r="AUO2" s="454"/>
      <c r="AUP2" s="454"/>
      <c r="AUQ2" s="454"/>
      <c r="AUR2" s="454"/>
      <c r="AUS2" s="454"/>
      <c r="AUT2" s="454"/>
      <c r="AUU2" s="454"/>
      <c r="AUV2" s="454" t="s">
        <v>797</v>
      </c>
      <c r="AUW2" s="454"/>
      <c r="AUX2" s="454"/>
      <c r="AUY2" s="454"/>
      <c r="AUZ2" s="454"/>
      <c r="AVA2" s="454"/>
      <c r="AVB2" s="454"/>
      <c r="AVC2" s="454"/>
      <c r="AVD2" s="454"/>
      <c r="AVE2" s="454"/>
      <c r="AVF2" s="454"/>
      <c r="AVG2" s="454"/>
      <c r="AVH2" s="454"/>
      <c r="AVI2" s="454"/>
      <c r="AVJ2" s="454"/>
      <c r="AVK2" s="454"/>
      <c r="AVL2" s="454"/>
      <c r="AVM2" s="454"/>
      <c r="AVN2" s="454"/>
      <c r="AVO2" s="454"/>
      <c r="AVP2" s="454"/>
      <c r="AVQ2" s="454"/>
      <c r="AVR2" s="454"/>
      <c r="AVS2" s="454"/>
      <c r="AVT2" s="454"/>
      <c r="AVU2" s="454"/>
      <c r="AVV2" s="454"/>
      <c r="AVW2" s="454" t="s">
        <v>797</v>
      </c>
      <c r="AVX2" s="454"/>
      <c r="AVY2" s="454"/>
      <c r="AVZ2" s="454"/>
      <c r="AWA2" s="454"/>
      <c r="AWB2" s="454"/>
      <c r="AWC2" s="454"/>
      <c r="AWD2" s="454"/>
      <c r="AWE2" s="454"/>
      <c r="AWF2" s="454"/>
      <c r="AWG2" s="454"/>
      <c r="AWH2" s="454"/>
      <c r="AWI2" s="454"/>
      <c r="AWJ2" s="454"/>
      <c r="AWK2" s="454"/>
      <c r="AWL2" s="454"/>
      <c r="AWM2" s="454"/>
      <c r="AWN2" s="454"/>
      <c r="AWO2" s="454"/>
      <c r="AWP2" s="454"/>
      <c r="AWQ2" s="454"/>
      <c r="AWR2" s="454"/>
      <c r="AWS2" s="454"/>
      <c r="AWT2" s="454"/>
      <c r="AWU2" s="454"/>
      <c r="AWV2" s="454"/>
      <c r="AWW2" s="454"/>
      <c r="AWX2" s="454" t="s">
        <v>797</v>
      </c>
      <c r="AWY2" s="454"/>
      <c r="AWZ2" s="454"/>
      <c r="AXA2" s="454"/>
      <c r="AXB2" s="454"/>
      <c r="AXC2" s="454"/>
      <c r="AXD2" s="454"/>
      <c r="AXE2" s="454"/>
      <c r="AXF2" s="454"/>
      <c r="AXG2" s="454"/>
      <c r="AXH2" s="454"/>
      <c r="AXI2" s="454"/>
      <c r="AXJ2" s="454"/>
      <c r="AXK2" s="454"/>
      <c r="AXL2" s="454"/>
      <c r="AXM2" s="454"/>
      <c r="AXN2" s="454"/>
      <c r="AXO2" s="454"/>
      <c r="AXP2" s="454"/>
      <c r="AXQ2" s="454"/>
      <c r="AXR2" s="454"/>
      <c r="AXS2" s="454"/>
      <c r="AXT2" s="454"/>
      <c r="AXU2" s="454"/>
      <c r="AXV2" s="454"/>
      <c r="AXW2" s="454"/>
      <c r="AXX2" s="454"/>
      <c r="AXY2" s="454" t="s">
        <v>797</v>
      </c>
      <c r="AXZ2" s="454"/>
      <c r="AYA2" s="454"/>
      <c r="AYB2" s="454"/>
      <c r="AYC2" s="454"/>
      <c r="AYD2" s="454"/>
      <c r="AYE2" s="454"/>
      <c r="AYF2" s="454"/>
      <c r="AYG2" s="454"/>
      <c r="AYH2" s="454"/>
      <c r="AYI2" s="454"/>
      <c r="AYJ2" s="454"/>
      <c r="AYK2" s="454"/>
      <c r="AYL2" s="454"/>
      <c r="AYM2" s="454"/>
      <c r="AYN2" s="454"/>
      <c r="AYO2" s="454"/>
      <c r="AYP2" s="454"/>
      <c r="AYQ2" s="454"/>
      <c r="AYR2" s="454"/>
      <c r="AYS2" s="454"/>
      <c r="AYT2" s="454"/>
      <c r="AYU2" s="454"/>
      <c r="AYV2" s="454"/>
      <c r="AYW2" s="454"/>
      <c r="AYX2" s="454"/>
      <c r="AYY2" s="454"/>
      <c r="AYZ2" s="454" t="s">
        <v>797</v>
      </c>
      <c r="AZA2" s="454"/>
      <c r="AZB2" s="454"/>
      <c r="AZC2" s="454"/>
      <c r="AZD2" s="454"/>
      <c r="AZE2" s="454"/>
      <c r="AZF2" s="454"/>
      <c r="AZG2" s="454"/>
      <c r="AZH2" s="454"/>
      <c r="AZI2" s="454"/>
      <c r="AZJ2" s="454"/>
      <c r="AZK2" s="454"/>
      <c r="AZL2" s="454"/>
      <c r="AZM2" s="454"/>
      <c r="AZN2" s="454"/>
      <c r="AZO2" s="454"/>
      <c r="AZP2" s="454"/>
      <c r="AZQ2" s="454"/>
      <c r="AZR2" s="454"/>
      <c r="AZS2" s="454"/>
      <c r="AZT2" s="454"/>
      <c r="AZU2" s="454"/>
      <c r="AZV2" s="454"/>
      <c r="AZW2" s="454"/>
      <c r="AZX2" s="454"/>
      <c r="AZY2" s="454"/>
      <c r="AZZ2" s="454"/>
      <c r="BAA2" s="454" t="s">
        <v>797</v>
      </c>
      <c r="BAB2" s="454"/>
      <c r="BAC2" s="454"/>
      <c r="BAD2" s="454"/>
      <c r="BAE2" s="454"/>
      <c r="BAF2" s="454"/>
      <c r="BAG2" s="454"/>
      <c r="BAH2" s="454"/>
      <c r="BAI2" s="454"/>
      <c r="BAJ2" s="454"/>
      <c r="BAK2" s="454"/>
      <c r="BAL2" s="454"/>
      <c r="BAM2" s="454"/>
      <c r="BAN2" s="454"/>
      <c r="BAO2" s="454"/>
      <c r="BAP2" s="454"/>
      <c r="BAQ2" s="454"/>
      <c r="BAR2" s="454"/>
      <c r="BAS2" s="454"/>
      <c r="BAT2" s="454"/>
      <c r="BAU2" s="454"/>
      <c r="BAV2" s="454"/>
      <c r="BAW2" s="454"/>
      <c r="BAX2" s="454"/>
      <c r="BAY2" s="454"/>
      <c r="BAZ2" s="454"/>
      <c r="BBA2" s="454"/>
      <c r="BBB2" s="454" t="s">
        <v>798</v>
      </c>
      <c r="BBC2" s="454"/>
      <c r="BBD2" s="454"/>
      <c r="BBE2" s="454"/>
      <c r="BBF2" s="454"/>
      <c r="BBG2" s="454"/>
      <c r="BBH2" s="454"/>
      <c r="BBI2" s="454"/>
      <c r="BBJ2" s="454"/>
      <c r="BBK2" s="454"/>
      <c r="BBL2" s="454"/>
      <c r="BBM2" s="454"/>
      <c r="BBN2" s="454"/>
      <c r="BBO2" s="454"/>
      <c r="BBP2" s="454"/>
      <c r="BBQ2" s="454"/>
      <c r="BBR2" s="454"/>
      <c r="BBS2" s="454"/>
      <c r="BBT2" s="454"/>
      <c r="BBU2" s="454"/>
      <c r="BBV2" s="454"/>
      <c r="BBW2" s="454"/>
      <c r="BBX2" s="454"/>
      <c r="BBY2" s="454"/>
      <c r="BBZ2" s="454"/>
      <c r="BCA2" s="454"/>
      <c r="BCB2" s="454"/>
      <c r="BCC2" s="454" t="s">
        <v>797</v>
      </c>
      <c r="BCD2" s="454"/>
      <c r="BCE2" s="454"/>
      <c r="BCF2" s="454"/>
      <c r="BCG2" s="454"/>
      <c r="BCH2" s="454"/>
      <c r="BCI2" s="454"/>
      <c r="BCJ2" s="454"/>
      <c r="BCK2" s="454"/>
      <c r="BCL2" s="454"/>
      <c r="BCM2" s="454"/>
      <c r="BCN2" s="454"/>
      <c r="BCO2" s="454"/>
      <c r="BCP2" s="454"/>
      <c r="BCQ2" s="454"/>
      <c r="BCR2" s="454"/>
      <c r="BCS2" s="454"/>
      <c r="BCT2" s="454"/>
      <c r="BCU2" s="454"/>
      <c r="BCV2" s="454"/>
      <c r="BCW2" s="454"/>
      <c r="BCX2" s="454"/>
      <c r="BCY2" s="454"/>
      <c r="BCZ2" s="454"/>
      <c r="BDA2" s="454"/>
      <c r="BDB2" s="454"/>
      <c r="BDC2" s="454"/>
      <c r="BDD2" s="454" t="s">
        <v>797</v>
      </c>
      <c r="BDE2" s="454"/>
      <c r="BDF2" s="454"/>
      <c r="BDG2" s="454"/>
      <c r="BDH2" s="454"/>
      <c r="BDI2" s="454"/>
      <c r="BDJ2" s="454"/>
      <c r="BDK2" s="454"/>
      <c r="BDL2" s="454"/>
      <c r="BDM2" s="454"/>
      <c r="BDN2" s="454"/>
      <c r="BDO2" s="454"/>
      <c r="BDP2" s="454"/>
      <c r="BDQ2" s="454"/>
      <c r="BDR2" s="454"/>
      <c r="BDS2" s="454"/>
      <c r="BDT2" s="454"/>
      <c r="BDU2" s="454"/>
      <c r="BDV2" s="454"/>
      <c r="BDW2" s="454"/>
      <c r="BDX2" s="454"/>
      <c r="BDY2" s="454"/>
      <c r="BDZ2" s="454"/>
      <c r="BEA2" s="454"/>
      <c r="BEB2" s="454"/>
      <c r="BEC2" s="454"/>
      <c r="BED2" s="454"/>
      <c r="BEE2" s="454" t="s">
        <v>797</v>
      </c>
      <c r="BEF2" s="454"/>
      <c r="BEG2" s="454"/>
      <c r="BEH2" s="454"/>
      <c r="BEI2" s="454"/>
      <c r="BEJ2" s="454"/>
      <c r="BEK2" s="454"/>
      <c r="BEL2" s="454"/>
      <c r="BEM2" s="454"/>
      <c r="BEN2" s="454"/>
      <c r="BEO2" s="454"/>
      <c r="BEP2" s="454"/>
      <c r="BEQ2" s="454"/>
      <c r="BER2" s="454"/>
      <c r="BES2" s="454"/>
      <c r="BET2" s="454"/>
      <c r="BEU2" s="454"/>
      <c r="BEV2" s="454"/>
      <c r="BEW2" s="454"/>
      <c r="BEX2" s="454"/>
      <c r="BEY2" s="454"/>
      <c r="BEZ2" s="454"/>
      <c r="BFA2" s="454"/>
      <c r="BFB2" s="454"/>
      <c r="BFC2" s="454"/>
      <c r="BFD2" s="454"/>
      <c r="BFE2" s="454"/>
      <c r="BFF2" s="454" t="s">
        <v>797</v>
      </c>
      <c r="BFG2" s="454"/>
      <c r="BFH2" s="454"/>
      <c r="BFI2" s="454"/>
      <c r="BFJ2" s="454"/>
      <c r="BFK2" s="454"/>
      <c r="BFL2" s="454"/>
      <c r="BFM2" s="454"/>
      <c r="BFN2" s="454"/>
      <c r="BFO2" s="454"/>
      <c r="BFP2" s="454"/>
      <c r="BFQ2" s="454"/>
      <c r="BFR2" s="454"/>
      <c r="BFS2" s="454"/>
      <c r="BFT2" s="454"/>
      <c r="BFU2" s="454"/>
      <c r="BFV2" s="454"/>
      <c r="BFW2" s="454"/>
      <c r="BFX2" s="454"/>
      <c r="BFY2" s="454"/>
      <c r="BFZ2" s="454"/>
      <c r="BGA2" s="454"/>
      <c r="BGB2" s="454"/>
      <c r="BGC2" s="454"/>
      <c r="BGD2" s="454"/>
      <c r="BGE2" s="454"/>
      <c r="BGF2" s="454"/>
    </row>
    <row r="3" spans="1:1540" ht="25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</row>
    <row r="4" spans="1:1540" ht="29.25" customHeight="1" x14ac:dyDescent="0.4">
      <c r="A4" s="2" t="s">
        <v>72</v>
      </c>
      <c r="C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 t="s">
        <v>72</v>
      </c>
      <c r="AD4" s="1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2" t="s">
        <v>72</v>
      </c>
      <c r="BE4" s="1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2" t="s">
        <v>72</v>
      </c>
      <c r="CF4" s="1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2" t="s">
        <v>72</v>
      </c>
      <c r="DG4" s="1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2" t="s">
        <v>72</v>
      </c>
      <c r="EH4" s="1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2" t="s">
        <v>72</v>
      </c>
      <c r="FI4" s="1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2" t="s">
        <v>72</v>
      </c>
      <c r="GJ4" s="1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2" t="s">
        <v>72</v>
      </c>
      <c r="HK4" s="1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2" t="s">
        <v>72</v>
      </c>
      <c r="IL4" s="1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2" t="s">
        <v>72</v>
      </c>
      <c r="JM4" s="1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2" t="s">
        <v>72</v>
      </c>
      <c r="KN4" s="1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2" t="s">
        <v>72</v>
      </c>
      <c r="LO4" s="1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2" t="s">
        <v>72</v>
      </c>
      <c r="MP4" s="1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2" t="s">
        <v>72</v>
      </c>
      <c r="NQ4" s="1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2" t="s">
        <v>72</v>
      </c>
      <c r="OR4" s="1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2" t="s">
        <v>72</v>
      </c>
      <c r="PS4" s="1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2" t="s">
        <v>72</v>
      </c>
      <c r="QT4" s="1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2" t="s">
        <v>72</v>
      </c>
      <c r="RU4" s="1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2" t="s">
        <v>72</v>
      </c>
      <c r="SV4" s="1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2" t="s">
        <v>72</v>
      </c>
      <c r="TW4" s="1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2" t="s">
        <v>72</v>
      </c>
      <c r="UX4" s="1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2" t="s">
        <v>72</v>
      </c>
      <c r="VY4" s="1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2" t="s">
        <v>72</v>
      </c>
      <c r="WZ4" s="1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2" t="s">
        <v>72</v>
      </c>
      <c r="YA4" s="1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2" t="s">
        <v>72</v>
      </c>
      <c r="ZB4" s="1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2" t="s">
        <v>72</v>
      </c>
      <c r="AAC4" s="1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2" t="s">
        <v>72</v>
      </c>
      <c r="ABD4" s="1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2" t="s">
        <v>72</v>
      </c>
      <c r="ACE4" s="1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2" t="s">
        <v>72</v>
      </c>
      <c r="ADF4" s="1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2" t="s">
        <v>72</v>
      </c>
      <c r="AEG4" s="1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2" t="s">
        <v>72</v>
      </c>
      <c r="AFH4" s="1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2" t="s">
        <v>72</v>
      </c>
      <c r="AGI4" s="1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2" t="s">
        <v>72</v>
      </c>
      <c r="AHJ4" s="1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2" t="s">
        <v>72</v>
      </c>
      <c r="AIK4" s="1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2" t="s">
        <v>72</v>
      </c>
      <c r="AJL4" s="1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2" t="s">
        <v>72</v>
      </c>
      <c r="AKM4" s="1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2" t="s">
        <v>72</v>
      </c>
      <c r="ALN4" s="1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2" t="s">
        <v>72</v>
      </c>
      <c r="AMO4" s="1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2" t="s">
        <v>72</v>
      </c>
      <c r="ANP4" s="1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2" t="s">
        <v>72</v>
      </c>
      <c r="AOR4" s="1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2" t="s">
        <v>72</v>
      </c>
      <c r="APS4" s="1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2" t="s">
        <v>72</v>
      </c>
      <c r="AQT4" s="1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2" t="s">
        <v>72</v>
      </c>
      <c r="ARU4" s="1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2" t="s">
        <v>72</v>
      </c>
      <c r="ASV4" s="1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2" t="s">
        <v>72</v>
      </c>
      <c r="ATW4" s="1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2" t="s">
        <v>72</v>
      </c>
      <c r="AUX4" s="1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2" t="s">
        <v>72</v>
      </c>
      <c r="AVY4" s="1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2" t="s">
        <v>72</v>
      </c>
      <c r="AWZ4" s="1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2" t="s">
        <v>72</v>
      </c>
      <c r="AYA4" s="1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2" t="s">
        <v>72</v>
      </c>
      <c r="AZB4" s="1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2" t="s">
        <v>72</v>
      </c>
      <c r="BAC4" s="1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2" t="s">
        <v>72</v>
      </c>
      <c r="BBD4" s="1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2" t="s">
        <v>72</v>
      </c>
      <c r="BCE4" s="1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2" t="s">
        <v>72</v>
      </c>
      <c r="BDF4" s="1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2" t="s">
        <v>72</v>
      </c>
      <c r="BEG4" s="1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2" t="s">
        <v>72</v>
      </c>
      <c r="BFH4" s="1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</row>
    <row r="5" spans="1:1540" ht="29.25" customHeight="1" x14ac:dyDescent="0.4">
      <c r="A5" s="1" t="s">
        <v>71</v>
      </c>
      <c r="B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" t="s">
        <v>71</v>
      </c>
      <c r="AC5" s="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1" t="s">
        <v>71</v>
      </c>
      <c r="BD5" s="1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" t="s">
        <v>71</v>
      </c>
      <c r="CE5" s="1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1" t="s">
        <v>71</v>
      </c>
      <c r="DF5" s="1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1" t="s">
        <v>71</v>
      </c>
      <c r="EG5" s="1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1" t="s">
        <v>71</v>
      </c>
      <c r="FH5" s="1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1" t="s">
        <v>71</v>
      </c>
      <c r="GI5" s="1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1" t="s">
        <v>71</v>
      </c>
      <c r="HJ5" s="1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1" t="s">
        <v>71</v>
      </c>
      <c r="IK5" s="1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1" t="s">
        <v>71</v>
      </c>
      <c r="JL5" s="1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1" t="s">
        <v>71</v>
      </c>
      <c r="KM5" s="1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1" t="s">
        <v>71</v>
      </c>
      <c r="LN5" s="1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1" t="s">
        <v>71</v>
      </c>
      <c r="MO5" s="1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1" t="s">
        <v>71</v>
      </c>
      <c r="NP5" s="1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1" t="s">
        <v>71</v>
      </c>
      <c r="OQ5" s="1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1" t="s">
        <v>71</v>
      </c>
      <c r="PR5" s="1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1" t="s">
        <v>71</v>
      </c>
      <c r="QS5" s="1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1" t="s">
        <v>71</v>
      </c>
      <c r="RT5" s="1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1" t="s">
        <v>71</v>
      </c>
      <c r="SU5" s="1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1" t="s">
        <v>71</v>
      </c>
      <c r="TV5" s="1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1" t="s">
        <v>71</v>
      </c>
      <c r="UW5" s="1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1" t="s">
        <v>71</v>
      </c>
      <c r="VX5" s="1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1" t="s">
        <v>71</v>
      </c>
      <c r="WY5" s="1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 t="s">
        <v>799</v>
      </c>
      <c r="XT5" s="3"/>
      <c r="XU5" s="3"/>
      <c r="XV5" s="3"/>
      <c r="XW5" s="3"/>
      <c r="XX5" s="3"/>
      <c r="XY5" s="1" t="s">
        <v>71</v>
      </c>
      <c r="XZ5" s="1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1" t="s">
        <v>71</v>
      </c>
      <c r="ZA5" s="1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1" t="s">
        <v>71</v>
      </c>
      <c r="AAB5" s="1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1" t="s">
        <v>71</v>
      </c>
      <c r="ABC5" s="1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1" t="s">
        <v>71</v>
      </c>
      <c r="ACD5" s="1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1" t="s">
        <v>71</v>
      </c>
      <c r="ADE5" s="1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1" t="s">
        <v>71</v>
      </c>
      <c r="AEF5" s="1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1" t="s">
        <v>71</v>
      </c>
      <c r="AFG5" s="1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1" t="s">
        <v>71</v>
      </c>
      <c r="AGH5" s="1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1" t="s">
        <v>71</v>
      </c>
      <c r="AHI5" s="1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1" t="s">
        <v>71</v>
      </c>
      <c r="AIJ5" s="1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1" t="s">
        <v>71</v>
      </c>
      <c r="AJK5" s="1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1" t="s">
        <v>71</v>
      </c>
      <c r="AKL5" s="1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1" t="s">
        <v>71</v>
      </c>
      <c r="ALM5" s="1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1" t="s">
        <v>71</v>
      </c>
      <c r="AMN5" s="1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1" t="s">
        <v>71</v>
      </c>
      <c r="ANO5" s="1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1" t="s">
        <v>71</v>
      </c>
      <c r="AOQ5" s="1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1" t="s">
        <v>71</v>
      </c>
      <c r="APR5" s="1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1" t="s">
        <v>71</v>
      </c>
      <c r="AQS5" s="1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1" t="s">
        <v>71</v>
      </c>
      <c r="ART5" s="1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1" t="s">
        <v>71</v>
      </c>
      <c r="ASU5" s="1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1" t="s">
        <v>71</v>
      </c>
      <c r="ATV5" s="1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1" t="s">
        <v>71</v>
      </c>
      <c r="AUW5" s="1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1" t="s">
        <v>71</v>
      </c>
      <c r="AVX5" s="1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1" t="s">
        <v>71</v>
      </c>
      <c r="AWY5" s="1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1" t="s">
        <v>71</v>
      </c>
      <c r="AXZ5" s="1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1" t="s">
        <v>71</v>
      </c>
      <c r="AZA5" s="1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1" t="s">
        <v>71</v>
      </c>
      <c r="BAB5" s="1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1" t="s">
        <v>71</v>
      </c>
      <c r="BBC5" s="1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1" t="s">
        <v>71</v>
      </c>
      <c r="BCD5" s="1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1" t="s">
        <v>71</v>
      </c>
      <c r="BDE5" s="1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1" t="s">
        <v>71</v>
      </c>
      <c r="BEF5" s="1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1" t="s">
        <v>71</v>
      </c>
      <c r="BFG5" s="1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</row>
    <row r="6" spans="1:1540" ht="29.25" customHeight="1" x14ac:dyDescent="0.4">
      <c r="A6" s="1"/>
      <c r="B6" s="1"/>
      <c r="C6" s="1"/>
      <c r="G6" s="3"/>
      <c r="H6" s="442"/>
      <c r="I6" s="442"/>
      <c r="J6" s="442"/>
      <c r="K6" s="442"/>
      <c r="L6" s="442"/>
      <c r="M6" s="3"/>
      <c r="N6" s="3"/>
      <c r="O6" s="3"/>
      <c r="P6" s="3"/>
      <c r="Q6" s="3"/>
      <c r="R6" s="442"/>
      <c r="S6" s="442"/>
      <c r="T6" s="442"/>
      <c r="U6" s="442"/>
      <c r="V6" s="442"/>
      <c r="W6" s="3"/>
      <c r="X6" s="3"/>
      <c r="Y6" s="3"/>
      <c r="Z6" s="3"/>
      <c r="AA6" s="3"/>
      <c r="AB6" s="1"/>
      <c r="AC6" s="1"/>
      <c r="AD6" s="1"/>
      <c r="AH6" s="3"/>
      <c r="AI6" s="442"/>
      <c r="AJ6" s="442"/>
      <c r="AK6" s="442"/>
      <c r="AL6" s="442"/>
      <c r="AM6" s="442"/>
      <c r="AN6" s="3"/>
      <c r="AO6" s="3"/>
      <c r="AP6" s="3"/>
      <c r="AQ6" s="3"/>
      <c r="AR6" s="3"/>
      <c r="AS6" s="442"/>
      <c r="AT6" s="442"/>
      <c r="AU6" s="442"/>
      <c r="AV6" s="442"/>
      <c r="AW6" s="442"/>
      <c r="AX6" s="3"/>
      <c r="AY6" s="3"/>
      <c r="AZ6" s="3"/>
      <c r="BA6" s="3"/>
      <c r="BB6" s="3"/>
      <c r="BC6" s="1"/>
      <c r="BD6" s="1"/>
      <c r="BE6" s="1"/>
      <c r="BI6" s="3"/>
      <c r="BJ6" s="442"/>
      <c r="BK6" s="442"/>
      <c r="BL6" s="442"/>
      <c r="BM6" s="442"/>
      <c r="BN6" s="442"/>
      <c r="BO6" s="3"/>
      <c r="BP6" s="3"/>
      <c r="BQ6" s="3"/>
      <c r="BR6" s="3"/>
      <c r="BS6" s="3"/>
      <c r="BT6" s="442"/>
      <c r="BU6" s="442"/>
      <c r="BV6" s="442"/>
      <c r="BW6" s="442"/>
      <c r="BX6" s="442"/>
      <c r="BY6" s="3"/>
      <c r="BZ6" s="3"/>
      <c r="CA6" s="3"/>
      <c r="CB6" s="3"/>
      <c r="CC6" s="3"/>
      <c r="CD6" s="1"/>
      <c r="CE6" s="1"/>
      <c r="CF6" s="1"/>
      <c r="CJ6" s="3"/>
      <c r="CK6" s="442"/>
      <c r="CL6" s="442"/>
      <c r="CM6" s="442"/>
      <c r="CN6" s="442"/>
      <c r="CO6" s="442"/>
      <c r="CP6" s="3"/>
      <c r="CQ6" s="3"/>
      <c r="CR6" s="3"/>
      <c r="CS6" s="3"/>
      <c r="CT6" s="3"/>
      <c r="CU6" s="442"/>
      <c r="CV6" s="442"/>
      <c r="CW6" s="442"/>
      <c r="CX6" s="442"/>
      <c r="CY6" s="442"/>
      <c r="CZ6" s="3"/>
      <c r="DA6" s="3"/>
      <c r="DB6" s="3"/>
      <c r="DC6" s="3"/>
      <c r="DD6" s="442"/>
      <c r="DE6" s="1"/>
      <c r="DF6" s="1"/>
      <c r="DG6" s="1"/>
      <c r="DK6" s="3"/>
      <c r="DL6" s="442"/>
      <c r="DM6" s="442"/>
      <c r="DN6" s="442"/>
      <c r="DO6" s="442"/>
      <c r="DP6" s="442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442"/>
      <c r="EF6" s="1"/>
      <c r="EG6" s="1"/>
      <c r="EH6" s="1"/>
      <c r="EL6" s="3"/>
      <c r="EM6" s="442"/>
      <c r="EN6" s="442"/>
      <c r="EO6" s="442"/>
      <c r="EP6" s="442"/>
      <c r="EQ6" s="442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442"/>
      <c r="FG6" s="1"/>
      <c r="FH6" s="1"/>
      <c r="FI6" s="1"/>
      <c r="FM6" s="3"/>
      <c r="FN6" s="442"/>
      <c r="FO6" s="442"/>
      <c r="FP6" s="442"/>
      <c r="FQ6" s="442"/>
      <c r="FR6" s="442"/>
      <c r="FS6" s="3"/>
      <c r="FT6" s="3"/>
      <c r="FU6" s="3"/>
      <c r="FV6" s="3"/>
      <c r="FW6" s="3"/>
      <c r="FX6" s="3"/>
      <c r="FY6" s="3"/>
      <c r="FZ6" s="3"/>
      <c r="GA6" s="3"/>
      <c r="GB6" s="3"/>
      <c r="GC6" s="442"/>
      <c r="GD6" s="442"/>
      <c r="GE6" s="442"/>
      <c r="GF6" s="442"/>
      <c r="GG6" s="442"/>
      <c r="GH6" s="1"/>
      <c r="GI6" s="1"/>
      <c r="GJ6" s="1"/>
      <c r="GN6" s="3"/>
      <c r="GO6" s="442"/>
      <c r="GP6" s="442"/>
      <c r="GQ6" s="442"/>
      <c r="GR6" s="442"/>
      <c r="GS6" s="442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442"/>
      <c r="HI6" s="1"/>
      <c r="HJ6" s="1"/>
      <c r="HK6" s="1"/>
      <c r="HO6" s="3"/>
      <c r="HP6" s="442"/>
      <c r="HQ6" s="442"/>
      <c r="HR6" s="442"/>
      <c r="HS6" s="442"/>
      <c r="HT6" s="442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1"/>
      <c r="IK6" s="1"/>
      <c r="IL6" s="1"/>
      <c r="IP6" s="3"/>
      <c r="IQ6" s="442"/>
      <c r="IR6" s="442"/>
      <c r="IS6" s="442"/>
      <c r="IT6" s="442"/>
      <c r="IU6" s="442"/>
      <c r="IV6" s="3"/>
      <c r="IW6" s="3"/>
      <c r="IX6" s="3"/>
      <c r="IY6" s="3"/>
      <c r="IZ6" s="3"/>
      <c r="JA6" s="3"/>
      <c r="JB6" s="3"/>
      <c r="JC6" s="3"/>
      <c r="JD6" s="3"/>
      <c r="JE6" s="3"/>
      <c r="JF6" s="442"/>
      <c r="JG6" s="442"/>
      <c r="JH6" s="442"/>
      <c r="JI6" s="442"/>
      <c r="JJ6" s="442"/>
      <c r="JK6" s="1"/>
      <c r="JL6" s="1"/>
      <c r="JM6" s="1"/>
      <c r="JQ6" s="3"/>
      <c r="JR6" s="442"/>
      <c r="JS6" s="442"/>
      <c r="JT6" s="442"/>
      <c r="JU6" s="442"/>
      <c r="JV6" s="442"/>
      <c r="JW6" s="3"/>
      <c r="JX6" s="3"/>
      <c r="JY6" s="3"/>
      <c r="JZ6" s="3"/>
      <c r="KA6" s="3"/>
      <c r="KB6" s="442"/>
      <c r="KC6" s="442"/>
      <c r="KD6" s="442"/>
      <c r="KE6" s="442"/>
      <c r="KF6" s="3"/>
      <c r="KG6" s="442"/>
      <c r="KH6" s="442"/>
      <c r="KI6" s="442"/>
      <c r="KJ6" s="442"/>
      <c r="KK6" s="3"/>
      <c r="KL6" s="1"/>
      <c r="KM6" s="1"/>
      <c r="KN6" s="1"/>
      <c r="KR6" s="3"/>
      <c r="KS6" s="442"/>
      <c r="KT6" s="442"/>
      <c r="KU6" s="442"/>
      <c r="KV6" s="442"/>
      <c r="KW6" s="442"/>
      <c r="KX6" s="3"/>
      <c r="KY6" s="3"/>
      <c r="KZ6" s="3"/>
      <c r="LA6" s="3"/>
      <c r="LB6" s="3"/>
      <c r="LC6" s="3"/>
      <c r="LD6" s="3"/>
      <c r="LE6" s="3"/>
      <c r="LF6" s="3"/>
      <c r="LG6" s="3"/>
      <c r="LH6" s="442"/>
      <c r="LI6" s="442"/>
      <c r="LJ6" s="442"/>
      <c r="LK6" s="442"/>
      <c r="LL6" s="442"/>
      <c r="LM6" s="1"/>
      <c r="LN6" s="1"/>
      <c r="LO6" s="1"/>
      <c r="LS6" s="3"/>
      <c r="LT6" s="442"/>
      <c r="LU6" s="442"/>
      <c r="LV6" s="442"/>
      <c r="LW6" s="442"/>
      <c r="LX6" s="442"/>
      <c r="LY6" s="3"/>
      <c r="LZ6" s="3"/>
      <c r="MA6" s="3"/>
      <c r="MB6" s="3"/>
      <c r="MC6" s="3"/>
      <c r="MD6" s="442"/>
      <c r="ME6" s="442"/>
      <c r="MF6" s="442"/>
      <c r="MG6" s="442"/>
      <c r="MH6" s="3"/>
      <c r="MI6" s="442"/>
      <c r="MJ6" s="442"/>
      <c r="MK6" s="442"/>
      <c r="ML6" s="442"/>
      <c r="MM6" s="3"/>
      <c r="MN6" s="1"/>
      <c r="MO6" s="1"/>
      <c r="MP6" s="1"/>
      <c r="MT6" s="3"/>
      <c r="MU6" s="442"/>
      <c r="MV6" s="442"/>
      <c r="MW6" s="442"/>
      <c r="MX6" s="442"/>
      <c r="MY6" s="442"/>
      <c r="MZ6" s="3"/>
      <c r="NA6" s="3"/>
      <c r="NB6" s="3"/>
      <c r="NC6" s="3"/>
      <c r="ND6" s="3"/>
      <c r="NE6" s="3"/>
      <c r="NF6" s="3"/>
      <c r="NG6" s="3"/>
      <c r="NH6" s="3"/>
      <c r="NI6" s="442"/>
      <c r="NJ6" s="3"/>
      <c r="NK6" s="3"/>
      <c r="NL6" s="3"/>
      <c r="NM6" s="3"/>
      <c r="NN6" s="3"/>
      <c r="NO6" s="1"/>
      <c r="NP6" s="1"/>
      <c r="NQ6" s="1"/>
      <c r="NU6" s="3"/>
      <c r="NV6" s="442"/>
      <c r="NW6" s="442"/>
      <c r="NX6" s="442"/>
      <c r="NY6" s="442"/>
      <c r="NZ6" s="442"/>
      <c r="OA6" s="3"/>
      <c r="OB6" s="3"/>
      <c r="OC6" s="3"/>
      <c r="OD6" s="3"/>
      <c r="OE6" s="3"/>
      <c r="OF6" s="3"/>
      <c r="OG6" s="3"/>
      <c r="OH6" s="3"/>
      <c r="OI6" s="3"/>
      <c r="OJ6" s="442"/>
      <c r="OK6" s="3"/>
      <c r="OL6" s="3"/>
      <c r="OM6" s="3"/>
      <c r="ON6" s="3"/>
      <c r="OO6" s="442"/>
      <c r="OP6" s="1"/>
      <c r="OQ6" s="1"/>
      <c r="OR6" s="1"/>
      <c r="OV6" s="3"/>
      <c r="OW6" s="442"/>
      <c r="OX6" s="442"/>
      <c r="OY6" s="442"/>
      <c r="OZ6" s="442"/>
      <c r="PA6" s="442"/>
      <c r="PB6" s="3"/>
      <c r="PC6" s="3"/>
      <c r="PD6" s="3"/>
      <c r="PE6" s="3"/>
      <c r="PF6" s="3"/>
      <c r="PG6" s="3"/>
      <c r="PH6" s="3"/>
      <c r="PI6" s="3"/>
      <c r="PJ6" s="3"/>
      <c r="PK6" s="442"/>
      <c r="PL6" s="3"/>
      <c r="PM6" s="3"/>
      <c r="PN6" s="3"/>
      <c r="PO6" s="3"/>
      <c r="PP6" s="442"/>
      <c r="PQ6" s="1"/>
      <c r="PR6" s="1"/>
      <c r="PS6" s="1"/>
      <c r="PW6" s="3"/>
      <c r="PX6" s="442"/>
      <c r="PY6" s="442"/>
      <c r="PZ6" s="442"/>
      <c r="QA6" s="442"/>
      <c r="QB6" s="442"/>
      <c r="QC6" s="3"/>
      <c r="QD6" s="3"/>
      <c r="QE6" s="3"/>
      <c r="QF6" s="3"/>
      <c r="QG6" s="3"/>
      <c r="QH6" s="3"/>
      <c r="QI6" s="3"/>
      <c r="QJ6" s="3"/>
      <c r="QK6" s="3"/>
      <c r="QL6" s="442"/>
      <c r="QM6" s="3"/>
      <c r="QN6" s="3"/>
      <c r="QO6" s="3"/>
      <c r="QP6" s="3"/>
      <c r="QQ6" s="442"/>
      <c r="QR6" s="1"/>
      <c r="QS6" s="1"/>
      <c r="QT6" s="1"/>
      <c r="QX6" s="3"/>
      <c r="QY6" s="442"/>
      <c r="QZ6" s="442"/>
      <c r="RA6" s="442"/>
      <c r="RB6" s="442"/>
      <c r="RC6" s="442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442"/>
      <c r="RS6" s="1"/>
      <c r="RT6" s="1"/>
      <c r="RU6" s="1"/>
      <c r="RY6" s="3"/>
      <c r="RZ6" s="442"/>
      <c r="SA6" s="442"/>
      <c r="SB6" s="442"/>
      <c r="SC6" s="442"/>
      <c r="SD6" s="442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442"/>
      <c r="ST6" s="1"/>
      <c r="SU6" s="1"/>
      <c r="SV6" s="1"/>
      <c r="SZ6" s="3"/>
      <c r="TA6" s="442"/>
      <c r="TB6" s="442"/>
      <c r="TC6" s="442"/>
      <c r="TD6" s="442"/>
      <c r="TE6" s="442"/>
      <c r="TF6" s="3"/>
      <c r="TG6" s="3"/>
      <c r="TH6" s="3"/>
      <c r="TI6" s="3"/>
      <c r="TJ6" s="3"/>
      <c r="TK6" s="442"/>
      <c r="TL6" s="442"/>
      <c r="TM6" s="442"/>
      <c r="TN6" s="442"/>
      <c r="TO6" s="442"/>
      <c r="TP6" s="3"/>
      <c r="TQ6" s="3"/>
      <c r="TR6" s="3"/>
      <c r="TS6" s="3"/>
      <c r="TT6" s="3"/>
      <c r="TU6" s="1"/>
      <c r="TV6" s="1"/>
      <c r="TW6" s="1"/>
      <c r="UA6" s="3"/>
      <c r="UB6" s="442"/>
      <c r="UC6" s="442"/>
      <c r="UD6" s="442"/>
      <c r="UE6" s="442"/>
      <c r="UF6" s="442"/>
      <c r="UG6" s="3"/>
      <c r="UH6" s="3"/>
      <c r="UI6" s="3"/>
      <c r="UJ6" s="3"/>
      <c r="UK6" s="3"/>
      <c r="UL6" s="442"/>
      <c r="UM6" s="442"/>
      <c r="UN6" s="442"/>
      <c r="UO6" s="442"/>
      <c r="UP6" s="442"/>
      <c r="UQ6" s="3"/>
      <c r="UR6" s="3"/>
      <c r="US6" s="3"/>
      <c r="UT6" s="3"/>
      <c r="UU6" s="442"/>
      <c r="UV6" s="1"/>
      <c r="UW6" s="1"/>
      <c r="UX6" s="1"/>
      <c r="VB6" s="3"/>
      <c r="VC6" s="442"/>
      <c r="VD6" s="442"/>
      <c r="VE6" s="442"/>
      <c r="VF6" s="442"/>
      <c r="VG6" s="442"/>
      <c r="VH6" s="3"/>
      <c r="VI6" s="3"/>
      <c r="VJ6" s="3"/>
      <c r="VK6" s="3"/>
      <c r="VL6" s="3"/>
      <c r="VM6" s="442"/>
      <c r="VN6" s="442"/>
      <c r="VO6" s="442"/>
      <c r="VP6" s="442"/>
      <c r="VQ6" s="442"/>
      <c r="VR6" s="3"/>
      <c r="VS6" s="3"/>
      <c r="VT6" s="3"/>
      <c r="VU6" s="3"/>
      <c r="VV6" s="3"/>
      <c r="VW6" s="1"/>
      <c r="VX6" s="1"/>
      <c r="VY6" s="1"/>
      <c r="WC6" s="3"/>
      <c r="WD6" s="442"/>
      <c r="WE6" s="442"/>
      <c r="WF6" s="442"/>
      <c r="WG6" s="442"/>
      <c r="WH6" s="442"/>
      <c r="WI6" s="3"/>
      <c r="WJ6" s="3"/>
      <c r="WK6" s="3"/>
      <c r="WL6" s="3"/>
      <c r="WM6" s="3"/>
      <c r="WN6" s="442"/>
      <c r="WO6" s="442"/>
      <c r="WP6" s="442"/>
      <c r="WQ6" s="442"/>
      <c r="WR6" s="442"/>
      <c r="WS6" s="3"/>
      <c r="WT6" s="3"/>
      <c r="WU6" s="3"/>
      <c r="WV6" s="3"/>
      <c r="WW6" s="3"/>
      <c r="WX6" s="1"/>
      <c r="WY6" s="1"/>
      <c r="WZ6" s="1"/>
      <c r="XD6" s="3"/>
      <c r="XE6" s="442"/>
      <c r="XF6" s="442"/>
      <c r="XG6" s="442"/>
      <c r="XH6" s="442"/>
      <c r="XI6" s="442"/>
      <c r="XJ6" s="3"/>
      <c r="XK6" s="3"/>
      <c r="XL6" s="3"/>
      <c r="XM6" s="3"/>
      <c r="XN6" s="3"/>
      <c r="XO6" s="442"/>
      <c r="XP6" s="442"/>
      <c r="XQ6" s="442"/>
      <c r="XR6" s="442"/>
      <c r="XS6" s="442"/>
      <c r="XT6" s="3"/>
      <c r="XU6" s="3"/>
      <c r="XV6" s="3"/>
      <c r="XW6" s="3"/>
      <c r="XX6" s="3"/>
      <c r="XY6" s="1"/>
      <c r="XZ6" s="1"/>
      <c r="YA6" s="1"/>
      <c r="YE6" s="3"/>
      <c r="YF6" s="442"/>
      <c r="YG6" s="442"/>
      <c r="YH6" s="442"/>
      <c r="YI6" s="442"/>
      <c r="YJ6" s="442"/>
      <c r="YK6" s="3"/>
      <c r="YL6" s="3"/>
      <c r="YM6" s="3"/>
      <c r="YN6" s="3"/>
      <c r="YO6" s="3"/>
      <c r="YP6" s="442"/>
      <c r="YQ6" s="442"/>
      <c r="YR6" s="442"/>
      <c r="YS6" s="442"/>
      <c r="YT6" s="442"/>
      <c r="YU6" s="3"/>
      <c r="YV6" s="3"/>
      <c r="YW6" s="3"/>
      <c r="YZ6" s="1"/>
      <c r="ZA6" s="1"/>
      <c r="ZB6" s="1"/>
      <c r="ZF6" s="3"/>
      <c r="ZG6" s="442"/>
      <c r="ZH6" s="442"/>
      <c r="ZI6" s="442"/>
      <c r="ZJ6" s="442"/>
      <c r="ZK6" s="442"/>
      <c r="ZL6" s="3"/>
      <c r="ZM6" s="3"/>
      <c r="ZN6" s="3"/>
      <c r="ZO6" s="3"/>
      <c r="ZP6" s="3"/>
      <c r="ZQ6" s="442"/>
      <c r="ZR6" s="442"/>
      <c r="ZS6" s="442"/>
      <c r="ZT6" s="442"/>
      <c r="ZU6" s="442"/>
      <c r="ZV6" s="3"/>
      <c r="ZW6" s="3"/>
      <c r="ZX6" s="3"/>
      <c r="AAA6" s="1"/>
      <c r="AAB6" s="1"/>
      <c r="AAC6" s="1"/>
      <c r="AAG6" s="3"/>
      <c r="AAH6" s="442"/>
      <c r="AAI6" s="442"/>
      <c r="AAJ6" s="442"/>
      <c r="AAK6" s="442"/>
      <c r="AAL6" s="442"/>
      <c r="AAM6" s="3"/>
      <c r="AAN6" s="3"/>
      <c r="AAO6" s="3"/>
      <c r="AAP6" s="3"/>
      <c r="AAQ6" s="3"/>
      <c r="AAR6" s="442"/>
      <c r="AAS6" s="442"/>
      <c r="AAT6" s="442"/>
      <c r="AAU6" s="442"/>
      <c r="AAV6" s="442"/>
      <c r="AAW6" s="3"/>
      <c r="AAX6" s="3"/>
      <c r="AAY6" s="3"/>
      <c r="AAZ6" s="3"/>
      <c r="ABA6" s="442"/>
      <c r="ABB6" s="1"/>
      <c r="ABC6" s="1"/>
      <c r="ABD6" s="1"/>
      <c r="ABH6" s="3"/>
      <c r="ABI6" s="442"/>
      <c r="ABJ6" s="442"/>
      <c r="ABK6" s="442"/>
      <c r="ABL6" s="442"/>
      <c r="ABM6" s="442"/>
      <c r="ABN6" s="3"/>
      <c r="ABO6" s="3"/>
      <c r="ABP6" s="3"/>
      <c r="ABQ6" s="3"/>
      <c r="ABR6" s="3"/>
      <c r="ABS6" s="442"/>
      <c r="ABT6" s="442"/>
      <c r="ABU6" s="442"/>
      <c r="ABV6" s="442"/>
      <c r="ABW6" s="442"/>
      <c r="ABX6" s="3"/>
      <c r="ABY6" s="3"/>
      <c r="ABZ6" s="3"/>
      <c r="ACA6" s="3"/>
      <c r="ACB6" s="442"/>
      <c r="ACC6" s="1"/>
      <c r="ACD6" s="1"/>
      <c r="ACE6" s="1"/>
      <c r="ACI6" s="3"/>
      <c r="ACJ6" s="3"/>
      <c r="ACK6" s="3"/>
      <c r="ACL6" s="3"/>
      <c r="ACM6" s="3"/>
      <c r="ACN6" s="442"/>
      <c r="ACO6" s="3"/>
      <c r="ACP6" s="3"/>
      <c r="ACQ6" s="3"/>
      <c r="ACR6" s="3"/>
      <c r="ACS6" s="3"/>
      <c r="ACT6" s="442"/>
      <c r="ACU6" s="442"/>
      <c r="ACV6" s="442"/>
      <c r="ACW6" s="442"/>
      <c r="ACX6" s="442"/>
      <c r="ACY6" s="3"/>
      <c r="ACZ6" s="3"/>
      <c r="ADA6" s="3"/>
      <c r="ADB6" s="3"/>
      <c r="ADC6" s="442"/>
      <c r="ADD6" s="1"/>
      <c r="ADE6" s="1"/>
      <c r="ADF6" s="1"/>
      <c r="ADJ6" s="3"/>
      <c r="ADK6" s="3"/>
      <c r="ADL6" s="3"/>
      <c r="ADM6" s="3"/>
      <c r="ADN6" s="3"/>
      <c r="ADO6" s="442"/>
      <c r="ADP6" s="3"/>
      <c r="ADQ6" s="3"/>
      <c r="ADR6" s="3"/>
      <c r="ADS6" s="3"/>
      <c r="ADT6" s="3"/>
      <c r="ADU6" s="442"/>
      <c r="ADV6" s="442"/>
      <c r="ADW6" s="442"/>
      <c r="ADX6" s="442"/>
      <c r="ADY6" s="442"/>
      <c r="AEE6" s="1"/>
      <c r="AEF6" s="1"/>
      <c r="AEG6" s="1"/>
      <c r="AEK6" s="3"/>
      <c r="AEL6" s="3"/>
      <c r="AEM6" s="3"/>
      <c r="AEN6" s="3"/>
      <c r="AEO6" s="3"/>
      <c r="AEP6" s="442"/>
      <c r="AEQ6" s="3"/>
      <c r="AER6" s="3"/>
      <c r="AES6" s="3"/>
      <c r="AET6" s="3"/>
      <c r="AEU6" s="3"/>
      <c r="AEV6" s="442"/>
      <c r="AEW6" s="442"/>
      <c r="AEX6" s="442"/>
      <c r="AEY6" s="442"/>
      <c r="AEZ6" s="442"/>
      <c r="AFA6" s="442"/>
      <c r="AFB6" s="442"/>
      <c r="AFC6" s="442"/>
      <c r="AFD6" s="442"/>
      <c r="AFE6" s="442"/>
      <c r="AFF6" s="1"/>
      <c r="AFG6" s="1"/>
      <c r="AFH6" s="1"/>
      <c r="AFL6" s="3"/>
      <c r="AFM6" s="442"/>
      <c r="AFN6" s="442"/>
      <c r="AFO6" s="442"/>
      <c r="AFP6" s="442"/>
      <c r="AFQ6" s="442"/>
      <c r="AFR6" s="3"/>
      <c r="AFS6" s="3"/>
      <c r="AFT6" s="3"/>
      <c r="AFU6" s="3"/>
      <c r="AFV6" s="3"/>
      <c r="AFW6" s="442"/>
      <c r="AFX6" s="442"/>
      <c r="AFY6" s="442"/>
      <c r="AFZ6" s="442"/>
      <c r="AGA6" s="442"/>
      <c r="AGB6" s="3"/>
      <c r="AGC6" s="3"/>
      <c r="AGD6" s="3"/>
      <c r="AGE6" s="3"/>
      <c r="AGF6" s="442"/>
      <c r="AGG6" s="1"/>
      <c r="AGH6" s="1"/>
      <c r="AGI6" s="1"/>
      <c r="AGM6" s="3"/>
      <c r="AGN6" s="442"/>
      <c r="AGO6" s="442"/>
      <c r="AGP6" s="442"/>
      <c r="AGQ6" s="442"/>
      <c r="AGR6" s="442"/>
      <c r="AGS6" s="3"/>
      <c r="AGT6" s="3"/>
      <c r="AGU6" s="3"/>
      <c r="AGV6" s="3"/>
      <c r="AGW6" s="3"/>
      <c r="AGX6" s="442"/>
      <c r="AGY6" s="442"/>
      <c r="AGZ6" s="442"/>
      <c r="AHA6" s="442"/>
      <c r="AHB6" s="442"/>
      <c r="AHC6" s="3"/>
      <c r="AHD6" s="3"/>
      <c r="AHE6" s="3"/>
      <c r="AHF6" s="3"/>
      <c r="AHG6" s="3"/>
      <c r="AHH6" s="1"/>
      <c r="AHI6" s="1"/>
      <c r="AHJ6" s="1"/>
      <c r="AHN6" s="3"/>
      <c r="AHO6" s="442"/>
      <c r="AHP6" s="442"/>
      <c r="AHQ6" s="442"/>
      <c r="AHR6" s="442"/>
      <c r="AHS6" s="442"/>
      <c r="AHT6" s="3"/>
      <c r="AHU6" s="3"/>
      <c r="AHV6" s="3"/>
      <c r="AHW6" s="3"/>
      <c r="AHX6" s="3"/>
      <c r="AHY6" s="442"/>
      <c r="AHZ6" s="442"/>
      <c r="AIA6" s="442"/>
      <c r="AIB6" s="442"/>
      <c r="AIC6" s="442"/>
      <c r="AID6" s="3"/>
      <c r="AIE6" s="3"/>
      <c r="AIF6" s="3"/>
      <c r="AIG6" s="3"/>
      <c r="AIH6" s="442"/>
      <c r="AII6" s="1"/>
      <c r="AIJ6" s="1"/>
      <c r="AIK6" s="1"/>
      <c r="AIO6" s="3"/>
      <c r="AIP6" s="442"/>
      <c r="AIQ6" s="442"/>
      <c r="AIR6" s="442"/>
      <c r="AIS6" s="442"/>
      <c r="AIT6" s="442"/>
      <c r="AIU6" s="3"/>
      <c r="AIV6" s="3"/>
      <c r="AIW6" s="3"/>
      <c r="AIX6" s="3"/>
      <c r="AIY6" s="3"/>
      <c r="AIZ6" s="442"/>
      <c r="AJA6" s="442"/>
      <c r="AJB6" s="442"/>
      <c r="AJC6" s="442"/>
      <c r="AJD6" s="442"/>
      <c r="AJE6" s="3"/>
      <c r="AJF6" s="3"/>
      <c r="AJG6" s="3"/>
      <c r="AJH6" s="3"/>
      <c r="AJI6" s="442"/>
      <c r="AJJ6" s="1"/>
      <c r="AJK6" s="1"/>
      <c r="AJL6" s="1"/>
      <c r="AJP6" s="3"/>
      <c r="AJQ6" s="442"/>
      <c r="AJR6" s="442"/>
      <c r="AJS6" s="442"/>
      <c r="AJT6" s="442"/>
      <c r="AJU6" s="442"/>
      <c r="AJV6" s="3"/>
      <c r="AJW6" s="3"/>
      <c r="AJX6" s="3"/>
      <c r="AJY6" s="3"/>
      <c r="AJZ6" s="3"/>
      <c r="AKA6" s="442"/>
      <c r="AKB6" s="442"/>
      <c r="AKC6" s="442"/>
      <c r="AKD6" s="442"/>
      <c r="AKE6" s="442"/>
      <c r="AKF6" s="3"/>
      <c r="AKG6" s="3"/>
      <c r="AKH6" s="3"/>
      <c r="AKI6" s="3"/>
      <c r="AKJ6" s="442"/>
      <c r="AKK6" s="1"/>
      <c r="AKL6" s="1"/>
      <c r="AKM6" s="1"/>
      <c r="AKQ6" s="3"/>
      <c r="AKR6" s="442"/>
      <c r="AKS6" s="442"/>
      <c r="AKT6" s="442"/>
      <c r="AKU6" s="442"/>
      <c r="AKV6" s="442"/>
      <c r="AKW6" s="3"/>
      <c r="AKX6" s="3"/>
      <c r="AKY6" s="3"/>
      <c r="AKZ6" s="3"/>
      <c r="ALA6" s="3"/>
      <c r="ALB6" s="442"/>
      <c r="ALC6" s="442"/>
      <c r="ALD6" s="442"/>
      <c r="ALE6" s="442"/>
      <c r="ALF6" s="442"/>
      <c r="ALG6" s="3"/>
      <c r="ALH6" s="3"/>
      <c r="ALI6" s="3"/>
      <c r="ALJ6" s="3"/>
      <c r="ALK6" s="442"/>
      <c r="ALL6" s="1"/>
      <c r="ALM6" s="1"/>
      <c r="ALN6" s="1"/>
      <c r="ALR6" s="3"/>
      <c r="ALS6" s="442"/>
      <c r="ALT6" s="442"/>
      <c r="ALU6" s="442"/>
      <c r="ALV6" s="442"/>
      <c r="ALW6" s="442"/>
      <c r="ALX6" s="3"/>
      <c r="ALY6" s="3"/>
      <c r="ALZ6" s="3"/>
      <c r="AMA6" s="3"/>
      <c r="AMB6" s="3"/>
      <c r="AMC6" s="442"/>
      <c r="AMD6" s="442"/>
      <c r="AME6" s="442"/>
      <c r="AMF6" s="442"/>
      <c r="AMG6" s="442"/>
      <c r="AMH6" s="3"/>
      <c r="AMI6" s="3"/>
      <c r="AMJ6" s="3"/>
      <c r="AMK6" s="3"/>
      <c r="AML6" s="442"/>
      <c r="AMM6" s="1"/>
      <c r="AMN6" s="1"/>
      <c r="AMO6" s="1"/>
      <c r="AMS6" s="3"/>
      <c r="AMT6" s="442"/>
      <c r="AMU6" s="442"/>
      <c r="AMV6" s="442"/>
      <c r="AMW6" s="442"/>
      <c r="AMX6" s="442"/>
      <c r="AMY6" s="3"/>
      <c r="AMZ6" s="3"/>
      <c r="ANA6" s="3"/>
      <c r="ANB6" s="3"/>
      <c r="ANC6" s="3"/>
      <c r="AND6" s="442"/>
      <c r="ANE6" s="442"/>
      <c r="ANF6" s="442"/>
      <c r="ANG6" s="442"/>
      <c r="ANH6" s="442"/>
      <c r="ANI6" s="3"/>
      <c r="ANJ6" s="3"/>
      <c r="ANK6" s="3"/>
      <c r="ANL6" s="3"/>
      <c r="ANM6" s="442"/>
      <c r="ANN6" s="1"/>
      <c r="ANO6" s="1"/>
      <c r="ANP6" s="1"/>
      <c r="ANT6" s="3"/>
      <c r="ANU6" s="442"/>
      <c r="ANV6" s="442"/>
      <c r="ANW6" s="442"/>
      <c r="ANX6" s="442"/>
      <c r="ANY6" s="442"/>
      <c r="ANZ6" s="3"/>
      <c r="AOA6" s="3"/>
      <c r="AOB6" s="3"/>
      <c r="AOC6" s="3"/>
      <c r="AOD6" s="3"/>
      <c r="AOE6" s="442"/>
      <c r="AOF6" s="442"/>
      <c r="AOG6" s="442"/>
      <c r="AOH6" s="442"/>
      <c r="AOI6" s="3"/>
      <c r="AOJ6" s="3"/>
      <c r="AOK6" s="3"/>
      <c r="AOL6" s="3"/>
      <c r="AOM6" s="3"/>
      <c r="AON6" s="3"/>
      <c r="AOO6" s="442"/>
      <c r="AOP6" s="1"/>
      <c r="AOQ6" s="1"/>
      <c r="AOR6" s="1"/>
      <c r="AOV6" s="3"/>
      <c r="AOW6" s="442"/>
      <c r="AOX6" s="442"/>
      <c r="AOY6" s="442"/>
      <c r="AOZ6" s="442"/>
      <c r="APA6" s="442"/>
      <c r="APB6" s="3"/>
      <c r="APC6" s="3"/>
      <c r="APD6" s="3"/>
      <c r="APE6" s="3"/>
      <c r="APF6" s="3"/>
      <c r="APG6" s="442"/>
      <c r="APH6" s="442"/>
      <c r="API6" s="442"/>
      <c r="APJ6" s="442"/>
      <c r="APK6" s="442"/>
      <c r="APL6" s="3"/>
      <c r="APM6" s="3"/>
      <c r="APN6" s="3"/>
      <c r="APO6" s="3"/>
      <c r="APP6" s="442"/>
      <c r="APQ6" s="1"/>
      <c r="APR6" s="1"/>
      <c r="APS6" s="1"/>
      <c r="APW6" s="3"/>
      <c r="APX6" s="442"/>
      <c r="APY6" s="442"/>
      <c r="APZ6" s="442"/>
      <c r="AQA6" s="442"/>
      <c r="AQB6" s="442"/>
      <c r="AQC6" s="3"/>
      <c r="AQD6" s="3"/>
      <c r="AQE6" s="3"/>
      <c r="AQF6" s="3"/>
      <c r="AQG6" s="3"/>
      <c r="AQH6" s="442"/>
      <c r="AQI6" s="442"/>
      <c r="AQJ6" s="442"/>
      <c r="AQK6" s="442"/>
      <c r="AQL6" s="442"/>
      <c r="AQM6" s="442"/>
      <c r="AQN6" s="442"/>
      <c r="AQO6" s="442"/>
      <c r="AQP6" s="442"/>
      <c r="AQQ6" s="442"/>
      <c r="AQR6" s="1"/>
      <c r="AQS6" s="1"/>
      <c r="AQT6" s="1"/>
      <c r="AQX6" s="3"/>
      <c r="AQY6" s="442"/>
      <c r="AQZ6" s="442"/>
      <c r="ARA6" s="442"/>
      <c r="ARB6" s="442"/>
      <c r="ARC6" s="442"/>
      <c r="ARD6" s="3"/>
      <c r="ARE6" s="3"/>
      <c r="ARF6" s="3"/>
      <c r="ARG6" s="3"/>
      <c r="ARH6" s="3"/>
      <c r="ARI6" s="442"/>
      <c r="ARJ6" s="442"/>
      <c r="ARK6" s="442"/>
      <c r="ARL6" s="442"/>
      <c r="ARM6" s="442"/>
      <c r="ARN6" s="3"/>
      <c r="ARO6" s="3"/>
      <c r="ARP6" s="3"/>
      <c r="ARQ6" s="3"/>
      <c r="ARR6" s="3"/>
      <c r="ARS6" s="1"/>
      <c r="ART6" s="1"/>
      <c r="ARU6" s="1"/>
      <c r="ARY6" s="3"/>
      <c r="ARZ6" s="442"/>
      <c r="ASA6" s="442"/>
      <c r="ASB6" s="442"/>
      <c r="ASC6" s="442"/>
      <c r="ASD6" s="442"/>
      <c r="ASE6" s="3"/>
      <c r="ASF6" s="3"/>
      <c r="ASG6" s="3"/>
      <c r="ASH6" s="3"/>
      <c r="ASI6" s="3"/>
      <c r="ASJ6" s="442"/>
      <c r="ASK6" s="442"/>
      <c r="ASL6" s="442"/>
      <c r="ASM6" s="442"/>
      <c r="ASN6" s="442"/>
      <c r="ASO6" s="442"/>
      <c r="ASP6" s="442"/>
      <c r="ASQ6" s="442"/>
      <c r="ASR6" s="442"/>
      <c r="ASS6" s="442"/>
      <c r="AST6" s="1"/>
      <c r="ASU6" s="1"/>
      <c r="ASV6" s="1"/>
      <c r="ASZ6" s="3"/>
      <c r="ATA6" s="442"/>
      <c r="ATB6" s="442"/>
      <c r="ATC6" s="442"/>
      <c r="ATD6" s="442"/>
      <c r="ATE6" s="442"/>
      <c r="ATF6" s="3"/>
      <c r="ATG6" s="3"/>
      <c r="ATH6" s="3"/>
      <c r="ATI6" s="3"/>
      <c r="ATJ6" s="3"/>
      <c r="ATK6" s="442"/>
      <c r="ATL6" s="442"/>
      <c r="ATM6" s="442"/>
      <c r="ATN6" s="442"/>
      <c r="ATO6" s="442"/>
      <c r="ATP6" s="3"/>
      <c r="ATQ6" s="3"/>
      <c r="ATR6" s="3"/>
      <c r="ATS6" s="3"/>
      <c r="ATT6" s="3"/>
      <c r="ATU6" s="1"/>
      <c r="ATV6" s="1"/>
      <c r="ATW6" s="1"/>
      <c r="AUA6" s="3"/>
      <c r="AUB6" s="442"/>
      <c r="AUC6" s="442"/>
      <c r="AUD6" s="442"/>
      <c r="AUE6" s="442"/>
      <c r="AUF6" s="442"/>
      <c r="AUG6" s="3"/>
      <c r="AUH6" s="3"/>
      <c r="AUI6" s="3"/>
      <c r="AUJ6" s="3"/>
      <c r="AUK6" s="3"/>
      <c r="AUL6" s="442"/>
      <c r="AUM6" s="442"/>
      <c r="AUN6" s="442"/>
      <c r="AUO6" s="442"/>
      <c r="AUP6" s="442"/>
      <c r="AUQ6" s="3"/>
      <c r="AUR6" s="3"/>
      <c r="AUS6" s="3"/>
      <c r="AUT6" s="3"/>
      <c r="AUU6" s="3"/>
      <c r="AUV6" s="1"/>
      <c r="AUW6" s="1"/>
      <c r="AUX6" s="1"/>
      <c r="AVB6" s="3"/>
      <c r="AVC6" s="442"/>
      <c r="AVD6" s="442"/>
      <c r="AVE6" s="442"/>
      <c r="AVF6" s="442"/>
      <c r="AVG6" s="442"/>
      <c r="AVH6" s="3"/>
      <c r="AVI6" s="3"/>
      <c r="AVJ6" s="3"/>
      <c r="AVK6" s="3"/>
      <c r="AVL6" s="3"/>
      <c r="AVM6" s="442"/>
      <c r="AVN6" s="442"/>
      <c r="AVO6" s="442"/>
      <c r="AVP6" s="442"/>
      <c r="AVQ6" s="442"/>
      <c r="AVR6" s="3"/>
      <c r="AVS6" s="3"/>
      <c r="AVT6" s="3"/>
      <c r="AVU6" s="3"/>
      <c r="AVV6" s="442"/>
      <c r="AVW6" s="1"/>
      <c r="AVX6" s="1"/>
      <c r="AVY6" s="1"/>
      <c r="AWC6" s="3"/>
      <c r="AWD6" s="442"/>
      <c r="AWE6" s="442"/>
      <c r="AWF6" s="442"/>
      <c r="AWG6" s="442"/>
      <c r="AWH6" s="442"/>
      <c r="AWI6" s="3"/>
      <c r="AWJ6" s="3"/>
      <c r="AWK6" s="3"/>
      <c r="AWL6" s="3"/>
      <c r="AWM6" s="3"/>
      <c r="AWN6" s="442"/>
      <c r="AWO6" s="442"/>
      <c r="AWP6" s="442"/>
      <c r="AWQ6" s="442"/>
      <c r="AWR6" s="442"/>
      <c r="AWS6" s="442"/>
      <c r="AWT6" s="442"/>
      <c r="AWU6" s="442"/>
      <c r="AWV6" s="442"/>
      <c r="AWW6" s="442"/>
      <c r="AWX6" s="1"/>
      <c r="AWY6" s="1"/>
      <c r="AWZ6" s="1"/>
      <c r="AXD6" s="3"/>
      <c r="AXE6" s="442"/>
      <c r="AXF6" s="442"/>
      <c r="AXG6" s="442"/>
      <c r="AXH6" s="442"/>
      <c r="AXI6" s="442"/>
      <c r="AXJ6" s="3"/>
      <c r="AXK6" s="3"/>
      <c r="AXL6" s="3"/>
      <c r="AXM6" s="3"/>
      <c r="AXN6" s="3"/>
      <c r="AXO6" s="442"/>
      <c r="AXP6" s="442"/>
      <c r="AXQ6" s="442"/>
      <c r="AXR6" s="442"/>
      <c r="AXS6" s="442"/>
      <c r="AXT6" s="3"/>
      <c r="AXU6" s="3"/>
      <c r="AXV6" s="3"/>
      <c r="AXW6" s="3"/>
      <c r="AXX6" s="442"/>
      <c r="AXY6" s="1"/>
      <c r="AXZ6" s="1"/>
      <c r="AYA6" s="1"/>
      <c r="AYE6" s="3"/>
      <c r="AYF6" s="442"/>
      <c r="AYG6" s="442"/>
      <c r="AYH6" s="442"/>
      <c r="AYI6" s="442"/>
      <c r="AYJ6" s="442"/>
      <c r="AYK6" s="3"/>
      <c r="AYL6" s="3"/>
      <c r="AYM6" s="3"/>
      <c r="AYN6" s="3"/>
      <c r="AYO6" s="3"/>
      <c r="AYP6" s="442"/>
      <c r="AYQ6" s="442"/>
      <c r="AYR6" s="442"/>
      <c r="AYS6" s="442"/>
      <c r="AYT6" s="442"/>
      <c r="AYU6" s="3"/>
      <c r="AYV6" s="3"/>
      <c r="AYW6" s="3"/>
      <c r="AYX6" s="3"/>
      <c r="AYY6" s="442"/>
      <c r="AYZ6" s="1"/>
      <c r="AZA6" s="1"/>
      <c r="AZB6" s="1"/>
      <c r="AZF6" s="3"/>
      <c r="AZG6" s="442"/>
      <c r="AZH6" s="442"/>
      <c r="AZI6" s="442"/>
      <c r="AZJ6" s="442"/>
      <c r="AZK6" s="442"/>
      <c r="AZL6" s="3"/>
      <c r="AZM6" s="3"/>
      <c r="AZN6" s="3"/>
      <c r="AZO6" s="3"/>
      <c r="AZP6" s="3"/>
      <c r="AZQ6" s="442"/>
      <c r="AZR6" s="442"/>
      <c r="AZS6" s="442"/>
      <c r="AZT6" s="442"/>
      <c r="AZU6" s="442"/>
      <c r="AZV6" s="3"/>
      <c r="AZW6" s="3"/>
      <c r="AZX6" s="3"/>
      <c r="AZY6" s="3"/>
      <c r="AZZ6" s="442"/>
      <c r="BAA6" s="1"/>
      <c r="BAB6" s="1"/>
      <c r="BAC6" s="1"/>
      <c r="BAG6" s="3"/>
      <c r="BAH6" s="442"/>
      <c r="BAI6" s="442"/>
      <c r="BAJ6" s="442"/>
      <c r="BAK6" s="442"/>
      <c r="BAL6" s="442"/>
      <c r="BAM6" s="3"/>
      <c r="BAN6" s="3"/>
      <c r="BAO6" s="3"/>
      <c r="BAP6" s="3"/>
      <c r="BAQ6" s="3"/>
      <c r="BAR6" s="442"/>
      <c r="BAS6" s="442"/>
      <c r="BAT6" s="442"/>
      <c r="BAU6" s="442"/>
      <c r="BAV6" s="442"/>
      <c r="BAW6" s="3"/>
      <c r="BAX6" s="3"/>
      <c r="BAY6" s="3"/>
      <c r="BAZ6" s="3"/>
      <c r="BBA6" s="3"/>
      <c r="BBB6" s="1"/>
      <c r="BBC6" s="1"/>
      <c r="BBD6" s="1"/>
      <c r="BBH6" s="3"/>
      <c r="BBI6" s="442"/>
      <c r="BBJ6" s="442"/>
      <c r="BBK6" s="442"/>
      <c r="BBL6" s="442"/>
      <c r="BBM6" s="442"/>
      <c r="BBN6" s="3"/>
      <c r="BBO6" s="3"/>
      <c r="BBP6" s="3"/>
      <c r="BBQ6" s="3"/>
      <c r="BBR6" s="3"/>
      <c r="BBS6" s="442"/>
      <c r="BBT6" s="442"/>
      <c r="BBU6" s="442"/>
      <c r="BBV6" s="442"/>
      <c r="BBW6" s="442"/>
      <c r="BBX6" s="442"/>
      <c r="BBY6" s="442"/>
      <c r="BBZ6" s="442"/>
      <c r="BCA6" s="442"/>
      <c r="BCB6" s="442"/>
      <c r="BCC6" s="1"/>
      <c r="BCD6" s="1"/>
      <c r="BCE6" s="1"/>
      <c r="BCI6" s="3"/>
      <c r="BCJ6" s="442"/>
      <c r="BCK6" s="442"/>
      <c r="BCL6" s="442"/>
      <c r="BCM6" s="442"/>
      <c r="BCN6" s="442"/>
      <c r="BCO6" s="3"/>
      <c r="BCP6" s="3"/>
      <c r="BCQ6" s="3"/>
      <c r="BCR6" s="3"/>
      <c r="BCS6" s="3"/>
      <c r="BCT6" s="442"/>
      <c r="BCU6" s="442"/>
      <c r="BCV6" s="442"/>
      <c r="BCW6" s="442"/>
      <c r="BCX6" s="3"/>
      <c r="BCY6" s="442"/>
      <c r="BCZ6" s="442"/>
      <c r="BDA6" s="442"/>
      <c r="BDB6" s="442"/>
      <c r="BDC6" s="3"/>
      <c r="BDD6" s="1"/>
      <c r="BDE6" s="1"/>
      <c r="BDF6" s="1"/>
      <c r="BDJ6" s="3"/>
      <c r="BDK6" s="442"/>
      <c r="BDL6" s="442"/>
      <c r="BDM6" s="442"/>
      <c r="BDN6" s="442"/>
      <c r="BDO6" s="442"/>
      <c r="BDP6" s="3"/>
      <c r="BDQ6" s="3"/>
      <c r="BDR6" s="3"/>
      <c r="BDS6" s="3"/>
      <c r="BDT6" s="3"/>
      <c r="BDU6" s="442"/>
      <c r="BDV6" s="442"/>
      <c r="BDW6" s="442"/>
      <c r="BDX6" s="442"/>
      <c r="BDY6" s="442"/>
      <c r="BDZ6" s="3"/>
      <c r="BEA6" s="3"/>
      <c r="BEB6" s="3"/>
      <c r="BEC6" s="3"/>
      <c r="BED6" s="3"/>
      <c r="BEE6" s="1"/>
      <c r="BEF6" s="1"/>
      <c r="BEG6" s="1"/>
      <c r="BEK6" s="3"/>
      <c r="BEL6" s="442"/>
      <c r="BEM6" s="442"/>
      <c r="BEN6" s="442"/>
      <c r="BEO6" s="442"/>
      <c r="BEP6" s="442"/>
      <c r="BEQ6" s="3"/>
      <c r="BER6" s="3"/>
      <c r="BES6" s="3"/>
      <c r="BET6" s="3"/>
      <c r="BEU6" s="3"/>
      <c r="BEV6" s="442"/>
      <c r="BEW6" s="442"/>
      <c r="BEX6" s="442"/>
      <c r="BEY6" s="442"/>
      <c r="BFF6" s="1"/>
      <c r="BFG6" s="1"/>
      <c r="BFH6" s="1"/>
      <c r="BFL6" s="3"/>
      <c r="BFM6" s="442"/>
      <c r="BFN6" s="442"/>
      <c r="BFO6" s="442"/>
      <c r="BFP6" s="442"/>
      <c r="BFQ6" s="442"/>
      <c r="BFR6" s="3"/>
      <c r="BFS6" s="3"/>
      <c r="BFT6" s="3"/>
      <c r="BFU6" s="3"/>
      <c r="BFV6" s="3"/>
      <c r="BFW6" s="442"/>
      <c r="BFX6" s="442"/>
      <c r="BFY6" s="442"/>
      <c r="BFZ6" s="442"/>
    </row>
    <row r="7" spans="1:1540" ht="30" customHeight="1" x14ac:dyDescent="0.4">
      <c r="A7" s="455"/>
      <c r="B7" s="455"/>
      <c r="C7" s="455"/>
      <c r="D7" s="455"/>
      <c r="E7" s="455"/>
      <c r="F7" s="399"/>
      <c r="G7" s="6"/>
      <c r="H7" s="443"/>
      <c r="I7" s="443"/>
      <c r="J7" s="443"/>
      <c r="K7" s="443"/>
      <c r="L7" s="443"/>
      <c r="M7" s="6"/>
      <c r="N7" s="6"/>
      <c r="O7" s="6"/>
      <c r="P7" s="6"/>
      <c r="Q7" s="6"/>
      <c r="R7" s="443"/>
      <c r="S7" s="443"/>
      <c r="T7" s="443"/>
      <c r="U7" s="443"/>
      <c r="V7" s="443"/>
      <c r="W7" s="6"/>
      <c r="X7" s="6"/>
      <c r="Y7" s="6"/>
      <c r="Z7" s="6"/>
      <c r="AA7" s="6" t="s">
        <v>640</v>
      </c>
      <c r="AB7" s="455"/>
      <c r="AC7" s="455"/>
      <c r="AD7" s="455"/>
      <c r="AE7" s="455"/>
      <c r="AF7" s="455"/>
      <c r="AG7" s="399"/>
      <c r="AH7" s="6"/>
      <c r="AI7" s="443"/>
      <c r="AJ7" s="443"/>
      <c r="AK7" s="443"/>
      <c r="AL7" s="443"/>
      <c r="AM7" s="443"/>
      <c r="AN7" s="6"/>
      <c r="AO7" s="6"/>
      <c r="AP7" s="6"/>
      <c r="AQ7" s="6"/>
      <c r="AR7" s="6"/>
      <c r="AS7" s="443"/>
      <c r="AT7" s="443"/>
      <c r="AU7" s="443"/>
      <c r="AV7" s="443"/>
      <c r="AW7" s="443"/>
      <c r="AX7" s="6"/>
      <c r="AY7" s="6"/>
      <c r="AZ7" s="6"/>
      <c r="BA7" s="6"/>
      <c r="BB7" s="6" t="s">
        <v>640</v>
      </c>
      <c r="BC7" s="455"/>
      <c r="BD7" s="455"/>
      <c r="BE7" s="455"/>
      <c r="BF7" s="455"/>
      <c r="BG7" s="455"/>
      <c r="BH7" s="399"/>
      <c r="BI7" s="6"/>
      <c r="BJ7" s="443"/>
      <c r="BK7" s="443"/>
      <c r="BL7" s="443"/>
      <c r="BM7" s="443"/>
      <c r="BN7" s="443"/>
      <c r="BO7" s="6"/>
      <c r="BP7" s="6"/>
      <c r="BQ7" s="6"/>
      <c r="BR7" s="6"/>
      <c r="BS7" s="6"/>
      <c r="BT7" s="443"/>
      <c r="BU7" s="443"/>
      <c r="BV7" s="443"/>
      <c r="BW7" s="443"/>
      <c r="BX7" s="443"/>
      <c r="BY7" s="6"/>
      <c r="BZ7" s="6"/>
      <c r="CA7" s="6"/>
      <c r="CB7" s="6"/>
      <c r="CC7" s="6" t="s">
        <v>640</v>
      </c>
      <c r="CD7" s="455"/>
      <c r="CE7" s="455"/>
      <c r="CF7" s="455"/>
      <c r="CG7" s="455"/>
      <c r="CH7" s="455"/>
      <c r="CI7" s="399"/>
      <c r="CJ7" s="6"/>
      <c r="CK7" s="443"/>
      <c r="CL7" s="443"/>
      <c r="CM7" s="443"/>
      <c r="CN7" s="443"/>
      <c r="CO7" s="443"/>
      <c r="CP7" s="6"/>
      <c r="CQ7" s="6"/>
      <c r="CR7" s="6"/>
      <c r="CS7" s="6"/>
      <c r="CT7" s="6"/>
      <c r="CU7" s="443"/>
      <c r="CV7" s="443"/>
      <c r="CW7" s="443"/>
      <c r="CX7" s="443"/>
      <c r="CY7" s="443"/>
      <c r="CZ7" s="6"/>
      <c r="DA7" s="6"/>
      <c r="DB7" s="6"/>
      <c r="DC7" s="6"/>
      <c r="DD7" s="6" t="s">
        <v>640</v>
      </c>
      <c r="DE7" s="455"/>
      <c r="DF7" s="455"/>
      <c r="DG7" s="455"/>
      <c r="DH7" s="455"/>
      <c r="DI7" s="455"/>
      <c r="DJ7" s="399"/>
      <c r="DK7" s="6"/>
      <c r="DL7" s="443"/>
      <c r="DM7" s="443"/>
      <c r="DN7" s="443"/>
      <c r="DO7" s="443"/>
      <c r="DP7" s="443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 t="s">
        <v>640</v>
      </c>
      <c r="EF7" s="455"/>
      <c r="EG7" s="455"/>
      <c r="EH7" s="455"/>
      <c r="EI7" s="455"/>
      <c r="EJ7" s="455"/>
      <c r="EK7" s="399"/>
      <c r="EL7" s="6"/>
      <c r="EM7" s="443"/>
      <c r="EN7" s="443"/>
      <c r="EO7" s="443"/>
      <c r="EP7" s="443"/>
      <c r="EQ7" s="443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 t="s">
        <v>640</v>
      </c>
      <c r="FG7" s="455"/>
      <c r="FH7" s="455"/>
      <c r="FI7" s="455"/>
      <c r="FJ7" s="455"/>
      <c r="FK7" s="455"/>
      <c r="FL7" s="399"/>
      <c r="FM7" s="6"/>
      <c r="FN7" s="443"/>
      <c r="FO7" s="443"/>
      <c r="FP7" s="443"/>
      <c r="FQ7" s="443"/>
      <c r="FR7" s="443"/>
      <c r="FS7" s="6"/>
      <c r="FT7" s="6"/>
      <c r="FU7" s="6"/>
      <c r="FV7" s="6"/>
      <c r="FW7" s="6"/>
      <c r="FX7" s="6"/>
      <c r="FY7" s="6"/>
      <c r="FZ7" s="6"/>
      <c r="GA7" s="6"/>
      <c r="GB7" s="6"/>
      <c r="GC7" s="443"/>
      <c r="GD7" s="443"/>
      <c r="GE7" s="443"/>
      <c r="GF7" s="443"/>
      <c r="GG7" s="6" t="s">
        <v>640</v>
      </c>
      <c r="GH7" s="455"/>
      <c r="GI7" s="455"/>
      <c r="GJ7" s="455"/>
      <c r="GK7" s="455"/>
      <c r="GL7" s="455"/>
      <c r="GM7" s="399"/>
      <c r="GN7" s="6"/>
      <c r="GO7" s="443"/>
      <c r="GP7" s="443"/>
      <c r="GQ7" s="443"/>
      <c r="GR7" s="443"/>
      <c r="GS7" s="443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 t="s">
        <v>640</v>
      </c>
      <c r="HI7" s="455"/>
      <c r="HJ7" s="455"/>
      <c r="HK7" s="455"/>
      <c r="HL7" s="455"/>
      <c r="HM7" s="455"/>
      <c r="HN7" s="399"/>
      <c r="HO7" s="6"/>
      <c r="HP7" s="443"/>
      <c r="HQ7" s="443"/>
      <c r="HR7" s="443"/>
      <c r="HS7" s="443"/>
      <c r="HT7" s="443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 t="s">
        <v>640</v>
      </c>
      <c r="IJ7" s="455"/>
      <c r="IK7" s="455"/>
      <c r="IL7" s="455"/>
      <c r="IM7" s="455"/>
      <c r="IN7" s="455"/>
      <c r="IO7" s="399"/>
      <c r="IP7" s="6"/>
      <c r="IQ7" s="443"/>
      <c r="IR7" s="443"/>
      <c r="IS7" s="443"/>
      <c r="IT7" s="443"/>
      <c r="IU7" s="443"/>
      <c r="IV7" s="6"/>
      <c r="IW7" s="6"/>
      <c r="IX7" s="6"/>
      <c r="IY7" s="6"/>
      <c r="IZ7" s="6"/>
      <c r="JA7" s="6"/>
      <c r="JB7" s="6"/>
      <c r="JC7" s="6"/>
      <c r="JD7" s="6"/>
      <c r="JE7" s="6"/>
      <c r="JF7" s="443"/>
      <c r="JG7" s="443"/>
      <c r="JH7" s="443"/>
      <c r="JI7" s="443"/>
      <c r="JJ7" s="6" t="s">
        <v>640</v>
      </c>
      <c r="JK7" s="455"/>
      <c r="JL7" s="455"/>
      <c r="JM7" s="455"/>
      <c r="JN7" s="455"/>
      <c r="JO7" s="455"/>
      <c r="JP7" s="399"/>
      <c r="JQ7" s="6"/>
      <c r="JR7" s="443"/>
      <c r="JS7" s="443"/>
      <c r="JT7" s="443"/>
      <c r="JU7" s="443"/>
      <c r="JV7" s="443"/>
      <c r="JW7" s="6"/>
      <c r="JX7" s="6"/>
      <c r="JY7" s="6"/>
      <c r="JZ7" s="6"/>
      <c r="KA7" s="6"/>
      <c r="KB7" s="443"/>
      <c r="KC7" s="443"/>
      <c r="KD7" s="443"/>
      <c r="KE7" s="443"/>
      <c r="KF7" s="6"/>
      <c r="KG7" s="443"/>
      <c r="KH7" s="443"/>
      <c r="KI7" s="443"/>
      <c r="KJ7" s="443"/>
      <c r="KK7" s="6" t="s">
        <v>640</v>
      </c>
      <c r="KL7" s="455"/>
      <c r="KM7" s="455"/>
      <c r="KN7" s="455"/>
      <c r="KO7" s="455"/>
      <c r="KP7" s="455"/>
      <c r="KQ7" s="399"/>
      <c r="KR7" s="6"/>
      <c r="KS7" s="443"/>
      <c r="KT7" s="443"/>
      <c r="KU7" s="443"/>
      <c r="KV7" s="443"/>
      <c r="KW7" s="443"/>
      <c r="KX7" s="6"/>
      <c r="KY7" s="6"/>
      <c r="KZ7" s="6"/>
      <c r="LA7" s="6"/>
      <c r="LB7" s="6"/>
      <c r="LC7" s="6"/>
      <c r="LD7" s="6"/>
      <c r="LE7" s="6"/>
      <c r="LF7" s="6"/>
      <c r="LG7" s="6"/>
      <c r="LH7" s="443"/>
      <c r="LI7" s="443"/>
      <c r="LJ7" s="443"/>
      <c r="LK7" s="443"/>
      <c r="LL7" s="6" t="s">
        <v>640</v>
      </c>
      <c r="LM7" s="455"/>
      <c r="LN7" s="455"/>
      <c r="LO7" s="455"/>
      <c r="LP7" s="455"/>
      <c r="LQ7" s="455"/>
      <c r="LR7" s="399"/>
      <c r="LS7" s="6"/>
      <c r="LT7" s="443"/>
      <c r="LU7" s="443"/>
      <c r="LV7" s="443"/>
      <c r="LW7" s="443"/>
      <c r="LX7" s="443"/>
      <c r="LY7" s="6"/>
      <c r="LZ7" s="6"/>
      <c r="MA7" s="6"/>
      <c r="MB7" s="6"/>
      <c r="MC7" s="6"/>
      <c r="MD7" s="443"/>
      <c r="ME7" s="443"/>
      <c r="MF7" s="443"/>
      <c r="MG7" s="443"/>
      <c r="MH7" s="6"/>
      <c r="MI7" s="443"/>
      <c r="MJ7" s="443"/>
      <c r="MK7" s="443"/>
      <c r="ML7" s="443"/>
      <c r="MM7" s="6" t="s">
        <v>640</v>
      </c>
      <c r="MN7" s="455"/>
      <c r="MO7" s="455"/>
      <c r="MP7" s="455"/>
      <c r="MQ7" s="455"/>
      <c r="MR7" s="455"/>
      <c r="MS7" s="399"/>
      <c r="MT7" s="6"/>
      <c r="MU7" s="443"/>
      <c r="MV7" s="443"/>
      <c r="MW7" s="443"/>
      <c r="MX7" s="443"/>
      <c r="MY7" s="443"/>
      <c r="MZ7" s="6"/>
      <c r="NA7" s="6"/>
      <c r="NB7" s="6"/>
      <c r="NC7" s="6"/>
      <c r="ND7" s="6"/>
      <c r="NE7" s="6"/>
      <c r="NF7" s="6"/>
      <c r="NG7" s="6"/>
      <c r="NH7" s="6"/>
      <c r="NI7" s="443"/>
      <c r="NJ7" s="6"/>
      <c r="NK7" s="6"/>
      <c r="NL7" s="6"/>
      <c r="NM7" s="6"/>
      <c r="NN7" s="6" t="s">
        <v>640</v>
      </c>
      <c r="NO7" s="455"/>
      <c r="NP7" s="455"/>
      <c r="NQ7" s="455"/>
      <c r="NR7" s="455"/>
      <c r="NS7" s="455"/>
      <c r="NT7" s="399"/>
      <c r="NU7" s="6"/>
      <c r="NV7" s="443"/>
      <c r="NW7" s="443"/>
      <c r="NX7" s="443"/>
      <c r="NY7" s="443"/>
      <c r="NZ7" s="443"/>
      <c r="OA7" s="6"/>
      <c r="OB7" s="6"/>
      <c r="OC7" s="6"/>
      <c r="OD7" s="6"/>
      <c r="OE7" s="6"/>
      <c r="OF7" s="6"/>
      <c r="OG7" s="6"/>
      <c r="OH7" s="6"/>
      <c r="OI7" s="6"/>
      <c r="OJ7" s="443"/>
      <c r="OK7" s="6"/>
      <c r="OL7" s="6"/>
      <c r="OM7" s="6"/>
      <c r="ON7" s="6"/>
      <c r="OO7" s="6" t="s">
        <v>640</v>
      </c>
      <c r="OP7" s="455"/>
      <c r="OQ7" s="455"/>
      <c r="OR7" s="455"/>
      <c r="OS7" s="455"/>
      <c r="OT7" s="455"/>
      <c r="OU7" s="399"/>
      <c r="OV7" s="6"/>
      <c r="OW7" s="443"/>
      <c r="OX7" s="443"/>
      <c r="OY7" s="443"/>
      <c r="OZ7" s="443"/>
      <c r="PA7" s="443"/>
      <c r="PB7" s="6"/>
      <c r="PC7" s="6"/>
      <c r="PD7" s="6"/>
      <c r="PE7" s="6"/>
      <c r="PF7" s="6"/>
      <c r="PG7" s="6"/>
      <c r="PH7" s="6"/>
      <c r="PI7" s="6"/>
      <c r="PJ7" s="6"/>
      <c r="PK7" s="443"/>
      <c r="PL7" s="6"/>
      <c r="PM7" s="6"/>
      <c r="PN7" s="6"/>
      <c r="PO7" s="6"/>
      <c r="PP7" s="6" t="s">
        <v>640</v>
      </c>
      <c r="PQ7" s="455"/>
      <c r="PR7" s="455"/>
      <c r="PS7" s="455"/>
      <c r="PT7" s="455"/>
      <c r="PU7" s="455"/>
      <c r="PV7" s="399"/>
      <c r="PW7" s="6"/>
      <c r="PX7" s="443"/>
      <c r="PY7" s="443"/>
      <c r="PZ7" s="443"/>
      <c r="QA7" s="443"/>
      <c r="QB7" s="443"/>
      <c r="QC7" s="6"/>
      <c r="QD7" s="6"/>
      <c r="QE7" s="6"/>
      <c r="QF7" s="6"/>
      <c r="QG7" s="6"/>
      <c r="QH7" s="6"/>
      <c r="QI7" s="6"/>
      <c r="QJ7" s="6"/>
      <c r="QK7" s="6"/>
      <c r="QL7" s="443"/>
      <c r="QM7" s="6"/>
      <c r="QN7" s="6"/>
      <c r="QO7" s="6"/>
      <c r="QP7" s="6"/>
      <c r="QQ7" s="6" t="s">
        <v>640</v>
      </c>
      <c r="QR7" s="446"/>
      <c r="QS7" s="446"/>
      <c r="QT7" s="446"/>
      <c r="QU7" s="446"/>
      <c r="QV7" s="446"/>
      <c r="QW7" s="399"/>
      <c r="QX7" s="6"/>
      <c r="QY7" s="443"/>
      <c r="QZ7" s="443"/>
      <c r="RA7" s="443"/>
      <c r="RB7" s="443"/>
      <c r="RC7" s="443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 t="s">
        <v>640</v>
      </c>
      <c r="RS7" s="446"/>
      <c r="RT7" s="446"/>
      <c r="RU7" s="446"/>
      <c r="RV7" s="446"/>
      <c r="RW7" s="446"/>
      <c r="RX7" s="446"/>
      <c r="RY7" s="446"/>
      <c r="RZ7" s="446"/>
      <c r="SA7" s="446"/>
      <c r="SB7" s="446"/>
      <c r="SC7" s="446"/>
      <c r="SD7" s="446"/>
      <c r="SE7" s="446"/>
      <c r="SF7" s="446"/>
      <c r="SG7" s="446"/>
      <c r="SH7" s="446"/>
      <c r="SI7" s="446"/>
      <c r="SJ7" s="446"/>
      <c r="SK7" s="446"/>
      <c r="SL7" s="446"/>
      <c r="SM7" s="446"/>
      <c r="SN7" s="446"/>
      <c r="SO7" s="446"/>
      <c r="SP7" s="446"/>
      <c r="SQ7" s="446"/>
      <c r="SR7" s="446"/>
      <c r="SS7" s="6" t="s">
        <v>640</v>
      </c>
      <c r="ST7" s="455"/>
      <c r="SU7" s="455"/>
      <c r="SV7" s="455"/>
      <c r="SW7" s="455"/>
      <c r="SX7" s="455"/>
      <c r="SY7" s="399"/>
      <c r="SZ7" s="6"/>
      <c r="TA7" s="443"/>
      <c r="TB7" s="443"/>
      <c r="TC7" s="443"/>
      <c r="TD7" s="443"/>
      <c r="TE7" s="443"/>
      <c r="TF7" s="6"/>
      <c r="TG7" s="6"/>
      <c r="TH7" s="6"/>
      <c r="TI7" s="6"/>
      <c r="TJ7" s="6"/>
      <c r="TK7" s="443"/>
      <c r="TL7" s="443"/>
      <c r="TM7" s="443"/>
      <c r="TN7" s="443"/>
      <c r="TO7" s="443"/>
      <c r="TP7" s="6"/>
      <c r="TQ7" s="6"/>
      <c r="TR7" s="6"/>
      <c r="TS7" s="6"/>
      <c r="TT7" s="6" t="s">
        <v>640</v>
      </c>
      <c r="TU7" s="455"/>
      <c r="TV7" s="455"/>
      <c r="TW7" s="455"/>
      <c r="TX7" s="455"/>
      <c r="TY7" s="455"/>
      <c r="TZ7" s="399"/>
      <c r="UA7" s="6"/>
      <c r="UB7" s="443"/>
      <c r="UC7" s="443"/>
      <c r="UD7" s="443"/>
      <c r="UE7" s="443"/>
      <c r="UF7" s="443"/>
      <c r="UG7" s="6"/>
      <c r="UH7" s="6"/>
      <c r="UI7" s="6"/>
      <c r="UJ7" s="6"/>
      <c r="UK7" s="6"/>
      <c r="UL7" s="443"/>
      <c r="UM7" s="443"/>
      <c r="UN7" s="443"/>
      <c r="UO7" s="443"/>
      <c r="UP7" s="443"/>
      <c r="UQ7" s="6"/>
      <c r="UR7" s="6"/>
      <c r="US7" s="6"/>
      <c r="UT7" s="6"/>
      <c r="UU7" s="6" t="s">
        <v>640</v>
      </c>
      <c r="UV7" s="455"/>
      <c r="UW7" s="455"/>
      <c r="UX7" s="455"/>
      <c r="UY7" s="455"/>
      <c r="UZ7" s="455"/>
      <c r="VA7" s="399"/>
      <c r="VB7" s="6"/>
      <c r="VC7" s="443"/>
      <c r="VD7" s="443"/>
      <c r="VE7" s="443"/>
      <c r="VF7" s="443"/>
      <c r="VG7" s="443"/>
      <c r="VH7" s="6"/>
      <c r="VI7" s="6"/>
      <c r="VJ7" s="6"/>
      <c r="VK7" s="6"/>
      <c r="VL7" s="6"/>
      <c r="VM7" s="443"/>
      <c r="VN7" s="443"/>
      <c r="VO7" s="443"/>
      <c r="VP7" s="443"/>
      <c r="VQ7" s="443"/>
      <c r="VR7" s="6"/>
      <c r="VS7" s="6"/>
      <c r="VT7" s="6"/>
      <c r="VU7" s="6"/>
      <c r="VV7" s="79" t="s">
        <v>640</v>
      </c>
      <c r="VW7" s="455"/>
      <c r="VX7" s="455"/>
      <c r="VY7" s="455"/>
      <c r="VZ7" s="455"/>
      <c r="WA7" s="455"/>
      <c r="WB7" s="399"/>
      <c r="WC7" s="6"/>
      <c r="WD7" s="443"/>
      <c r="WE7" s="443"/>
      <c r="WF7" s="443"/>
      <c r="WG7" s="443"/>
      <c r="WH7" s="443"/>
      <c r="WI7" s="6"/>
      <c r="WJ7" s="6"/>
      <c r="WK7" s="6"/>
      <c r="WL7" s="6"/>
      <c r="WM7" s="6"/>
      <c r="WN7" s="443"/>
      <c r="WO7" s="443"/>
      <c r="WP7" s="443"/>
      <c r="WQ7" s="443"/>
      <c r="WR7" s="443"/>
      <c r="WS7" s="6"/>
      <c r="WT7" s="6"/>
      <c r="WU7" s="6"/>
      <c r="WV7" s="6"/>
      <c r="WW7" s="6" t="s">
        <v>640</v>
      </c>
      <c r="WX7" s="455"/>
      <c r="WY7" s="455"/>
      <c r="WZ7" s="455"/>
      <c r="XA7" s="455"/>
      <c r="XB7" s="455"/>
      <c r="XC7" s="399"/>
      <c r="XD7" s="6"/>
      <c r="XE7" s="443"/>
      <c r="XF7" s="443"/>
      <c r="XG7" s="443"/>
      <c r="XH7" s="443"/>
      <c r="XI7" s="443"/>
      <c r="XJ7" s="6"/>
      <c r="XK7" s="6"/>
      <c r="XL7" s="6"/>
      <c r="XM7" s="6"/>
      <c r="XN7" s="6"/>
      <c r="XO7" s="443"/>
      <c r="XP7" s="443"/>
      <c r="XQ7" s="443"/>
      <c r="XR7" s="443"/>
      <c r="XS7" s="443"/>
      <c r="XT7" s="6"/>
      <c r="XU7" s="6"/>
      <c r="XV7" s="6"/>
      <c r="XW7" s="6"/>
      <c r="XX7" s="6" t="s">
        <v>640</v>
      </c>
      <c r="XY7" s="455"/>
      <c r="XZ7" s="455"/>
      <c r="YA7" s="455"/>
      <c r="YB7" s="455"/>
      <c r="YC7" s="455"/>
      <c r="YD7" s="399"/>
      <c r="YE7" s="6"/>
      <c r="YF7" s="443"/>
      <c r="YG7" s="443"/>
      <c r="YH7" s="443"/>
      <c r="YI7" s="443"/>
      <c r="YJ7" s="443"/>
      <c r="YK7" s="6"/>
      <c r="YL7" s="6"/>
      <c r="YM7" s="6"/>
      <c r="YN7" s="6"/>
      <c r="YO7" s="6"/>
      <c r="YP7" s="443"/>
      <c r="YQ7" s="443"/>
      <c r="YR7" s="443"/>
      <c r="YS7" s="443"/>
      <c r="YT7" s="443"/>
      <c r="YU7" s="456" t="s">
        <v>640</v>
      </c>
      <c r="YV7" s="456"/>
      <c r="YW7" s="456"/>
      <c r="YX7" s="456"/>
      <c r="YY7" s="456"/>
      <c r="YZ7" s="455"/>
      <c r="ZA7" s="455"/>
      <c r="ZB7" s="455"/>
      <c r="ZC7" s="455"/>
      <c r="ZD7" s="455"/>
      <c r="ZE7" s="399"/>
      <c r="ZF7" s="6"/>
      <c r="ZG7" s="443"/>
      <c r="ZH7" s="443"/>
      <c r="ZI7" s="443"/>
      <c r="ZJ7" s="443"/>
      <c r="ZK7" s="443"/>
      <c r="ZL7" s="6"/>
      <c r="ZM7" s="6"/>
      <c r="ZN7" s="6"/>
      <c r="ZO7" s="6"/>
      <c r="ZP7" s="6"/>
      <c r="ZQ7" s="443"/>
      <c r="ZR7" s="443"/>
      <c r="ZS7" s="443"/>
      <c r="ZT7" s="443"/>
      <c r="ZU7" s="443"/>
      <c r="ZV7" s="456" t="s">
        <v>640</v>
      </c>
      <c r="ZW7" s="456"/>
      <c r="ZX7" s="456"/>
      <c r="ZY7" s="456"/>
      <c r="ZZ7" s="456"/>
      <c r="AAA7" s="455"/>
      <c r="AAB7" s="455"/>
      <c r="AAC7" s="455"/>
      <c r="AAD7" s="455"/>
      <c r="AAE7" s="455"/>
      <c r="AAF7" s="399"/>
      <c r="AAG7" s="6"/>
      <c r="AAH7" s="443"/>
      <c r="AAI7" s="443"/>
      <c r="AAJ7" s="443"/>
      <c r="AAK7" s="443"/>
      <c r="AAL7" s="443"/>
      <c r="AAM7" s="6"/>
      <c r="AAN7" s="6"/>
      <c r="AAO7" s="6"/>
      <c r="AAP7" s="6"/>
      <c r="AAQ7" s="6"/>
      <c r="AAR7" s="443"/>
      <c r="AAS7" s="443"/>
      <c r="AAT7" s="443"/>
      <c r="AAU7" s="443"/>
      <c r="AAV7" s="443"/>
      <c r="AAW7" s="6"/>
      <c r="AAX7" s="6"/>
      <c r="AAY7" s="6"/>
      <c r="AAZ7" s="6"/>
      <c r="ABA7" s="444" t="s">
        <v>640</v>
      </c>
      <c r="ABB7" s="455"/>
      <c r="ABC7" s="455"/>
      <c r="ABD7" s="455"/>
      <c r="ABE7" s="455"/>
      <c r="ABF7" s="455"/>
      <c r="ABG7" s="399"/>
      <c r="ABH7" s="6"/>
      <c r="ABI7" s="443"/>
      <c r="ABJ7" s="443"/>
      <c r="ABK7" s="443"/>
      <c r="ABL7" s="443"/>
      <c r="ABM7" s="443"/>
      <c r="ABN7" s="6"/>
      <c r="ABO7" s="6"/>
      <c r="ABP7" s="6"/>
      <c r="ABQ7" s="6"/>
      <c r="ABR7" s="6"/>
      <c r="ABS7" s="443"/>
      <c r="ABT7" s="443"/>
      <c r="ABU7" s="443"/>
      <c r="ABV7" s="443"/>
      <c r="ABW7" s="443"/>
      <c r="ABX7" s="6"/>
      <c r="ABY7" s="6"/>
      <c r="ABZ7" s="6"/>
      <c r="ACA7" s="6"/>
      <c r="ACB7" s="79" t="s">
        <v>640</v>
      </c>
      <c r="ACC7" s="455"/>
      <c r="ACD7" s="455"/>
      <c r="ACE7" s="455"/>
      <c r="ACF7" s="455"/>
      <c r="ACG7" s="455"/>
      <c r="ACH7" s="399"/>
      <c r="ACI7" s="6"/>
      <c r="ACJ7" s="443"/>
      <c r="ACK7" s="443"/>
      <c r="ACL7" s="443"/>
      <c r="ACM7" s="443"/>
      <c r="ACN7" s="443"/>
      <c r="ACO7" s="6"/>
      <c r="ACP7" s="6"/>
      <c r="ACQ7" s="6"/>
      <c r="ACR7" s="6"/>
      <c r="ACS7" s="6"/>
      <c r="ACT7" s="443"/>
      <c r="ACU7" s="443"/>
      <c r="ACV7" s="443"/>
      <c r="ACW7" s="443"/>
      <c r="ACX7" s="443"/>
      <c r="ACY7" s="452"/>
      <c r="ACZ7" s="452"/>
      <c r="ADA7" s="452"/>
      <c r="ADB7" s="452"/>
      <c r="ADC7" s="444" t="s">
        <v>640</v>
      </c>
      <c r="ADD7" s="455"/>
      <c r="ADE7" s="455"/>
      <c r="ADF7" s="455"/>
      <c r="ADG7" s="455"/>
      <c r="ADH7" s="455"/>
      <c r="ADI7" s="399"/>
      <c r="ADJ7" s="6"/>
      <c r="ADK7" s="443"/>
      <c r="ADL7" s="443"/>
      <c r="ADM7" s="443"/>
      <c r="ADN7" s="443"/>
      <c r="ADO7" s="443"/>
      <c r="ADP7" s="6"/>
      <c r="ADQ7" s="6"/>
      <c r="ADR7" s="6"/>
      <c r="ADS7" s="6"/>
      <c r="ADT7" s="6"/>
      <c r="ADU7" s="443"/>
      <c r="ADV7" s="456" t="s">
        <v>640</v>
      </c>
      <c r="ADW7" s="456"/>
      <c r="ADX7" s="456"/>
      <c r="ADY7" s="456"/>
      <c r="ADZ7" s="456"/>
      <c r="AEA7" s="456"/>
      <c r="AEB7" s="456"/>
      <c r="AEC7" s="456"/>
      <c r="AED7" s="456"/>
      <c r="AEE7" s="455"/>
      <c r="AEF7" s="455"/>
      <c r="AEG7" s="455"/>
      <c r="AEH7" s="455"/>
      <c r="AEI7" s="455"/>
      <c r="AEJ7" s="399"/>
      <c r="AEK7" s="6"/>
      <c r="AEL7" s="443"/>
      <c r="AEM7" s="443"/>
      <c r="AEN7" s="443"/>
      <c r="AEO7" s="443"/>
      <c r="AEP7" s="443"/>
      <c r="AEQ7" s="6"/>
      <c r="AER7" s="6"/>
      <c r="AES7" s="6"/>
      <c r="AET7" s="6"/>
      <c r="AEU7" s="6"/>
      <c r="AEV7" s="443"/>
      <c r="AEW7" s="443"/>
      <c r="AEX7" s="443"/>
      <c r="AEY7" s="443"/>
      <c r="AEZ7" s="443"/>
      <c r="AFA7" s="443"/>
      <c r="AFB7" s="443"/>
      <c r="AFC7" s="443"/>
      <c r="AFD7" s="443"/>
      <c r="AFE7" s="79" t="s">
        <v>640</v>
      </c>
      <c r="AFF7" s="455"/>
      <c r="AFG7" s="455"/>
      <c r="AFH7" s="455"/>
      <c r="AFI7" s="455"/>
      <c r="AFJ7" s="455"/>
      <c r="AFK7" s="399"/>
      <c r="AFL7" s="6"/>
      <c r="AFM7" s="443"/>
      <c r="AFN7" s="443"/>
      <c r="AFO7" s="443"/>
      <c r="AFP7" s="443"/>
      <c r="AFQ7" s="443"/>
      <c r="AFR7" s="6"/>
      <c r="AFS7" s="6"/>
      <c r="AFT7" s="6"/>
      <c r="AFU7" s="6"/>
      <c r="AFV7" s="6"/>
      <c r="AFW7" s="443"/>
      <c r="AFX7" s="443"/>
      <c r="AFY7" s="443"/>
      <c r="AFZ7" s="443"/>
      <c r="AGA7" s="456" t="s">
        <v>640</v>
      </c>
      <c r="AGB7" s="456"/>
      <c r="AGC7" s="456"/>
      <c r="AGD7" s="456"/>
      <c r="AGE7" s="456"/>
      <c r="AGF7" s="456"/>
      <c r="AGG7" s="455"/>
      <c r="AGH7" s="455"/>
      <c r="AGI7" s="455"/>
      <c r="AGJ7" s="455"/>
      <c r="AGK7" s="455"/>
      <c r="AGL7" s="399"/>
      <c r="AGM7" s="6"/>
      <c r="AGN7" s="443"/>
      <c r="AGO7" s="443"/>
      <c r="AGP7" s="443"/>
      <c r="AGQ7" s="443"/>
      <c r="AGR7" s="443"/>
      <c r="AGS7" s="6"/>
      <c r="AGT7" s="6"/>
      <c r="AGU7" s="6"/>
      <c r="AGV7" s="6"/>
      <c r="AGW7" s="6"/>
      <c r="AGX7" s="443"/>
      <c r="AGY7" s="443"/>
      <c r="AGZ7" s="443"/>
      <c r="AHA7" s="443"/>
      <c r="AHB7" s="443"/>
      <c r="AHC7" s="6"/>
      <c r="AHD7" s="6"/>
      <c r="AHE7" s="6"/>
      <c r="AHF7" s="6"/>
      <c r="AHG7" s="6" t="s">
        <v>640</v>
      </c>
      <c r="AHH7" s="455"/>
      <c r="AHI7" s="455"/>
      <c r="AHJ7" s="455"/>
      <c r="AHK7" s="455"/>
      <c r="AHL7" s="455"/>
      <c r="AHM7" s="399"/>
      <c r="AHN7" s="6"/>
      <c r="AHO7" s="443"/>
      <c r="AHP7" s="443"/>
      <c r="AHQ7" s="443"/>
      <c r="AHR7" s="443"/>
      <c r="AHS7" s="443"/>
      <c r="AHT7" s="6"/>
      <c r="AHU7" s="6"/>
      <c r="AHV7" s="6"/>
      <c r="AHW7" s="6"/>
      <c r="AHX7" s="6"/>
      <c r="AHY7" s="445"/>
      <c r="AHZ7" s="445"/>
      <c r="AIA7" s="445"/>
      <c r="AIB7" s="445"/>
      <c r="AIC7" s="445"/>
      <c r="AID7" s="445"/>
      <c r="AIE7" s="445"/>
      <c r="AIF7" s="445"/>
      <c r="AIG7" s="445"/>
      <c r="AIH7" s="79" t="s">
        <v>640</v>
      </c>
      <c r="AII7" s="455"/>
      <c r="AIJ7" s="455"/>
      <c r="AIK7" s="455"/>
      <c r="AIL7" s="455"/>
      <c r="AIM7" s="455"/>
      <c r="AIN7" s="399"/>
      <c r="AIO7" s="6"/>
      <c r="AIP7" s="443"/>
      <c r="AIQ7" s="443"/>
      <c r="AIR7" s="443"/>
      <c r="AIS7" s="443"/>
      <c r="AIT7" s="443"/>
      <c r="AIU7" s="6"/>
      <c r="AIV7" s="6"/>
      <c r="AIW7" s="6"/>
      <c r="AIX7" s="6"/>
      <c r="AIY7" s="6"/>
      <c r="AIZ7" s="445"/>
      <c r="AJA7" s="445"/>
      <c r="AJB7" s="445"/>
      <c r="AJC7" s="445"/>
      <c r="AJD7" s="445"/>
      <c r="AJE7" s="445"/>
      <c r="AJF7" s="445"/>
      <c r="AJG7" s="445"/>
      <c r="AJH7" s="445"/>
      <c r="AJI7" s="79" t="s">
        <v>640</v>
      </c>
      <c r="AJJ7" s="455"/>
      <c r="AJK7" s="455"/>
      <c r="AJL7" s="455"/>
      <c r="AJM7" s="455"/>
      <c r="AJN7" s="455"/>
      <c r="AJO7" s="399"/>
      <c r="AJP7" s="6"/>
      <c r="AJQ7" s="443"/>
      <c r="AJR7" s="443"/>
      <c r="AJS7" s="443"/>
      <c r="AJT7" s="443"/>
      <c r="AJU7" s="443"/>
      <c r="AJV7" s="6"/>
      <c r="AJW7" s="6"/>
      <c r="AJX7" s="6"/>
      <c r="AJY7" s="6"/>
      <c r="AJZ7" s="6"/>
      <c r="AKA7" s="445"/>
      <c r="AKB7" s="445"/>
      <c r="AKC7" s="445"/>
      <c r="AKD7" s="445"/>
      <c r="AKE7" s="445"/>
      <c r="AKF7" s="445"/>
      <c r="AKG7" s="445"/>
      <c r="AKH7" s="445"/>
      <c r="AKI7" s="445"/>
      <c r="AKJ7" s="79" t="s">
        <v>800</v>
      </c>
      <c r="AKK7" s="446"/>
      <c r="AKL7" s="446"/>
      <c r="AKM7" s="446"/>
      <c r="AKN7" s="446"/>
      <c r="AKO7" s="446"/>
      <c r="AKP7" s="446"/>
      <c r="AKQ7" s="446"/>
      <c r="AKR7" s="446"/>
      <c r="AKS7" s="446"/>
      <c r="AKT7" s="446"/>
      <c r="AKU7" s="446"/>
      <c r="AKV7" s="446"/>
      <c r="AKW7" s="446"/>
      <c r="AKX7" s="446"/>
      <c r="AKY7" s="446"/>
      <c r="AKZ7" s="446"/>
      <c r="ALA7" s="446"/>
      <c r="ALB7" s="446"/>
      <c r="ALC7" s="446"/>
      <c r="ALD7" s="446"/>
      <c r="ALE7" s="446"/>
      <c r="ALF7" s="446"/>
      <c r="ALG7" s="446"/>
      <c r="ALH7" s="446"/>
      <c r="ALI7" s="446"/>
      <c r="ALJ7" s="446"/>
      <c r="ALK7" s="79" t="s">
        <v>800</v>
      </c>
      <c r="ALL7" s="455"/>
      <c r="ALM7" s="455"/>
      <c r="ALN7" s="455"/>
      <c r="ALO7" s="455"/>
      <c r="ALP7" s="455"/>
      <c r="ALQ7" s="399"/>
      <c r="ALR7" s="6"/>
      <c r="ALS7" s="443"/>
      <c r="ALT7" s="443"/>
      <c r="ALU7" s="443"/>
      <c r="ALV7" s="443"/>
      <c r="ALW7" s="443"/>
      <c r="ALX7" s="6"/>
      <c r="ALY7" s="6"/>
      <c r="ALZ7" s="6"/>
      <c r="AMA7" s="6"/>
      <c r="AMB7" s="6"/>
      <c r="AMC7" s="445"/>
      <c r="AMD7" s="445"/>
      <c r="AME7" s="445"/>
      <c r="AMF7" s="445"/>
      <c r="AMG7" s="445"/>
      <c r="AMH7" s="445"/>
      <c r="AMI7" s="445"/>
      <c r="AMJ7" s="445"/>
      <c r="AMK7" s="445"/>
      <c r="AML7" s="79" t="s">
        <v>800</v>
      </c>
      <c r="AMM7" s="455"/>
      <c r="AMN7" s="455"/>
      <c r="AMO7" s="455"/>
      <c r="AMP7" s="455"/>
      <c r="AMQ7" s="455"/>
      <c r="AMR7" s="399"/>
      <c r="AMS7" s="6"/>
      <c r="AMT7" s="443"/>
      <c r="AMU7" s="443"/>
      <c r="AMV7" s="443"/>
      <c r="AMW7" s="443"/>
      <c r="AMX7" s="443"/>
      <c r="AMY7" s="6"/>
      <c r="AMZ7" s="6"/>
      <c r="ANA7" s="6"/>
      <c r="ANB7" s="6"/>
      <c r="ANC7" s="6"/>
      <c r="AND7" s="445"/>
      <c r="ANE7" s="445"/>
      <c r="ANF7" s="445"/>
      <c r="ANG7" s="445"/>
      <c r="ANH7" s="445"/>
      <c r="ANI7" s="445"/>
      <c r="ANJ7" s="445"/>
      <c r="ANK7" s="445"/>
      <c r="ANL7" s="445"/>
      <c r="ANM7" s="79" t="s">
        <v>800</v>
      </c>
      <c r="ANN7" s="455"/>
      <c r="ANO7" s="455"/>
      <c r="ANP7" s="455"/>
      <c r="ANQ7" s="455"/>
      <c r="ANR7" s="455"/>
      <c r="ANS7" s="399"/>
      <c r="ANT7" s="6"/>
      <c r="ANU7" s="443"/>
      <c r="ANV7" s="443"/>
      <c r="ANW7" s="443"/>
      <c r="ANX7" s="443"/>
      <c r="ANY7" s="443"/>
      <c r="ANZ7" s="6"/>
      <c r="AOA7" s="6"/>
      <c r="AOB7" s="6"/>
      <c r="AOC7" s="6"/>
      <c r="AOD7" s="6"/>
      <c r="AOE7" s="445"/>
      <c r="AOF7" s="445"/>
      <c r="AOG7" s="445"/>
      <c r="AOH7" s="445"/>
      <c r="AOI7" s="445"/>
      <c r="AOJ7" s="445"/>
      <c r="AOK7" s="445"/>
      <c r="AOL7" s="445"/>
      <c r="AOM7" s="445"/>
      <c r="AON7" s="445"/>
      <c r="AOO7" s="79" t="s">
        <v>800</v>
      </c>
      <c r="AOP7" s="455"/>
      <c r="AOQ7" s="455"/>
      <c r="AOR7" s="455"/>
      <c r="AOS7" s="455"/>
      <c r="AOT7" s="455"/>
      <c r="AOU7" s="399"/>
      <c r="AOV7" s="6"/>
      <c r="AOW7" s="443"/>
      <c r="AOX7" s="443"/>
      <c r="AOY7" s="443"/>
      <c r="AOZ7" s="443"/>
      <c r="APA7" s="443"/>
      <c r="APB7" s="6"/>
      <c r="APC7" s="6"/>
      <c r="APD7" s="6"/>
      <c r="APE7" s="6"/>
      <c r="APF7" s="6"/>
      <c r="APG7" s="456" t="s">
        <v>800</v>
      </c>
      <c r="APH7" s="456"/>
      <c r="API7" s="456"/>
      <c r="APJ7" s="456"/>
      <c r="APK7" s="456"/>
      <c r="APL7" s="456"/>
      <c r="APM7" s="456"/>
      <c r="APN7" s="456"/>
      <c r="APO7" s="456"/>
      <c r="APP7" s="456"/>
      <c r="APQ7" s="455"/>
      <c r="APR7" s="455"/>
      <c r="APS7" s="455"/>
      <c r="APT7" s="455"/>
      <c r="APU7" s="455"/>
      <c r="APV7" s="399"/>
      <c r="APW7" s="6"/>
      <c r="APX7" s="443"/>
      <c r="APY7" s="443"/>
      <c r="APZ7" s="443"/>
      <c r="AQA7" s="443"/>
      <c r="AQB7" s="443"/>
      <c r="AQC7" s="6"/>
      <c r="AQD7" s="6"/>
      <c r="AQE7" s="6"/>
      <c r="AQF7" s="6"/>
      <c r="AQG7" s="6"/>
      <c r="AQH7" s="443"/>
      <c r="AQI7" s="443"/>
      <c r="AQJ7" s="443"/>
      <c r="AQK7" s="443"/>
      <c r="AQL7" s="443"/>
      <c r="AQM7" s="443"/>
      <c r="AQN7" s="443"/>
      <c r="AQO7" s="443"/>
      <c r="AQP7" s="443"/>
      <c r="AQQ7" s="79" t="s">
        <v>640</v>
      </c>
      <c r="AQR7" s="455"/>
      <c r="AQS7" s="455"/>
      <c r="AQT7" s="455"/>
      <c r="AQU7" s="455"/>
      <c r="AQV7" s="455"/>
      <c r="AQW7" s="399"/>
      <c r="AQX7" s="6"/>
      <c r="AQY7" s="443"/>
      <c r="AQZ7" s="443"/>
      <c r="ARA7" s="443"/>
      <c r="ARB7" s="443"/>
      <c r="ARC7" s="443"/>
      <c r="ARD7" s="6"/>
      <c r="ARE7" s="6"/>
      <c r="ARF7" s="6"/>
      <c r="ARG7" s="6"/>
      <c r="ARH7" s="6"/>
      <c r="ARI7" s="443"/>
      <c r="ARJ7" s="443"/>
      <c r="ARK7" s="443"/>
      <c r="ARL7" s="443"/>
      <c r="ARM7" s="443"/>
      <c r="ARN7" s="6"/>
      <c r="ARO7" s="6"/>
      <c r="ARP7" s="6"/>
      <c r="ARQ7" s="6"/>
      <c r="ARR7" s="6" t="s">
        <v>640</v>
      </c>
      <c r="ARS7" s="455"/>
      <c r="ART7" s="455"/>
      <c r="ARU7" s="455"/>
      <c r="ARV7" s="455"/>
      <c r="ARW7" s="455"/>
      <c r="ARX7" s="399"/>
      <c r="ARY7" s="6"/>
      <c r="ARZ7" s="443"/>
      <c r="ASA7" s="443"/>
      <c r="ASB7" s="443"/>
      <c r="ASC7" s="443"/>
      <c r="ASD7" s="443"/>
      <c r="ASE7" s="6"/>
      <c r="ASF7" s="6"/>
      <c r="ASG7" s="6"/>
      <c r="ASH7" s="6"/>
      <c r="ASI7" s="6"/>
      <c r="ASJ7" s="443"/>
      <c r="ASK7" s="443"/>
      <c r="ASL7" s="443"/>
      <c r="ASM7" s="443"/>
      <c r="ASN7" s="443"/>
      <c r="ASO7" s="443"/>
      <c r="ASP7" s="443"/>
      <c r="ASQ7" s="443"/>
      <c r="ASR7" s="443"/>
      <c r="ASS7" s="6" t="s">
        <v>640</v>
      </c>
      <c r="AST7" s="455"/>
      <c r="ASU7" s="455"/>
      <c r="ASV7" s="455"/>
      <c r="ASW7" s="455"/>
      <c r="ASX7" s="455"/>
      <c r="ASY7" s="399"/>
      <c r="ASZ7" s="6"/>
      <c r="ATA7" s="443"/>
      <c r="ATB7" s="443"/>
      <c r="ATC7" s="443"/>
      <c r="ATD7" s="443"/>
      <c r="ATE7" s="443"/>
      <c r="ATF7" s="6"/>
      <c r="ATG7" s="6"/>
      <c r="ATH7" s="6"/>
      <c r="ATI7" s="6"/>
      <c r="ATJ7" s="6"/>
      <c r="ATK7" s="443"/>
      <c r="ATL7" s="443"/>
      <c r="ATM7" s="443"/>
      <c r="ATN7" s="443"/>
      <c r="ATO7" s="443"/>
      <c r="ATP7" s="6"/>
      <c r="ATQ7" s="6"/>
      <c r="ATR7" s="6"/>
      <c r="ATS7" s="6"/>
      <c r="ATT7" s="6" t="s">
        <v>640</v>
      </c>
      <c r="ATU7" s="455"/>
      <c r="ATV7" s="455"/>
      <c r="ATW7" s="455"/>
      <c r="ATX7" s="455"/>
      <c r="ATY7" s="455"/>
      <c r="ATZ7" s="399"/>
      <c r="AUA7" s="6"/>
      <c r="AUB7" s="443"/>
      <c r="AUC7" s="443"/>
      <c r="AUD7" s="443"/>
      <c r="AUE7" s="443"/>
      <c r="AUF7" s="443"/>
      <c r="AUG7" s="6"/>
      <c r="AUH7" s="6"/>
      <c r="AUI7" s="6"/>
      <c r="AUJ7" s="6"/>
      <c r="AUK7" s="6"/>
      <c r="AUL7" s="443"/>
      <c r="AUM7" s="443"/>
      <c r="AUN7" s="443"/>
      <c r="AUO7" s="443"/>
      <c r="AUP7" s="443"/>
      <c r="AUQ7" s="6"/>
      <c r="AUR7" s="6"/>
      <c r="AUS7" s="6"/>
      <c r="AUT7" s="6"/>
      <c r="AUU7" s="6" t="s">
        <v>640</v>
      </c>
      <c r="AUV7" s="455"/>
      <c r="AUW7" s="455"/>
      <c r="AUX7" s="455"/>
      <c r="AUY7" s="455"/>
      <c r="AUZ7" s="455"/>
      <c r="AVA7" s="399"/>
      <c r="AVB7" s="6"/>
      <c r="AVC7" s="443"/>
      <c r="AVD7" s="443"/>
      <c r="AVE7" s="443"/>
      <c r="AVF7" s="443"/>
      <c r="AVG7" s="443"/>
      <c r="AVH7" s="6"/>
      <c r="AVI7" s="6"/>
      <c r="AVJ7" s="6"/>
      <c r="AVK7" s="6"/>
      <c r="AVL7" s="6"/>
      <c r="AVM7" s="443"/>
      <c r="AVN7" s="443"/>
      <c r="AVO7" s="443"/>
      <c r="AVP7" s="443"/>
      <c r="AVQ7" s="443"/>
      <c r="AVR7" s="6"/>
      <c r="AVS7" s="6"/>
      <c r="AVT7" s="6"/>
      <c r="AVU7" s="6"/>
      <c r="AVV7" s="6" t="s">
        <v>592</v>
      </c>
      <c r="AVW7" s="455"/>
      <c r="AVX7" s="455"/>
      <c r="AVY7" s="455"/>
      <c r="AVZ7" s="455"/>
      <c r="AWA7" s="455"/>
      <c r="AWB7" s="399"/>
      <c r="AWC7" s="6"/>
      <c r="AWD7" s="443"/>
      <c r="AWE7" s="443"/>
      <c r="AWF7" s="443"/>
      <c r="AWG7" s="443"/>
      <c r="AWH7" s="443"/>
      <c r="AWI7" s="6"/>
      <c r="AWJ7" s="6"/>
      <c r="AWK7" s="6"/>
      <c r="AWL7" s="6"/>
      <c r="AWM7" s="6"/>
      <c r="AWN7" s="443"/>
      <c r="AWO7" s="443"/>
      <c r="AWP7" s="443"/>
      <c r="AWQ7" s="443"/>
      <c r="AWR7" s="443"/>
      <c r="AWS7" s="443"/>
      <c r="AWT7" s="443"/>
      <c r="AWU7" s="443"/>
      <c r="AWV7" s="443"/>
      <c r="AWW7" s="6" t="s">
        <v>592</v>
      </c>
      <c r="AWX7" s="455"/>
      <c r="AWY7" s="455"/>
      <c r="AWZ7" s="455"/>
      <c r="AXA7" s="455"/>
      <c r="AXB7" s="455"/>
      <c r="AXC7" s="399"/>
      <c r="AXD7" s="6"/>
      <c r="AXE7" s="443"/>
      <c r="AXF7" s="443"/>
      <c r="AXG7" s="443"/>
      <c r="AXH7" s="443"/>
      <c r="AXI7" s="443"/>
      <c r="AXJ7" s="6"/>
      <c r="AXK7" s="6"/>
      <c r="AXL7" s="6"/>
      <c r="AXM7" s="6"/>
      <c r="AXN7" s="6"/>
      <c r="AXO7" s="443"/>
      <c r="AXP7" s="443"/>
      <c r="AXQ7" s="443"/>
      <c r="AXR7" s="443"/>
      <c r="AXS7" s="443"/>
      <c r="AXT7" s="6"/>
      <c r="AXU7" s="6"/>
      <c r="AXV7" s="6"/>
      <c r="AXW7" s="6"/>
      <c r="AXX7" s="6" t="s">
        <v>640</v>
      </c>
      <c r="AXY7" s="455"/>
      <c r="AXZ7" s="455"/>
      <c r="AYA7" s="455"/>
      <c r="AYB7" s="455"/>
      <c r="AYC7" s="455"/>
      <c r="AYD7" s="399"/>
      <c r="AYE7" s="6"/>
      <c r="AYF7" s="443"/>
      <c r="AYG7" s="443"/>
      <c r="AYH7" s="443"/>
      <c r="AYI7" s="443"/>
      <c r="AYJ7" s="443"/>
      <c r="AYK7" s="6"/>
      <c r="AYL7" s="6"/>
      <c r="AYM7" s="6"/>
      <c r="AYN7" s="6"/>
      <c r="AYO7" s="6"/>
      <c r="AYP7" s="442"/>
      <c r="AYQ7" s="442"/>
      <c r="AYR7" s="442"/>
      <c r="AYS7" s="442"/>
      <c r="AYT7" s="443"/>
      <c r="AYU7" s="6"/>
      <c r="AYV7" s="6"/>
      <c r="AYW7" s="6"/>
      <c r="AYX7" s="6"/>
      <c r="AYY7" s="6" t="s">
        <v>592</v>
      </c>
      <c r="AYZ7" s="455"/>
      <c r="AZA7" s="455"/>
      <c r="AZB7" s="455"/>
      <c r="AZC7" s="455"/>
      <c r="AZD7" s="455"/>
      <c r="AZE7" s="399"/>
      <c r="AZF7" s="6"/>
      <c r="AZG7" s="443"/>
      <c r="AZH7" s="443"/>
      <c r="AZI7" s="443"/>
      <c r="AZJ7" s="443"/>
      <c r="AZK7" s="443"/>
      <c r="AZL7" s="6"/>
      <c r="AZM7" s="6"/>
      <c r="AZN7" s="6"/>
      <c r="AZO7" s="6"/>
      <c r="AZP7" s="6"/>
      <c r="AZQ7" s="442"/>
      <c r="AZR7" s="442"/>
      <c r="AZS7" s="442"/>
      <c r="AZT7" s="442"/>
      <c r="AZU7" s="443"/>
      <c r="AZV7" s="6"/>
      <c r="AZW7" s="6"/>
      <c r="AZX7" s="6"/>
      <c r="AZY7" s="6"/>
      <c r="AZZ7" s="6" t="s">
        <v>592</v>
      </c>
      <c r="BAA7" s="455"/>
      <c r="BAB7" s="455"/>
      <c r="BAC7" s="455"/>
      <c r="BAD7" s="455"/>
      <c r="BAE7" s="455"/>
      <c r="BAF7" s="399"/>
      <c r="BAG7" s="6"/>
      <c r="BAH7" s="443"/>
      <c r="BAI7" s="443"/>
      <c r="BAJ7" s="443"/>
      <c r="BAK7" s="443"/>
      <c r="BAL7" s="443"/>
      <c r="BAM7" s="6"/>
      <c r="BAN7" s="6"/>
      <c r="BAO7" s="6"/>
      <c r="BAP7" s="6"/>
      <c r="BAQ7" s="6"/>
      <c r="BAR7" s="443"/>
      <c r="BAS7" s="443"/>
      <c r="BAT7" s="443"/>
      <c r="BAU7" s="443"/>
      <c r="BAV7" s="443"/>
      <c r="BAW7" s="6"/>
      <c r="BAX7" s="6"/>
      <c r="BAY7" s="6"/>
      <c r="BAZ7" s="6"/>
      <c r="BBA7" s="6" t="s">
        <v>640</v>
      </c>
      <c r="BBB7" s="455"/>
      <c r="BBC7" s="455"/>
      <c r="BBD7" s="455"/>
      <c r="BBE7" s="455"/>
      <c r="BBF7" s="455"/>
      <c r="BBG7" s="399"/>
      <c r="BBH7" s="6"/>
      <c r="BBI7" s="443"/>
      <c r="BBJ7" s="443"/>
      <c r="BBK7" s="443"/>
      <c r="BBL7" s="443"/>
      <c r="BBM7" s="443"/>
      <c r="BBN7" s="6"/>
      <c r="BBO7" s="6"/>
      <c r="BBP7" s="6"/>
      <c r="BBQ7" s="6"/>
      <c r="BBR7" s="6"/>
      <c r="BBS7" s="443"/>
      <c r="BBT7" s="443"/>
      <c r="BBU7" s="443"/>
      <c r="BBV7" s="443"/>
      <c r="BBW7" s="443"/>
      <c r="BBX7" s="443"/>
      <c r="BBY7" s="443"/>
      <c r="BBZ7" s="443"/>
      <c r="BCA7" s="443"/>
      <c r="BCB7" s="6" t="s">
        <v>640</v>
      </c>
      <c r="BCC7" s="455"/>
      <c r="BCD7" s="455"/>
      <c r="BCE7" s="455"/>
      <c r="BCF7" s="455"/>
      <c r="BCG7" s="455"/>
      <c r="BCH7" s="399"/>
      <c r="BCI7" s="6"/>
      <c r="BCJ7" s="443"/>
      <c r="BCK7" s="443"/>
      <c r="BCL7" s="443"/>
      <c r="BCM7" s="443"/>
      <c r="BCN7" s="443"/>
      <c r="BCO7" s="6"/>
      <c r="BCP7" s="6"/>
      <c r="BCQ7" s="6"/>
      <c r="BCR7" s="6"/>
      <c r="BCS7" s="6"/>
      <c r="BCT7" s="443"/>
      <c r="BCU7" s="443"/>
      <c r="BCV7" s="443"/>
      <c r="BCW7" s="443"/>
      <c r="BCX7" s="6"/>
      <c r="BCY7" s="443"/>
      <c r="BCZ7" s="443"/>
      <c r="BDA7" s="443"/>
      <c r="BDB7" s="443"/>
      <c r="BDC7" s="79" t="s">
        <v>640</v>
      </c>
      <c r="BDD7" s="455"/>
      <c r="BDE7" s="455"/>
      <c r="BDF7" s="455"/>
      <c r="BDG7" s="455"/>
      <c r="BDH7" s="455"/>
      <c r="BDI7" s="399"/>
      <c r="BDJ7" s="6"/>
      <c r="BDK7" s="443"/>
      <c r="BDL7" s="443"/>
      <c r="BDM7" s="443"/>
      <c r="BDN7" s="443"/>
      <c r="BDO7" s="443"/>
      <c r="BDP7" s="6"/>
      <c r="BDQ7" s="6"/>
      <c r="BDR7" s="6"/>
      <c r="BDS7" s="6"/>
      <c r="BDT7" s="6"/>
      <c r="BDU7" s="443"/>
      <c r="BDV7" s="443"/>
      <c r="BDW7" s="443"/>
      <c r="BDX7" s="443"/>
      <c r="BDY7" s="443"/>
      <c r="BDZ7" s="6"/>
      <c r="BEA7" s="6"/>
      <c r="BEB7" s="6"/>
      <c r="BEC7" s="6"/>
      <c r="BED7" s="6" t="s">
        <v>640</v>
      </c>
      <c r="BEE7" s="455"/>
      <c r="BEF7" s="455"/>
      <c r="BEG7" s="455"/>
      <c r="BEH7" s="455"/>
      <c r="BEI7" s="455"/>
      <c r="BEJ7" s="399"/>
      <c r="BEK7" s="6"/>
      <c r="BEL7" s="443"/>
      <c r="BEM7" s="443"/>
      <c r="BEN7" s="443"/>
      <c r="BEO7" s="443"/>
      <c r="BEP7" s="443"/>
      <c r="BEQ7" s="6"/>
      <c r="BER7" s="6"/>
      <c r="BES7" s="6"/>
      <c r="BET7" s="6"/>
      <c r="BEU7" s="6"/>
      <c r="BEV7" s="443"/>
      <c r="BEW7" s="443"/>
      <c r="BEX7" s="443"/>
      <c r="BEY7" s="443"/>
      <c r="BEZ7" s="443"/>
      <c r="BFA7" s="6"/>
      <c r="BFB7" s="6"/>
      <c r="BFC7" s="6"/>
      <c r="BFD7" s="6"/>
      <c r="BFE7" s="6" t="s">
        <v>640</v>
      </c>
      <c r="BFF7" s="455"/>
      <c r="BFG7" s="455"/>
      <c r="BFH7" s="455"/>
      <c r="BFI7" s="455"/>
      <c r="BFJ7" s="455"/>
      <c r="BFK7" s="399"/>
      <c r="BFL7" s="6"/>
      <c r="BFM7" s="443"/>
      <c r="BFN7" s="443"/>
      <c r="BFO7" s="443"/>
      <c r="BFP7" s="443"/>
      <c r="BFQ7" s="443"/>
      <c r="BFR7" s="6"/>
      <c r="BFS7" s="6"/>
      <c r="BFT7" s="6"/>
      <c r="BFU7" s="6"/>
      <c r="BFV7" s="6"/>
      <c r="BFW7" s="443"/>
      <c r="BFX7" s="443"/>
      <c r="BFY7" s="443"/>
      <c r="BFZ7" s="443"/>
      <c r="BGA7" s="443"/>
      <c r="BGB7" s="6"/>
      <c r="BGC7" s="6"/>
      <c r="BGD7" s="6"/>
      <c r="BGE7" s="6"/>
      <c r="BGF7" s="6" t="s">
        <v>640</v>
      </c>
    </row>
    <row r="8" spans="1:1540" ht="30" customHeight="1" x14ac:dyDescent="0.4">
      <c r="A8" s="457" t="s">
        <v>684</v>
      </c>
      <c r="B8" s="458"/>
      <c r="C8" s="459"/>
      <c r="D8" s="459"/>
      <c r="E8" s="459"/>
      <c r="F8" s="459"/>
      <c r="G8" s="460"/>
      <c r="H8" s="457">
        <v>1</v>
      </c>
      <c r="I8" s="459"/>
      <c r="J8" s="459"/>
      <c r="K8" s="459"/>
      <c r="L8" s="460"/>
      <c r="M8" s="457">
        <v>2</v>
      </c>
      <c r="N8" s="459"/>
      <c r="O8" s="459"/>
      <c r="P8" s="459"/>
      <c r="Q8" s="460"/>
      <c r="R8" s="457">
        <v>3</v>
      </c>
      <c r="S8" s="459"/>
      <c r="T8" s="459"/>
      <c r="U8" s="459"/>
      <c r="V8" s="460"/>
      <c r="W8" s="457">
        <v>4</v>
      </c>
      <c r="X8" s="459"/>
      <c r="Y8" s="459"/>
      <c r="Z8" s="459"/>
      <c r="AA8" s="460"/>
      <c r="AB8" s="457" t="s">
        <v>684</v>
      </c>
      <c r="AC8" s="458"/>
      <c r="AD8" s="459"/>
      <c r="AE8" s="459"/>
      <c r="AF8" s="459"/>
      <c r="AG8" s="459"/>
      <c r="AH8" s="460"/>
      <c r="AI8" s="457">
        <v>5</v>
      </c>
      <c r="AJ8" s="459"/>
      <c r="AK8" s="459"/>
      <c r="AL8" s="459"/>
      <c r="AM8" s="460"/>
      <c r="AN8" s="457">
        <v>6</v>
      </c>
      <c r="AO8" s="459"/>
      <c r="AP8" s="459"/>
      <c r="AQ8" s="459"/>
      <c r="AR8" s="460"/>
      <c r="AS8" s="457">
        <v>7</v>
      </c>
      <c r="AT8" s="459"/>
      <c r="AU8" s="459"/>
      <c r="AV8" s="459"/>
      <c r="AW8" s="460"/>
      <c r="AX8" s="457">
        <v>8</v>
      </c>
      <c r="AY8" s="459"/>
      <c r="AZ8" s="459"/>
      <c r="BA8" s="459"/>
      <c r="BB8" s="460"/>
      <c r="BC8" s="457" t="s">
        <v>684</v>
      </c>
      <c r="BD8" s="458"/>
      <c r="BE8" s="459"/>
      <c r="BF8" s="459"/>
      <c r="BG8" s="459"/>
      <c r="BH8" s="459"/>
      <c r="BI8" s="460"/>
      <c r="BJ8" s="457">
        <v>9</v>
      </c>
      <c r="BK8" s="459"/>
      <c r="BL8" s="459"/>
      <c r="BM8" s="459"/>
      <c r="BN8" s="460"/>
      <c r="BO8" s="457">
        <v>10</v>
      </c>
      <c r="BP8" s="459"/>
      <c r="BQ8" s="459"/>
      <c r="BR8" s="459"/>
      <c r="BS8" s="460"/>
      <c r="BT8" s="457">
        <v>11</v>
      </c>
      <c r="BU8" s="459"/>
      <c r="BV8" s="459"/>
      <c r="BW8" s="459"/>
      <c r="BX8" s="460"/>
      <c r="BY8" s="457">
        <v>12</v>
      </c>
      <c r="BZ8" s="459"/>
      <c r="CA8" s="459"/>
      <c r="CB8" s="459"/>
      <c r="CC8" s="460"/>
      <c r="CD8" s="457" t="s">
        <v>684</v>
      </c>
      <c r="CE8" s="458"/>
      <c r="CF8" s="459"/>
      <c r="CG8" s="459"/>
      <c r="CH8" s="459"/>
      <c r="CI8" s="459"/>
      <c r="CJ8" s="460"/>
      <c r="CK8" s="457">
        <v>13</v>
      </c>
      <c r="CL8" s="459"/>
      <c r="CM8" s="459"/>
      <c r="CN8" s="459"/>
      <c r="CO8" s="460"/>
      <c r="CP8" s="457">
        <v>14</v>
      </c>
      <c r="CQ8" s="459"/>
      <c r="CR8" s="459"/>
      <c r="CS8" s="459"/>
      <c r="CT8" s="460"/>
      <c r="CU8" s="457">
        <v>15</v>
      </c>
      <c r="CV8" s="459"/>
      <c r="CW8" s="459"/>
      <c r="CX8" s="459"/>
      <c r="CY8" s="460"/>
      <c r="CZ8" s="457">
        <v>16</v>
      </c>
      <c r="DA8" s="459"/>
      <c r="DB8" s="459"/>
      <c r="DC8" s="459"/>
      <c r="DD8" s="460"/>
      <c r="DE8" s="457" t="s">
        <v>684</v>
      </c>
      <c r="DF8" s="458"/>
      <c r="DG8" s="459"/>
      <c r="DH8" s="459"/>
      <c r="DI8" s="459"/>
      <c r="DJ8" s="459"/>
      <c r="DK8" s="460"/>
      <c r="DL8" s="457">
        <v>17</v>
      </c>
      <c r="DM8" s="459"/>
      <c r="DN8" s="459"/>
      <c r="DO8" s="459"/>
      <c r="DP8" s="460"/>
      <c r="DQ8" s="457">
        <v>18</v>
      </c>
      <c r="DR8" s="459"/>
      <c r="DS8" s="459"/>
      <c r="DT8" s="459"/>
      <c r="DU8" s="460"/>
      <c r="DV8" s="457">
        <v>19</v>
      </c>
      <c r="DW8" s="459"/>
      <c r="DX8" s="459"/>
      <c r="DY8" s="459"/>
      <c r="DZ8" s="460"/>
      <c r="EA8" s="457">
        <v>20</v>
      </c>
      <c r="EB8" s="459"/>
      <c r="EC8" s="459"/>
      <c r="ED8" s="459"/>
      <c r="EE8" s="460"/>
      <c r="EF8" s="457" t="s">
        <v>684</v>
      </c>
      <c r="EG8" s="458"/>
      <c r="EH8" s="459"/>
      <c r="EI8" s="459"/>
      <c r="EJ8" s="459"/>
      <c r="EK8" s="459"/>
      <c r="EL8" s="460"/>
      <c r="EM8" s="457">
        <v>21</v>
      </c>
      <c r="EN8" s="459"/>
      <c r="EO8" s="459"/>
      <c r="EP8" s="459"/>
      <c r="EQ8" s="460"/>
      <c r="ER8" s="457">
        <v>22</v>
      </c>
      <c r="ES8" s="459"/>
      <c r="ET8" s="459"/>
      <c r="EU8" s="459"/>
      <c r="EV8" s="460"/>
      <c r="EW8" s="457">
        <v>23</v>
      </c>
      <c r="EX8" s="459"/>
      <c r="EY8" s="459"/>
      <c r="EZ8" s="459"/>
      <c r="FA8" s="460"/>
      <c r="FB8" s="457">
        <v>24</v>
      </c>
      <c r="FC8" s="459"/>
      <c r="FD8" s="459"/>
      <c r="FE8" s="459"/>
      <c r="FF8" s="460"/>
      <c r="FG8" s="457" t="s">
        <v>684</v>
      </c>
      <c r="FH8" s="458"/>
      <c r="FI8" s="459"/>
      <c r="FJ8" s="459"/>
      <c r="FK8" s="459"/>
      <c r="FL8" s="459"/>
      <c r="FM8" s="460"/>
      <c r="FN8" s="457">
        <v>25</v>
      </c>
      <c r="FO8" s="459"/>
      <c r="FP8" s="459"/>
      <c r="FQ8" s="459"/>
      <c r="FR8" s="460"/>
      <c r="FS8" s="457">
        <v>26</v>
      </c>
      <c r="FT8" s="459"/>
      <c r="FU8" s="459"/>
      <c r="FV8" s="459"/>
      <c r="FW8" s="460"/>
      <c r="FX8" s="457">
        <v>27</v>
      </c>
      <c r="FY8" s="459"/>
      <c r="FZ8" s="459"/>
      <c r="GA8" s="459"/>
      <c r="GB8" s="460"/>
      <c r="GC8" s="457">
        <v>28</v>
      </c>
      <c r="GD8" s="459"/>
      <c r="GE8" s="459"/>
      <c r="GF8" s="459"/>
      <c r="GG8" s="460"/>
      <c r="GH8" s="457" t="s">
        <v>684</v>
      </c>
      <c r="GI8" s="458"/>
      <c r="GJ8" s="459"/>
      <c r="GK8" s="459"/>
      <c r="GL8" s="459"/>
      <c r="GM8" s="459"/>
      <c r="GN8" s="460"/>
      <c r="GO8" s="457">
        <v>29</v>
      </c>
      <c r="GP8" s="459"/>
      <c r="GQ8" s="459"/>
      <c r="GR8" s="459"/>
      <c r="GS8" s="460"/>
      <c r="GT8" s="457">
        <v>30</v>
      </c>
      <c r="GU8" s="459"/>
      <c r="GV8" s="459"/>
      <c r="GW8" s="459"/>
      <c r="GX8" s="460"/>
      <c r="GY8" s="457">
        <v>31</v>
      </c>
      <c r="GZ8" s="459"/>
      <c r="HA8" s="459"/>
      <c r="HB8" s="459"/>
      <c r="HC8" s="460"/>
      <c r="HD8" s="457">
        <v>32</v>
      </c>
      <c r="HE8" s="459"/>
      <c r="HF8" s="459"/>
      <c r="HG8" s="459"/>
      <c r="HH8" s="460"/>
      <c r="HI8" s="457" t="s">
        <v>684</v>
      </c>
      <c r="HJ8" s="458"/>
      <c r="HK8" s="459"/>
      <c r="HL8" s="459"/>
      <c r="HM8" s="459"/>
      <c r="HN8" s="459"/>
      <c r="HO8" s="460"/>
      <c r="HP8" s="457">
        <v>33</v>
      </c>
      <c r="HQ8" s="459"/>
      <c r="HR8" s="459"/>
      <c r="HS8" s="459"/>
      <c r="HT8" s="460"/>
      <c r="HU8" s="457">
        <v>34</v>
      </c>
      <c r="HV8" s="459"/>
      <c r="HW8" s="459"/>
      <c r="HX8" s="459"/>
      <c r="HY8" s="460"/>
      <c r="HZ8" s="457">
        <v>35</v>
      </c>
      <c r="IA8" s="459"/>
      <c r="IB8" s="459"/>
      <c r="IC8" s="459"/>
      <c r="ID8" s="460"/>
      <c r="IE8" s="457">
        <v>36</v>
      </c>
      <c r="IF8" s="459"/>
      <c r="IG8" s="459"/>
      <c r="IH8" s="459"/>
      <c r="II8" s="460"/>
      <c r="IJ8" s="457" t="s">
        <v>684</v>
      </c>
      <c r="IK8" s="458"/>
      <c r="IL8" s="459"/>
      <c r="IM8" s="459"/>
      <c r="IN8" s="459"/>
      <c r="IO8" s="459"/>
      <c r="IP8" s="460"/>
      <c r="IQ8" s="457">
        <v>37</v>
      </c>
      <c r="IR8" s="459"/>
      <c r="IS8" s="459"/>
      <c r="IT8" s="459"/>
      <c r="IU8" s="460"/>
      <c r="IV8" s="457">
        <v>38</v>
      </c>
      <c r="IW8" s="459"/>
      <c r="IX8" s="459"/>
      <c r="IY8" s="459"/>
      <c r="IZ8" s="460"/>
      <c r="JA8" s="457">
        <v>39</v>
      </c>
      <c r="JB8" s="459"/>
      <c r="JC8" s="459"/>
      <c r="JD8" s="459"/>
      <c r="JE8" s="460"/>
      <c r="JF8" s="457">
        <v>40</v>
      </c>
      <c r="JG8" s="459"/>
      <c r="JH8" s="459"/>
      <c r="JI8" s="459"/>
      <c r="JJ8" s="460"/>
      <c r="JK8" s="457" t="s">
        <v>684</v>
      </c>
      <c r="JL8" s="458"/>
      <c r="JM8" s="459"/>
      <c r="JN8" s="459"/>
      <c r="JO8" s="459"/>
      <c r="JP8" s="459"/>
      <c r="JQ8" s="460"/>
      <c r="JR8" s="457">
        <v>41</v>
      </c>
      <c r="JS8" s="459"/>
      <c r="JT8" s="459"/>
      <c r="JU8" s="459"/>
      <c r="JV8" s="460"/>
      <c r="JW8" s="457">
        <v>42</v>
      </c>
      <c r="JX8" s="459"/>
      <c r="JY8" s="459"/>
      <c r="JZ8" s="459"/>
      <c r="KA8" s="460"/>
      <c r="KB8" s="457">
        <v>43</v>
      </c>
      <c r="KC8" s="459"/>
      <c r="KD8" s="459"/>
      <c r="KE8" s="459"/>
      <c r="KF8" s="460"/>
      <c r="KG8" s="457">
        <v>44</v>
      </c>
      <c r="KH8" s="459"/>
      <c r="KI8" s="459"/>
      <c r="KJ8" s="459"/>
      <c r="KK8" s="460"/>
      <c r="KL8" s="457" t="s">
        <v>684</v>
      </c>
      <c r="KM8" s="458"/>
      <c r="KN8" s="459"/>
      <c r="KO8" s="459"/>
      <c r="KP8" s="459"/>
      <c r="KQ8" s="459"/>
      <c r="KR8" s="460"/>
      <c r="KS8" s="457">
        <v>45</v>
      </c>
      <c r="KT8" s="459"/>
      <c r="KU8" s="459"/>
      <c r="KV8" s="459"/>
      <c r="KW8" s="460"/>
      <c r="KX8" s="457">
        <v>46</v>
      </c>
      <c r="KY8" s="459"/>
      <c r="KZ8" s="459"/>
      <c r="LA8" s="459"/>
      <c r="LB8" s="460"/>
      <c r="LC8" s="457">
        <v>47</v>
      </c>
      <c r="LD8" s="459"/>
      <c r="LE8" s="459"/>
      <c r="LF8" s="459"/>
      <c r="LG8" s="460"/>
      <c r="LH8" s="457">
        <v>48</v>
      </c>
      <c r="LI8" s="459"/>
      <c r="LJ8" s="459"/>
      <c r="LK8" s="459"/>
      <c r="LL8" s="460"/>
      <c r="LM8" s="457" t="s">
        <v>684</v>
      </c>
      <c r="LN8" s="459"/>
      <c r="LO8" s="459"/>
      <c r="LP8" s="459"/>
      <c r="LQ8" s="459"/>
      <c r="LR8" s="459"/>
      <c r="LS8" s="460"/>
      <c r="LT8" s="457">
        <v>49</v>
      </c>
      <c r="LU8" s="459"/>
      <c r="LV8" s="459"/>
      <c r="LW8" s="459"/>
      <c r="LX8" s="460"/>
      <c r="LY8" s="457">
        <v>50</v>
      </c>
      <c r="LZ8" s="459"/>
      <c r="MA8" s="459"/>
      <c r="MB8" s="459"/>
      <c r="MC8" s="460"/>
      <c r="MD8" s="457">
        <v>51</v>
      </c>
      <c r="ME8" s="459"/>
      <c r="MF8" s="459"/>
      <c r="MG8" s="459"/>
      <c r="MH8" s="460"/>
      <c r="MI8" s="457">
        <v>52</v>
      </c>
      <c r="MJ8" s="459"/>
      <c r="MK8" s="459"/>
      <c r="ML8" s="459"/>
      <c r="MM8" s="460"/>
      <c r="MN8" s="457" t="s">
        <v>684</v>
      </c>
      <c r="MO8" s="458"/>
      <c r="MP8" s="459"/>
      <c r="MQ8" s="459"/>
      <c r="MR8" s="459"/>
      <c r="MS8" s="459"/>
      <c r="MT8" s="460"/>
      <c r="MU8" s="457">
        <v>53</v>
      </c>
      <c r="MV8" s="459"/>
      <c r="MW8" s="459"/>
      <c r="MX8" s="459"/>
      <c r="MY8" s="460"/>
      <c r="MZ8" s="457">
        <v>54</v>
      </c>
      <c r="NA8" s="459"/>
      <c r="NB8" s="459"/>
      <c r="NC8" s="459"/>
      <c r="ND8" s="460"/>
      <c r="NE8" s="457">
        <v>55</v>
      </c>
      <c r="NF8" s="459"/>
      <c r="NG8" s="459"/>
      <c r="NH8" s="459"/>
      <c r="NI8" s="460"/>
      <c r="NJ8" s="457">
        <v>56</v>
      </c>
      <c r="NK8" s="459"/>
      <c r="NL8" s="459"/>
      <c r="NM8" s="459"/>
      <c r="NN8" s="460"/>
      <c r="NO8" s="457" t="s">
        <v>684</v>
      </c>
      <c r="NP8" s="458"/>
      <c r="NQ8" s="459"/>
      <c r="NR8" s="459"/>
      <c r="NS8" s="459"/>
      <c r="NT8" s="459"/>
      <c r="NU8" s="460"/>
      <c r="NV8" s="457">
        <v>57</v>
      </c>
      <c r="NW8" s="459"/>
      <c r="NX8" s="459"/>
      <c r="NY8" s="459"/>
      <c r="NZ8" s="460"/>
      <c r="OA8" s="457">
        <v>58</v>
      </c>
      <c r="OB8" s="459"/>
      <c r="OC8" s="459"/>
      <c r="OD8" s="459"/>
      <c r="OE8" s="460"/>
      <c r="OF8" s="457">
        <v>59</v>
      </c>
      <c r="OG8" s="459"/>
      <c r="OH8" s="459"/>
      <c r="OI8" s="459"/>
      <c r="OJ8" s="460"/>
      <c r="OK8" s="457">
        <v>60</v>
      </c>
      <c r="OL8" s="459"/>
      <c r="OM8" s="459"/>
      <c r="ON8" s="459"/>
      <c r="OO8" s="460"/>
      <c r="OP8" s="457" t="s">
        <v>684</v>
      </c>
      <c r="OQ8" s="458"/>
      <c r="OR8" s="459"/>
      <c r="OS8" s="459"/>
      <c r="OT8" s="459"/>
      <c r="OU8" s="459"/>
      <c r="OV8" s="460"/>
      <c r="OW8" s="457">
        <v>61</v>
      </c>
      <c r="OX8" s="459"/>
      <c r="OY8" s="459"/>
      <c r="OZ8" s="459"/>
      <c r="PA8" s="460"/>
      <c r="PB8" s="457">
        <v>62</v>
      </c>
      <c r="PC8" s="459"/>
      <c r="PD8" s="459"/>
      <c r="PE8" s="459"/>
      <c r="PF8" s="460"/>
      <c r="PG8" s="457">
        <v>63</v>
      </c>
      <c r="PH8" s="459"/>
      <c r="PI8" s="459"/>
      <c r="PJ8" s="459"/>
      <c r="PK8" s="460"/>
      <c r="PL8" s="457">
        <v>64</v>
      </c>
      <c r="PM8" s="459"/>
      <c r="PN8" s="459"/>
      <c r="PO8" s="459"/>
      <c r="PP8" s="460"/>
      <c r="PQ8" s="457" t="s">
        <v>684</v>
      </c>
      <c r="PR8" s="458"/>
      <c r="PS8" s="459"/>
      <c r="PT8" s="459"/>
      <c r="PU8" s="459"/>
      <c r="PV8" s="459"/>
      <c r="PW8" s="460"/>
      <c r="PX8" s="457">
        <v>65</v>
      </c>
      <c r="PY8" s="459"/>
      <c r="PZ8" s="459"/>
      <c r="QA8" s="459"/>
      <c r="QB8" s="460"/>
      <c r="QC8" s="457">
        <v>66</v>
      </c>
      <c r="QD8" s="459"/>
      <c r="QE8" s="459"/>
      <c r="QF8" s="459"/>
      <c r="QG8" s="460"/>
      <c r="QH8" s="457">
        <v>67</v>
      </c>
      <c r="QI8" s="459"/>
      <c r="QJ8" s="459"/>
      <c r="QK8" s="459"/>
      <c r="QL8" s="460"/>
      <c r="QM8" s="457">
        <v>68</v>
      </c>
      <c r="QN8" s="459"/>
      <c r="QO8" s="459"/>
      <c r="QP8" s="459"/>
      <c r="QQ8" s="460"/>
      <c r="QR8" s="457" t="s">
        <v>684</v>
      </c>
      <c r="QS8" s="458"/>
      <c r="QT8" s="459"/>
      <c r="QU8" s="459"/>
      <c r="QV8" s="459"/>
      <c r="QW8" s="459"/>
      <c r="QX8" s="460"/>
      <c r="QY8" s="457">
        <v>69</v>
      </c>
      <c r="QZ8" s="459"/>
      <c r="RA8" s="459"/>
      <c r="RB8" s="459"/>
      <c r="RC8" s="460"/>
      <c r="RD8" s="457">
        <v>70</v>
      </c>
      <c r="RE8" s="459"/>
      <c r="RF8" s="459"/>
      <c r="RG8" s="459"/>
      <c r="RH8" s="460"/>
      <c r="RI8" s="457">
        <v>71</v>
      </c>
      <c r="RJ8" s="459"/>
      <c r="RK8" s="459"/>
      <c r="RL8" s="459"/>
      <c r="RM8" s="460"/>
      <c r="RN8" s="457">
        <v>72</v>
      </c>
      <c r="RO8" s="459"/>
      <c r="RP8" s="459"/>
      <c r="RQ8" s="459"/>
      <c r="RR8" s="460"/>
      <c r="RS8" s="461" t="s">
        <v>684</v>
      </c>
      <c r="RT8" s="461"/>
      <c r="RU8" s="461"/>
      <c r="RV8" s="461"/>
      <c r="RW8" s="461"/>
      <c r="RX8" s="461"/>
      <c r="RY8" s="461"/>
      <c r="RZ8" s="457">
        <v>73</v>
      </c>
      <c r="SA8" s="459"/>
      <c r="SB8" s="459"/>
      <c r="SC8" s="459"/>
      <c r="SD8" s="460"/>
      <c r="SE8" s="457">
        <v>74</v>
      </c>
      <c r="SF8" s="459"/>
      <c r="SG8" s="459"/>
      <c r="SH8" s="459"/>
      <c r="SI8" s="460"/>
      <c r="SJ8" s="457">
        <v>75</v>
      </c>
      <c r="SK8" s="459"/>
      <c r="SL8" s="459"/>
      <c r="SM8" s="459"/>
      <c r="SN8" s="460"/>
      <c r="SO8" s="457">
        <v>76</v>
      </c>
      <c r="SP8" s="459"/>
      <c r="SQ8" s="459"/>
      <c r="SR8" s="459"/>
      <c r="SS8" s="460"/>
      <c r="ST8" s="457" t="s">
        <v>684</v>
      </c>
      <c r="SU8" s="458"/>
      <c r="SV8" s="459"/>
      <c r="SW8" s="459"/>
      <c r="SX8" s="459"/>
      <c r="SY8" s="459"/>
      <c r="SZ8" s="460"/>
      <c r="TA8" s="457">
        <v>77</v>
      </c>
      <c r="TB8" s="459"/>
      <c r="TC8" s="459"/>
      <c r="TD8" s="459"/>
      <c r="TE8" s="460"/>
      <c r="TF8" s="457">
        <v>78</v>
      </c>
      <c r="TG8" s="459"/>
      <c r="TH8" s="459"/>
      <c r="TI8" s="459"/>
      <c r="TJ8" s="460"/>
      <c r="TK8" s="457">
        <v>79</v>
      </c>
      <c r="TL8" s="459"/>
      <c r="TM8" s="459"/>
      <c r="TN8" s="459"/>
      <c r="TO8" s="460"/>
      <c r="TP8" s="457">
        <v>80</v>
      </c>
      <c r="TQ8" s="459"/>
      <c r="TR8" s="459"/>
      <c r="TS8" s="459"/>
      <c r="TT8" s="460"/>
      <c r="TU8" s="457" t="s">
        <v>684</v>
      </c>
      <c r="TV8" s="458"/>
      <c r="TW8" s="459"/>
      <c r="TX8" s="459"/>
      <c r="TY8" s="459"/>
      <c r="TZ8" s="459"/>
      <c r="UA8" s="460"/>
      <c r="UB8" s="457">
        <v>81</v>
      </c>
      <c r="UC8" s="459"/>
      <c r="UD8" s="459"/>
      <c r="UE8" s="459"/>
      <c r="UF8" s="460"/>
      <c r="UG8" s="457">
        <v>82</v>
      </c>
      <c r="UH8" s="459"/>
      <c r="UI8" s="459"/>
      <c r="UJ8" s="459"/>
      <c r="UK8" s="460"/>
      <c r="UL8" s="457">
        <v>83</v>
      </c>
      <c r="UM8" s="459"/>
      <c r="UN8" s="459"/>
      <c r="UO8" s="459"/>
      <c r="UP8" s="460"/>
      <c r="UQ8" s="457">
        <v>84</v>
      </c>
      <c r="UR8" s="459"/>
      <c r="US8" s="459"/>
      <c r="UT8" s="459"/>
      <c r="UU8" s="460"/>
      <c r="UV8" s="457" t="s">
        <v>684</v>
      </c>
      <c r="UW8" s="458"/>
      <c r="UX8" s="459"/>
      <c r="UY8" s="459"/>
      <c r="UZ8" s="459"/>
      <c r="VA8" s="459"/>
      <c r="VB8" s="460"/>
      <c r="VC8" s="457">
        <v>85</v>
      </c>
      <c r="VD8" s="459"/>
      <c r="VE8" s="459"/>
      <c r="VF8" s="459"/>
      <c r="VG8" s="460"/>
      <c r="VH8" s="457">
        <v>86</v>
      </c>
      <c r="VI8" s="459"/>
      <c r="VJ8" s="459"/>
      <c r="VK8" s="459"/>
      <c r="VL8" s="460"/>
      <c r="VM8" s="457">
        <v>87</v>
      </c>
      <c r="VN8" s="459"/>
      <c r="VO8" s="459"/>
      <c r="VP8" s="459"/>
      <c r="VQ8" s="460"/>
      <c r="VR8" s="457">
        <v>88</v>
      </c>
      <c r="VS8" s="459"/>
      <c r="VT8" s="459"/>
      <c r="VU8" s="459"/>
      <c r="VV8" s="460"/>
      <c r="VW8" s="457" t="s">
        <v>684</v>
      </c>
      <c r="VX8" s="458"/>
      <c r="VY8" s="459"/>
      <c r="VZ8" s="459"/>
      <c r="WA8" s="459"/>
      <c r="WB8" s="459"/>
      <c r="WC8" s="460"/>
      <c r="WD8" s="457">
        <v>89</v>
      </c>
      <c r="WE8" s="459"/>
      <c r="WF8" s="459"/>
      <c r="WG8" s="459"/>
      <c r="WH8" s="460"/>
      <c r="WI8" s="457">
        <v>90</v>
      </c>
      <c r="WJ8" s="459"/>
      <c r="WK8" s="459"/>
      <c r="WL8" s="459"/>
      <c r="WM8" s="460"/>
      <c r="WN8" s="457">
        <v>91</v>
      </c>
      <c r="WO8" s="459"/>
      <c r="WP8" s="459"/>
      <c r="WQ8" s="459"/>
      <c r="WR8" s="460"/>
      <c r="WS8" s="457">
        <v>92</v>
      </c>
      <c r="WT8" s="459"/>
      <c r="WU8" s="459"/>
      <c r="WV8" s="459"/>
      <c r="WW8" s="460"/>
      <c r="WX8" s="457" t="s">
        <v>684</v>
      </c>
      <c r="WY8" s="458"/>
      <c r="WZ8" s="459"/>
      <c r="XA8" s="459"/>
      <c r="XB8" s="459"/>
      <c r="XC8" s="459"/>
      <c r="XD8" s="460"/>
      <c r="XE8" s="457">
        <v>93</v>
      </c>
      <c r="XF8" s="459"/>
      <c r="XG8" s="459"/>
      <c r="XH8" s="459"/>
      <c r="XI8" s="460"/>
      <c r="XJ8" s="457">
        <v>94</v>
      </c>
      <c r="XK8" s="459"/>
      <c r="XL8" s="459"/>
      <c r="XM8" s="459"/>
      <c r="XN8" s="460"/>
      <c r="XO8" s="457">
        <v>95</v>
      </c>
      <c r="XP8" s="459"/>
      <c r="XQ8" s="459"/>
      <c r="XR8" s="459"/>
      <c r="XS8" s="460"/>
      <c r="XT8" s="457">
        <v>96</v>
      </c>
      <c r="XU8" s="459"/>
      <c r="XV8" s="459"/>
      <c r="XW8" s="459"/>
      <c r="XX8" s="460"/>
      <c r="XY8" s="457" t="s">
        <v>684</v>
      </c>
      <c r="XZ8" s="458"/>
      <c r="YA8" s="459"/>
      <c r="YB8" s="459"/>
      <c r="YC8" s="459"/>
      <c r="YD8" s="459"/>
      <c r="YE8" s="460"/>
      <c r="YF8" s="457">
        <v>97</v>
      </c>
      <c r="YG8" s="459"/>
      <c r="YH8" s="459"/>
      <c r="YI8" s="459"/>
      <c r="YJ8" s="460"/>
      <c r="YK8" s="457">
        <v>98</v>
      </c>
      <c r="YL8" s="459"/>
      <c r="YM8" s="459"/>
      <c r="YN8" s="459"/>
      <c r="YO8" s="460"/>
      <c r="YP8" s="457">
        <v>99</v>
      </c>
      <c r="YQ8" s="459"/>
      <c r="YR8" s="459"/>
      <c r="YS8" s="459"/>
      <c r="YT8" s="460"/>
      <c r="YU8" s="457">
        <v>100</v>
      </c>
      <c r="YV8" s="459"/>
      <c r="YW8" s="459"/>
      <c r="YX8" s="459"/>
      <c r="YY8" s="460"/>
      <c r="YZ8" s="457" t="s">
        <v>684</v>
      </c>
      <c r="ZA8" s="459"/>
      <c r="ZB8" s="459"/>
      <c r="ZC8" s="459"/>
      <c r="ZD8" s="459"/>
      <c r="ZE8" s="459"/>
      <c r="ZF8" s="460"/>
      <c r="ZG8" s="457">
        <v>101</v>
      </c>
      <c r="ZH8" s="459"/>
      <c r="ZI8" s="459"/>
      <c r="ZJ8" s="459"/>
      <c r="ZK8" s="460"/>
      <c r="ZL8" s="457">
        <v>102</v>
      </c>
      <c r="ZM8" s="459"/>
      <c r="ZN8" s="459"/>
      <c r="ZO8" s="459"/>
      <c r="ZP8" s="460"/>
      <c r="ZQ8" s="457">
        <v>103</v>
      </c>
      <c r="ZR8" s="459"/>
      <c r="ZS8" s="459"/>
      <c r="ZT8" s="459"/>
      <c r="ZU8" s="460"/>
      <c r="ZV8" s="457">
        <v>104</v>
      </c>
      <c r="ZW8" s="459"/>
      <c r="ZX8" s="459"/>
      <c r="ZY8" s="459"/>
      <c r="ZZ8" s="460"/>
      <c r="AAA8" s="457" t="s">
        <v>684</v>
      </c>
      <c r="AAB8" s="458"/>
      <c r="AAC8" s="459"/>
      <c r="AAD8" s="459"/>
      <c r="AAE8" s="459"/>
      <c r="AAF8" s="459"/>
      <c r="AAG8" s="460"/>
      <c r="AAH8" s="457">
        <v>105</v>
      </c>
      <c r="AAI8" s="459"/>
      <c r="AAJ8" s="459"/>
      <c r="AAK8" s="459"/>
      <c r="AAL8" s="460"/>
      <c r="AAM8" s="457">
        <v>106</v>
      </c>
      <c r="AAN8" s="459"/>
      <c r="AAO8" s="459"/>
      <c r="AAP8" s="459"/>
      <c r="AAQ8" s="460"/>
      <c r="AAR8" s="457">
        <v>107</v>
      </c>
      <c r="AAS8" s="459"/>
      <c r="AAT8" s="459"/>
      <c r="AAU8" s="459"/>
      <c r="AAV8" s="460"/>
      <c r="AAW8" s="457">
        <v>108</v>
      </c>
      <c r="AAX8" s="459"/>
      <c r="AAY8" s="459"/>
      <c r="AAZ8" s="459"/>
      <c r="ABA8" s="460"/>
      <c r="ABB8" s="457" t="s">
        <v>684</v>
      </c>
      <c r="ABC8" s="458"/>
      <c r="ABD8" s="459"/>
      <c r="ABE8" s="459"/>
      <c r="ABF8" s="459"/>
      <c r="ABG8" s="459"/>
      <c r="ABH8" s="460"/>
      <c r="ABI8" s="457">
        <v>109</v>
      </c>
      <c r="ABJ8" s="459"/>
      <c r="ABK8" s="459"/>
      <c r="ABL8" s="459"/>
      <c r="ABM8" s="460"/>
      <c r="ABN8" s="457">
        <v>110</v>
      </c>
      <c r="ABO8" s="459"/>
      <c r="ABP8" s="459"/>
      <c r="ABQ8" s="459"/>
      <c r="ABR8" s="460"/>
      <c r="ABS8" s="457">
        <v>111</v>
      </c>
      <c r="ABT8" s="459"/>
      <c r="ABU8" s="459"/>
      <c r="ABV8" s="459"/>
      <c r="ABW8" s="460"/>
      <c r="ABX8" s="457">
        <v>112</v>
      </c>
      <c r="ABY8" s="459"/>
      <c r="ABZ8" s="459"/>
      <c r="ACA8" s="459"/>
      <c r="ACB8" s="460"/>
      <c r="ACC8" s="457" t="s">
        <v>684</v>
      </c>
      <c r="ACD8" s="458"/>
      <c r="ACE8" s="459"/>
      <c r="ACF8" s="459"/>
      <c r="ACG8" s="459"/>
      <c r="ACH8" s="459"/>
      <c r="ACI8" s="460"/>
      <c r="ACJ8" s="457">
        <v>113</v>
      </c>
      <c r="ACK8" s="459"/>
      <c r="ACL8" s="459"/>
      <c r="ACM8" s="459"/>
      <c r="ACN8" s="460"/>
      <c r="ACO8" s="457">
        <v>114</v>
      </c>
      <c r="ACP8" s="459"/>
      <c r="ACQ8" s="459"/>
      <c r="ACR8" s="459"/>
      <c r="ACS8" s="460"/>
      <c r="ACT8" s="457">
        <v>115</v>
      </c>
      <c r="ACU8" s="459"/>
      <c r="ACV8" s="459"/>
      <c r="ACW8" s="459"/>
      <c r="ACX8" s="460"/>
      <c r="ACY8" s="457">
        <v>116</v>
      </c>
      <c r="ACZ8" s="459"/>
      <c r="ADA8" s="459"/>
      <c r="ADB8" s="459"/>
      <c r="ADC8" s="460"/>
      <c r="ADD8" s="457" t="s">
        <v>684</v>
      </c>
      <c r="ADE8" s="458"/>
      <c r="ADF8" s="459"/>
      <c r="ADG8" s="459"/>
      <c r="ADH8" s="459"/>
      <c r="ADI8" s="459"/>
      <c r="ADJ8" s="460"/>
      <c r="ADK8" s="457">
        <v>117</v>
      </c>
      <c r="ADL8" s="459"/>
      <c r="ADM8" s="459"/>
      <c r="ADN8" s="459"/>
      <c r="ADO8" s="460"/>
      <c r="ADP8" s="457">
        <v>118</v>
      </c>
      <c r="ADQ8" s="459"/>
      <c r="ADR8" s="459"/>
      <c r="ADS8" s="459"/>
      <c r="ADT8" s="460"/>
      <c r="ADU8" s="457">
        <v>119</v>
      </c>
      <c r="ADV8" s="459"/>
      <c r="ADW8" s="459"/>
      <c r="ADX8" s="459"/>
      <c r="ADY8" s="460"/>
      <c r="ADZ8" s="457">
        <v>120</v>
      </c>
      <c r="AEA8" s="459"/>
      <c r="AEB8" s="459"/>
      <c r="AEC8" s="459"/>
      <c r="AED8" s="460"/>
      <c r="AEE8" s="457" t="s">
        <v>684</v>
      </c>
      <c r="AEF8" s="458"/>
      <c r="AEG8" s="459"/>
      <c r="AEH8" s="459"/>
      <c r="AEI8" s="459"/>
      <c r="AEJ8" s="459"/>
      <c r="AEK8" s="460"/>
      <c r="AEL8" s="457">
        <v>121</v>
      </c>
      <c r="AEM8" s="459"/>
      <c r="AEN8" s="459"/>
      <c r="AEO8" s="459"/>
      <c r="AEP8" s="460"/>
      <c r="AEQ8" s="457">
        <v>122</v>
      </c>
      <c r="AER8" s="459"/>
      <c r="AES8" s="459"/>
      <c r="AET8" s="459"/>
      <c r="AEU8" s="460"/>
      <c r="AEV8" s="457">
        <v>123</v>
      </c>
      <c r="AEW8" s="459"/>
      <c r="AEX8" s="459"/>
      <c r="AEY8" s="459"/>
      <c r="AEZ8" s="460"/>
      <c r="AFA8" s="457">
        <v>124</v>
      </c>
      <c r="AFB8" s="459"/>
      <c r="AFC8" s="459"/>
      <c r="AFD8" s="459"/>
      <c r="AFE8" s="460"/>
      <c r="AFF8" s="457" t="s">
        <v>684</v>
      </c>
      <c r="AFG8" s="459"/>
      <c r="AFH8" s="459"/>
      <c r="AFI8" s="459"/>
      <c r="AFJ8" s="459"/>
      <c r="AFK8" s="459"/>
      <c r="AFL8" s="460"/>
      <c r="AFM8" s="457">
        <v>125</v>
      </c>
      <c r="AFN8" s="459"/>
      <c r="AFO8" s="459"/>
      <c r="AFP8" s="459"/>
      <c r="AFQ8" s="460"/>
      <c r="AFR8" s="457">
        <v>126</v>
      </c>
      <c r="AFS8" s="459"/>
      <c r="AFT8" s="459"/>
      <c r="AFU8" s="459"/>
      <c r="AFV8" s="460"/>
      <c r="AFW8" s="457">
        <v>127</v>
      </c>
      <c r="AFX8" s="459"/>
      <c r="AFY8" s="459"/>
      <c r="AFZ8" s="459"/>
      <c r="AGA8" s="460"/>
      <c r="AGB8" s="457">
        <v>128</v>
      </c>
      <c r="AGC8" s="459"/>
      <c r="AGD8" s="459"/>
      <c r="AGE8" s="459"/>
      <c r="AGF8" s="460"/>
      <c r="AGG8" s="457" t="s">
        <v>684</v>
      </c>
      <c r="AGH8" s="459"/>
      <c r="AGI8" s="459"/>
      <c r="AGJ8" s="459"/>
      <c r="AGK8" s="459"/>
      <c r="AGL8" s="459"/>
      <c r="AGM8" s="460"/>
      <c r="AGN8" s="457">
        <v>129</v>
      </c>
      <c r="AGO8" s="459"/>
      <c r="AGP8" s="459"/>
      <c r="AGQ8" s="459"/>
      <c r="AGR8" s="460"/>
      <c r="AGS8" s="457">
        <v>130</v>
      </c>
      <c r="AGT8" s="459"/>
      <c r="AGU8" s="459"/>
      <c r="AGV8" s="459"/>
      <c r="AGW8" s="460"/>
      <c r="AGX8" s="457">
        <v>131</v>
      </c>
      <c r="AGY8" s="459"/>
      <c r="AGZ8" s="459"/>
      <c r="AHA8" s="459"/>
      <c r="AHB8" s="460"/>
      <c r="AHC8" s="457">
        <v>132</v>
      </c>
      <c r="AHD8" s="459"/>
      <c r="AHE8" s="459"/>
      <c r="AHF8" s="459"/>
      <c r="AHG8" s="460"/>
      <c r="AHH8" s="457" t="s">
        <v>684</v>
      </c>
      <c r="AHI8" s="458"/>
      <c r="AHJ8" s="459"/>
      <c r="AHK8" s="459"/>
      <c r="AHL8" s="459"/>
      <c r="AHM8" s="459"/>
      <c r="AHN8" s="460"/>
      <c r="AHO8" s="457">
        <v>133</v>
      </c>
      <c r="AHP8" s="459"/>
      <c r="AHQ8" s="459"/>
      <c r="AHR8" s="459"/>
      <c r="AHS8" s="460"/>
      <c r="AHT8" s="457">
        <v>134</v>
      </c>
      <c r="AHU8" s="459"/>
      <c r="AHV8" s="459"/>
      <c r="AHW8" s="459"/>
      <c r="AHX8" s="460"/>
      <c r="AHY8" s="457">
        <v>135</v>
      </c>
      <c r="AHZ8" s="459"/>
      <c r="AIA8" s="459"/>
      <c r="AIB8" s="459"/>
      <c r="AIC8" s="460"/>
      <c r="AID8" s="457">
        <v>136</v>
      </c>
      <c r="AIE8" s="459"/>
      <c r="AIF8" s="459"/>
      <c r="AIG8" s="459"/>
      <c r="AIH8" s="460"/>
      <c r="AII8" s="457" t="s">
        <v>684</v>
      </c>
      <c r="AIJ8" s="458"/>
      <c r="AIK8" s="459"/>
      <c r="AIL8" s="459"/>
      <c r="AIM8" s="459"/>
      <c r="AIN8" s="459"/>
      <c r="AIO8" s="460"/>
      <c r="AIP8" s="457">
        <v>137</v>
      </c>
      <c r="AIQ8" s="459"/>
      <c r="AIR8" s="459"/>
      <c r="AIS8" s="459"/>
      <c r="AIT8" s="460"/>
      <c r="AIU8" s="457">
        <v>138</v>
      </c>
      <c r="AIV8" s="459"/>
      <c r="AIW8" s="459"/>
      <c r="AIX8" s="459"/>
      <c r="AIY8" s="460"/>
      <c r="AIZ8" s="457">
        <v>139</v>
      </c>
      <c r="AJA8" s="459"/>
      <c r="AJB8" s="459"/>
      <c r="AJC8" s="459"/>
      <c r="AJD8" s="460"/>
      <c r="AJE8" s="457">
        <v>140</v>
      </c>
      <c r="AJF8" s="459"/>
      <c r="AJG8" s="459"/>
      <c r="AJH8" s="459"/>
      <c r="AJI8" s="460"/>
      <c r="AJJ8" s="457" t="s">
        <v>684</v>
      </c>
      <c r="AJK8" s="459"/>
      <c r="AJL8" s="459"/>
      <c r="AJM8" s="459"/>
      <c r="AJN8" s="459"/>
      <c r="AJO8" s="459"/>
      <c r="AJP8" s="460"/>
      <c r="AJQ8" s="457">
        <v>141</v>
      </c>
      <c r="AJR8" s="459"/>
      <c r="AJS8" s="459"/>
      <c r="AJT8" s="459"/>
      <c r="AJU8" s="460"/>
      <c r="AJV8" s="457">
        <v>142</v>
      </c>
      <c r="AJW8" s="459"/>
      <c r="AJX8" s="459"/>
      <c r="AJY8" s="459"/>
      <c r="AJZ8" s="460"/>
      <c r="AKA8" s="457">
        <v>143</v>
      </c>
      <c r="AKB8" s="459"/>
      <c r="AKC8" s="459"/>
      <c r="AKD8" s="459"/>
      <c r="AKE8" s="460"/>
      <c r="AKF8" s="457">
        <v>144</v>
      </c>
      <c r="AKG8" s="459"/>
      <c r="AKH8" s="459"/>
      <c r="AKI8" s="459"/>
      <c r="AKJ8" s="460"/>
      <c r="AKK8" s="457" t="s">
        <v>684</v>
      </c>
      <c r="AKL8" s="459"/>
      <c r="AKM8" s="459"/>
      <c r="AKN8" s="459"/>
      <c r="AKO8" s="459"/>
      <c r="AKP8" s="459"/>
      <c r="AKQ8" s="460"/>
      <c r="AKR8" s="457">
        <v>145</v>
      </c>
      <c r="AKS8" s="459"/>
      <c r="AKT8" s="459"/>
      <c r="AKU8" s="459"/>
      <c r="AKV8" s="460"/>
      <c r="AKW8" s="457">
        <v>146</v>
      </c>
      <c r="AKX8" s="459"/>
      <c r="AKY8" s="459"/>
      <c r="AKZ8" s="459"/>
      <c r="ALA8" s="460"/>
      <c r="ALB8" s="457">
        <v>147</v>
      </c>
      <c r="ALC8" s="459"/>
      <c r="ALD8" s="459"/>
      <c r="ALE8" s="459"/>
      <c r="ALF8" s="460"/>
      <c r="ALG8" s="457">
        <v>148</v>
      </c>
      <c r="ALH8" s="459"/>
      <c r="ALI8" s="459"/>
      <c r="ALJ8" s="459"/>
      <c r="ALK8" s="460"/>
      <c r="ALL8" s="457" t="s">
        <v>684</v>
      </c>
      <c r="ALM8" s="458"/>
      <c r="ALN8" s="459"/>
      <c r="ALO8" s="459"/>
      <c r="ALP8" s="459"/>
      <c r="ALQ8" s="459"/>
      <c r="ALR8" s="460"/>
      <c r="ALS8" s="457">
        <v>149</v>
      </c>
      <c r="ALT8" s="459"/>
      <c r="ALU8" s="459"/>
      <c r="ALV8" s="459"/>
      <c r="ALW8" s="460"/>
      <c r="ALX8" s="457">
        <v>150</v>
      </c>
      <c r="ALY8" s="459"/>
      <c r="ALZ8" s="459"/>
      <c r="AMA8" s="459"/>
      <c r="AMB8" s="460"/>
      <c r="AMC8" s="457">
        <v>151</v>
      </c>
      <c r="AMD8" s="459"/>
      <c r="AME8" s="459"/>
      <c r="AMF8" s="459"/>
      <c r="AMG8" s="460"/>
      <c r="AMH8" s="457">
        <v>152</v>
      </c>
      <c r="AMI8" s="459"/>
      <c r="AMJ8" s="459"/>
      <c r="AMK8" s="459"/>
      <c r="AML8" s="460"/>
      <c r="AMM8" s="457" t="s">
        <v>684</v>
      </c>
      <c r="AMN8" s="458"/>
      <c r="AMO8" s="459"/>
      <c r="AMP8" s="459"/>
      <c r="AMQ8" s="459"/>
      <c r="AMR8" s="459"/>
      <c r="AMS8" s="460"/>
      <c r="AMT8" s="457">
        <v>153</v>
      </c>
      <c r="AMU8" s="459"/>
      <c r="AMV8" s="459"/>
      <c r="AMW8" s="459"/>
      <c r="AMX8" s="460"/>
      <c r="AMY8" s="457">
        <v>154</v>
      </c>
      <c r="AMZ8" s="459"/>
      <c r="ANA8" s="459"/>
      <c r="ANB8" s="459"/>
      <c r="ANC8" s="460"/>
      <c r="AND8" s="457">
        <v>155</v>
      </c>
      <c r="ANE8" s="459"/>
      <c r="ANF8" s="459"/>
      <c r="ANG8" s="459"/>
      <c r="ANH8" s="460"/>
      <c r="ANI8" s="457">
        <v>156</v>
      </c>
      <c r="ANJ8" s="459"/>
      <c r="ANK8" s="459"/>
      <c r="ANL8" s="459"/>
      <c r="ANM8" s="460"/>
      <c r="ANN8" s="457" t="s">
        <v>684</v>
      </c>
      <c r="ANO8" s="458"/>
      <c r="ANP8" s="459"/>
      <c r="ANQ8" s="459"/>
      <c r="ANR8" s="459"/>
      <c r="ANS8" s="459"/>
      <c r="ANT8" s="460"/>
      <c r="ANU8" s="457">
        <v>157</v>
      </c>
      <c r="ANV8" s="459"/>
      <c r="ANW8" s="459"/>
      <c r="ANX8" s="459"/>
      <c r="ANY8" s="460"/>
      <c r="ANZ8" s="457">
        <v>158</v>
      </c>
      <c r="AOA8" s="459"/>
      <c r="AOB8" s="459"/>
      <c r="AOC8" s="459"/>
      <c r="AOD8" s="460"/>
      <c r="AOE8" s="457">
        <v>159</v>
      </c>
      <c r="AOF8" s="459"/>
      <c r="AOG8" s="459"/>
      <c r="AOH8" s="459"/>
      <c r="AOI8" s="459"/>
      <c r="AOJ8" s="460"/>
      <c r="AOK8" s="457">
        <v>160</v>
      </c>
      <c r="AOL8" s="459"/>
      <c r="AOM8" s="459"/>
      <c r="AON8" s="459"/>
      <c r="AOO8" s="460"/>
      <c r="AOP8" s="457" t="s">
        <v>684</v>
      </c>
      <c r="AOQ8" s="458"/>
      <c r="AOR8" s="459"/>
      <c r="AOS8" s="459"/>
      <c r="AOT8" s="459"/>
      <c r="AOU8" s="459"/>
      <c r="AOV8" s="460"/>
      <c r="AOW8" s="457">
        <v>161</v>
      </c>
      <c r="AOX8" s="459"/>
      <c r="AOY8" s="459"/>
      <c r="AOZ8" s="459"/>
      <c r="APA8" s="460"/>
      <c r="APB8" s="457">
        <v>162</v>
      </c>
      <c r="APC8" s="459"/>
      <c r="APD8" s="459"/>
      <c r="APE8" s="459"/>
      <c r="APF8" s="460"/>
      <c r="APG8" s="457">
        <v>163</v>
      </c>
      <c r="APH8" s="459"/>
      <c r="API8" s="459"/>
      <c r="APJ8" s="459"/>
      <c r="APK8" s="460"/>
      <c r="APL8" s="457">
        <v>164</v>
      </c>
      <c r="APM8" s="459"/>
      <c r="APN8" s="459"/>
      <c r="APO8" s="459"/>
      <c r="APP8" s="460"/>
      <c r="APQ8" s="457" t="s">
        <v>684</v>
      </c>
      <c r="APR8" s="458"/>
      <c r="APS8" s="459"/>
      <c r="APT8" s="459"/>
      <c r="APU8" s="459"/>
      <c r="APV8" s="459"/>
      <c r="APW8" s="460"/>
      <c r="APX8" s="457">
        <v>165</v>
      </c>
      <c r="APY8" s="459"/>
      <c r="APZ8" s="459"/>
      <c r="AQA8" s="459"/>
      <c r="AQB8" s="460"/>
      <c r="AQC8" s="457">
        <v>166</v>
      </c>
      <c r="AQD8" s="459"/>
      <c r="AQE8" s="459"/>
      <c r="AQF8" s="459"/>
      <c r="AQG8" s="460"/>
      <c r="AQH8" s="457">
        <v>167</v>
      </c>
      <c r="AQI8" s="459"/>
      <c r="AQJ8" s="459"/>
      <c r="AQK8" s="459"/>
      <c r="AQL8" s="460"/>
      <c r="AQM8" s="457">
        <v>168</v>
      </c>
      <c r="AQN8" s="459"/>
      <c r="AQO8" s="459"/>
      <c r="AQP8" s="459"/>
      <c r="AQQ8" s="460"/>
      <c r="AQR8" s="457" t="s">
        <v>684</v>
      </c>
      <c r="AQS8" s="458"/>
      <c r="AQT8" s="459"/>
      <c r="AQU8" s="459"/>
      <c r="AQV8" s="459"/>
      <c r="AQW8" s="459"/>
      <c r="AQX8" s="460"/>
      <c r="AQY8" s="457">
        <v>169</v>
      </c>
      <c r="AQZ8" s="459"/>
      <c r="ARA8" s="459"/>
      <c r="ARB8" s="459"/>
      <c r="ARC8" s="460"/>
      <c r="ARD8" s="457">
        <v>170</v>
      </c>
      <c r="ARE8" s="459"/>
      <c r="ARF8" s="459"/>
      <c r="ARG8" s="459"/>
      <c r="ARH8" s="460"/>
      <c r="ARI8" s="457">
        <v>171</v>
      </c>
      <c r="ARJ8" s="459"/>
      <c r="ARK8" s="459"/>
      <c r="ARL8" s="459"/>
      <c r="ARM8" s="460"/>
      <c r="ARN8" s="457">
        <v>172</v>
      </c>
      <c r="ARO8" s="459"/>
      <c r="ARP8" s="459"/>
      <c r="ARQ8" s="459"/>
      <c r="ARR8" s="460"/>
      <c r="ARS8" s="457" t="s">
        <v>684</v>
      </c>
      <c r="ART8" s="458"/>
      <c r="ARU8" s="459"/>
      <c r="ARV8" s="459"/>
      <c r="ARW8" s="459"/>
      <c r="ARX8" s="459"/>
      <c r="ARY8" s="460"/>
      <c r="ARZ8" s="457">
        <v>173</v>
      </c>
      <c r="ASA8" s="459"/>
      <c r="ASB8" s="459"/>
      <c r="ASC8" s="459"/>
      <c r="ASD8" s="460"/>
      <c r="ASE8" s="457">
        <v>174</v>
      </c>
      <c r="ASF8" s="459"/>
      <c r="ASG8" s="459"/>
      <c r="ASH8" s="459"/>
      <c r="ASI8" s="460"/>
      <c r="ASJ8" s="457">
        <v>175</v>
      </c>
      <c r="ASK8" s="459"/>
      <c r="ASL8" s="459"/>
      <c r="ASM8" s="459"/>
      <c r="ASN8" s="460"/>
      <c r="ASO8" s="457">
        <v>176</v>
      </c>
      <c r="ASP8" s="459"/>
      <c r="ASQ8" s="459"/>
      <c r="ASR8" s="459"/>
      <c r="ASS8" s="460"/>
      <c r="AST8" s="457" t="s">
        <v>684</v>
      </c>
      <c r="ASU8" s="458"/>
      <c r="ASV8" s="459"/>
      <c r="ASW8" s="459"/>
      <c r="ASX8" s="459"/>
      <c r="ASY8" s="459"/>
      <c r="ASZ8" s="460"/>
      <c r="ATA8" s="457">
        <v>177</v>
      </c>
      <c r="ATB8" s="459"/>
      <c r="ATC8" s="459"/>
      <c r="ATD8" s="459"/>
      <c r="ATE8" s="460"/>
      <c r="ATF8" s="457">
        <v>178</v>
      </c>
      <c r="ATG8" s="459"/>
      <c r="ATH8" s="459"/>
      <c r="ATI8" s="459"/>
      <c r="ATJ8" s="460"/>
      <c r="ATK8" s="457">
        <v>179</v>
      </c>
      <c r="ATL8" s="459"/>
      <c r="ATM8" s="459"/>
      <c r="ATN8" s="459"/>
      <c r="ATO8" s="460"/>
      <c r="ATP8" s="457">
        <v>180</v>
      </c>
      <c r="ATQ8" s="459"/>
      <c r="ATR8" s="459"/>
      <c r="ATS8" s="459"/>
      <c r="ATT8" s="460"/>
      <c r="ATU8" s="457" t="s">
        <v>684</v>
      </c>
      <c r="ATV8" s="458"/>
      <c r="ATW8" s="459"/>
      <c r="ATX8" s="459"/>
      <c r="ATY8" s="459"/>
      <c r="ATZ8" s="459"/>
      <c r="AUA8" s="460"/>
      <c r="AUB8" s="457">
        <v>181</v>
      </c>
      <c r="AUC8" s="459"/>
      <c r="AUD8" s="459"/>
      <c r="AUE8" s="459"/>
      <c r="AUF8" s="460"/>
      <c r="AUG8" s="457">
        <v>182</v>
      </c>
      <c r="AUH8" s="459"/>
      <c r="AUI8" s="459"/>
      <c r="AUJ8" s="459"/>
      <c r="AUK8" s="460"/>
      <c r="AUL8" s="457">
        <v>183</v>
      </c>
      <c r="AUM8" s="459"/>
      <c r="AUN8" s="459"/>
      <c r="AUO8" s="459"/>
      <c r="AUP8" s="460"/>
      <c r="AUQ8" s="457">
        <v>184</v>
      </c>
      <c r="AUR8" s="459"/>
      <c r="AUS8" s="459"/>
      <c r="AUT8" s="459"/>
      <c r="AUU8" s="460"/>
      <c r="AUV8" s="457" t="s">
        <v>684</v>
      </c>
      <c r="AUW8" s="458"/>
      <c r="AUX8" s="459"/>
      <c r="AUY8" s="459"/>
      <c r="AUZ8" s="459"/>
      <c r="AVA8" s="459"/>
      <c r="AVB8" s="460"/>
      <c r="AVC8" s="457">
        <v>185</v>
      </c>
      <c r="AVD8" s="459"/>
      <c r="AVE8" s="459"/>
      <c r="AVF8" s="459"/>
      <c r="AVG8" s="460"/>
      <c r="AVH8" s="457">
        <v>186</v>
      </c>
      <c r="AVI8" s="459"/>
      <c r="AVJ8" s="459"/>
      <c r="AVK8" s="459"/>
      <c r="AVL8" s="460"/>
      <c r="AVM8" s="457">
        <v>187</v>
      </c>
      <c r="AVN8" s="459"/>
      <c r="AVO8" s="459"/>
      <c r="AVP8" s="459"/>
      <c r="AVQ8" s="460"/>
      <c r="AVR8" s="457">
        <v>188</v>
      </c>
      <c r="AVS8" s="459"/>
      <c r="AVT8" s="459"/>
      <c r="AVU8" s="459"/>
      <c r="AVV8" s="460"/>
      <c r="AVW8" s="457" t="s">
        <v>684</v>
      </c>
      <c r="AVX8" s="458"/>
      <c r="AVY8" s="459"/>
      <c r="AVZ8" s="459"/>
      <c r="AWA8" s="459"/>
      <c r="AWB8" s="459"/>
      <c r="AWC8" s="460"/>
      <c r="AWD8" s="457">
        <v>189</v>
      </c>
      <c r="AWE8" s="459"/>
      <c r="AWF8" s="459"/>
      <c r="AWG8" s="459"/>
      <c r="AWH8" s="460"/>
      <c r="AWI8" s="457">
        <v>190</v>
      </c>
      <c r="AWJ8" s="459"/>
      <c r="AWK8" s="459"/>
      <c r="AWL8" s="459"/>
      <c r="AWM8" s="460"/>
      <c r="AWN8" s="457">
        <v>191</v>
      </c>
      <c r="AWO8" s="459"/>
      <c r="AWP8" s="459"/>
      <c r="AWQ8" s="459"/>
      <c r="AWR8" s="460"/>
      <c r="AWS8" s="457">
        <v>192</v>
      </c>
      <c r="AWT8" s="459"/>
      <c r="AWU8" s="459"/>
      <c r="AWV8" s="459"/>
      <c r="AWW8" s="460"/>
      <c r="AWX8" s="457" t="s">
        <v>684</v>
      </c>
      <c r="AWY8" s="458"/>
      <c r="AWZ8" s="459"/>
      <c r="AXA8" s="459"/>
      <c r="AXB8" s="459"/>
      <c r="AXC8" s="459"/>
      <c r="AXD8" s="460"/>
      <c r="AXE8" s="457">
        <v>193</v>
      </c>
      <c r="AXF8" s="459"/>
      <c r="AXG8" s="459"/>
      <c r="AXH8" s="459"/>
      <c r="AXI8" s="460"/>
      <c r="AXJ8" s="457">
        <v>194</v>
      </c>
      <c r="AXK8" s="459"/>
      <c r="AXL8" s="459"/>
      <c r="AXM8" s="459"/>
      <c r="AXN8" s="460"/>
      <c r="AXO8" s="457">
        <v>195</v>
      </c>
      <c r="AXP8" s="459"/>
      <c r="AXQ8" s="459"/>
      <c r="AXR8" s="459"/>
      <c r="AXS8" s="460"/>
      <c r="AXT8" s="457">
        <v>196</v>
      </c>
      <c r="AXU8" s="459"/>
      <c r="AXV8" s="459"/>
      <c r="AXW8" s="459"/>
      <c r="AXX8" s="460"/>
      <c r="AXY8" s="457" t="s">
        <v>684</v>
      </c>
      <c r="AXZ8" s="458"/>
      <c r="AYA8" s="459"/>
      <c r="AYB8" s="459"/>
      <c r="AYC8" s="459"/>
      <c r="AYD8" s="459"/>
      <c r="AYE8" s="460"/>
      <c r="AYF8" s="457">
        <v>197</v>
      </c>
      <c r="AYG8" s="459"/>
      <c r="AYH8" s="459"/>
      <c r="AYI8" s="459"/>
      <c r="AYJ8" s="460"/>
      <c r="AYK8" s="457">
        <v>198</v>
      </c>
      <c r="AYL8" s="459"/>
      <c r="AYM8" s="459"/>
      <c r="AYN8" s="459"/>
      <c r="AYO8" s="459"/>
      <c r="AYP8" s="457">
        <v>199</v>
      </c>
      <c r="AYQ8" s="459"/>
      <c r="AYR8" s="459"/>
      <c r="AYS8" s="459"/>
      <c r="AYT8" s="460"/>
      <c r="AYU8" s="457">
        <v>200</v>
      </c>
      <c r="AYV8" s="459"/>
      <c r="AYW8" s="459"/>
      <c r="AYX8" s="459"/>
      <c r="AYY8" s="460"/>
      <c r="AYZ8" s="457" t="s">
        <v>684</v>
      </c>
      <c r="AZA8" s="458"/>
      <c r="AZB8" s="459"/>
      <c r="AZC8" s="459"/>
      <c r="AZD8" s="459"/>
      <c r="AZE8" s="459"/>
      <c r="AZF8" s="460"/>
      <c r="AZG8" s="457">
        <v>201</v>
      </c>
      <c r="AZH8" s="459"/>
      <c r="AZI8" s="459"/>
      <c r="AZJ8" s="459"/>
      <c r="AZK8" s="460"/>
      <c r="AZL8" s="457">
        <v>202</v>
      </c>
      <c r="AZM8" s="459"/>
      <c r="AZN8" s="459"/>
      <c r="AZO8" s="459"/>
      <c r="AZP8" s="460"/>
      <c r="AZQ8" s="457">
        <v>203</v>
      </c>
      <c r="AZR8" s="459"/>
      <c r="AZS8" s="459"/>
      <c r="AZT8" s="459"/>
      <c r="AZU8" s="460"/>
      <c r="AZV8" s="457">
        <v>204</v>
      </c>
      <c r="AZW8" s="459"/>
      <c r="AZX8" s="459"/>
      <c r="AZY8" s="459"/>
      <c r="AZZ8" s="460"/>
      <c r="BAA8" s="457" t="s">
        <v>684</v>
      </c>
      <c r="BAB8" s="459"/>
      <c r="BAC8" s="459"/>
      <c r="BAD8" s="459"/>
      <c r="BAE8" s="459"/>
      <c r="BAF8" s="459"/>
      <c r="BAG8" s="460"/>
      <c r="BAH8" s="457">
        <v>205</v>
      </c>
      <c r="BAI8" s="459"/>
      <c r="BAJ8" s="459"/>
      <c r="BAK8" s="459"/>
      <c r="BAL8" s="460"/>
      <c r="BAM8" s="457">
        <v>206</v>
      </c>
      <c r="BAN8" s="459"/>
      <c r="BAO8" s="459"/>
      <c r="BAP8" s="459"/>
      <c r="BAQ8" s="460"/>
      <c r="BAR8" s="457">
        <v>207</v>
      </c>
      <c r="BAS8" s="459"/>
      <c r="BAT8" s="459"/>
      <c r="BAU8" s="459"/>
      <c r="BAV8" s="460"/>
      <c r="BAW8" s="457">
        <v>208</v>
      </c>
      <c r="BAX8" s="459"/>
      <c r="BAY8" s="459"/>
      <c r="BAZ8" s="459"/>
      <c r="BBA8" s="460"/>
      <c r="BBB8" s="457" t="s">
        <v>684</v>
      </c>
      <c r="BBC8" s="459"/>
      <c r="BBD8" s="459"/>
      <c r="BBE8" s="459"/>
      <c r="BBF8" s="459"/>
      <c r="BBG8" s="459"/>
      <c r="BBH8" s="460"/>
      <c r="BBI8" s="457">
        <v>209</v>
      </c>
      <c r="BBJ8" s="459"/>
      <c r="BBK8" s="459"/>
      <c r="BBL8" s="459"/>
      <c r="BBM8" s="460"/>
      <c r="BBN8" s="457">
        <v>210</v>
      </c>
      <c r="BBO8" s="459"/>
      <c r="BBP8" s="459"/>
      <c r="BBQ8" s="459"/>
      <c r="BBR8" s="460"/>
      <c r="BBS8" s="457">
        <v>211</v>
      </c>
      <c r="BBT8" s="459"/>
      <c r="BBU8" s="459"/>
      <c r="BBV8" s="459"/>
      <c r="BBW8" s="460"/>
      <c r="BBX8" s="457">
        <v>212</v>
      </c>
      <c r="BBY8" s="459"/>
      <c r="BBZ8" s="459"/>
      <c r="BCA8" s="459"/>
      <c r="BCB8" s="460"/>
      <c r="BCC8" s="457" t="s">
        <v>684</v>
      </c>
      <c r="BCD8" s="458"/>
      <c r="BCE8" s="459"/>
      <c r="BCF8" s="459"/>
      <c r="BCG8" s="459"/>
      <c r="BCH8" s="459"/>
      <c r="BCI8" s="460"/>
      <c r="BCJ8" s="457">
        <v>213</v>
      </c>
      <c r="BCK8" s="459"/>
      <c r="BCL8" s="459"/>
      <c r="BCM8" s="459"/>
      <c r="BCN8" s="460"/>
      <c r="BCO8" s="457">
        <v>214</v>
      </c>
      <c r="BCP8" s="459"/>
      <c r="BCQ8" s="459"/>
      <c r="BCR8" s="459"/>
      <c r="BCS8" s="460"/>
      <c r="BCT8" s="457">
        <v>215</v>
      </c>
      <c r="BCU8" s="459"/>
      <c r="BCV8" s="459"/>
      <c r="BCW8" s="459"/>
      <c r="BCX8" s="460"/>
      <c r="BCY8" s="457">
        <v>216</v>
      </c>
      <c r="BCZ8" s="459"/>
      <c r="BDA8" s="459"/>
      <c r="BDB8" s="459"/>
      <c r="BDC8" s="460"/>
      <c r="BDD8" s="457" t="s">
        <v>684</v>
      </c>
      <c r="BDE8" s="458"/>
      <c r="BDF8" s="459"/>
      <c r="BDG8" s="459"/>
      <c r="BDH8" s="459"/>
      <c r="BDI8" s="459"/>
      <c r="BDJ8" s="460"/>
      <c r="BDK8" s="457">
        <v>217</v>
      </c>
      <c r="BDL8" s="459"/>
      <c r="BDM8" s="459"/>
      <c r="BDN8" s="459"/>
      <c r="BDO8" s="460"/>
      <c r="BDP8" s="457">
        <v>218</v>
      </c>
      <c r="BDQ8" s="459"/>
      <c r="BDR8" s="459"/>
      <c r="BDS8" s="459"/>
      <c r="BDT8" s="460"/>
      <c r="BDU8" s="457">
        <v>219</v>
      </c>
      <c r="BDV8" s="459"/>
      <c r="BDW8" s="459"/>
      <c r="BDX8" s="459"/>
      <c r="BDY8" s="460"/>
      <c r="BDZ8" s="457">
        <v>220</v>
      </c>
      <c r="BEA8" s="459"/>
      <c r="BEB8" s="459"/>
      <c r="BEC8" s="459"/>
      <c r="BED8" s="460"/>
      <c r="BEE8" s="457" t="s">
        <v>684</v>
      </c>
      <c r="BEF8" s="458"/>
      <c r="BEG8" s="459"/>
      <c r="BEH8" s="459"/>
      <c r="BEI8" s="459"/>
      <c r="BEJ8" s="459"/>
      <c r="BEK8" s="460"/>
      <c r="BEL8" s="457">
        <v>221</v>
      </c>
      <c r="BEM8" s="459"/>
      <c r="BEN8" s="459"/>
      <c r="BEO8" s="459"/>
      <c r="BEP8" s="460"/>
      <c r="BEQ8" s="457">
        <v>222</v>
      </c>
      <c r="BER8" s="459"/>
      <c r="BES8" s="459"/>
      <c r="BET8" s="459"/>
      <c r="BEU8" s="460"/>
      <c r="BEV8" s="457">
        <v>223</v>
      </c>
      <c r="BEW8" s="459"/>
      <c r="BEX8" s="459"/>
      <c r="BEY8" s="459"/>
      <c r="BEZ8" s="460"/>
      <c r="BFA8" s="457">
        <v>224</v>
      </c>
      <c r="BFB8" s="459"/>
      <c r="BFC8" s="459"/>
      <c r="BFD8" s="459"/>
      <c r="BFE8" s="460"/>
      <c r="BFF8" s="457" t="s">
        <v>684</v>
      </c>
      <c r="BFG8" s="458"/>
      <c r="BFH8" s="459"/>
      <c r="BFI8" s="459"/>
      <c r="BFJ8" s="459"/>
      <c r="BFK8" s="459"/>
      <c r="BFL8" s="460"/>
      <c r="BFM8" s="457">
        <v>225</v>
      </c>
      <c r="BFN8" s="459"/>
      <c r="BFO8" s="459"/>
      <c r="BFP8" s="459"/>
      <c r="BFQ8" s="460"/>
      <c r="BFR8" s="457">
        <v>226</v>
      </c>
      <c r="BFS8" s="459"/>
      <c r="BFT8" s="459"/>
      <c r="BFU8" s="459"/>
      <c r="BFV8" s="460"/>
      <c r="BFW8" s="461"/>
      <c r="BFX8" s="461"/>
      <c r="BFY8" s="461"/>
      <c r="BFZ8" s="461"/>
      <c r="BGA8" s="400"/>
      <c r="BGB8" s="461"/>
      <c r="BGC8" s="461"/>
      <c r="BGD8" s="461"/>
      <c r="BGE8" s="461"/>
      <c r="BGF8" s="400"/>
    </row>
    <row r="9" spans="1:1540" ht="45" customHeight="1" x14ac:dyDescent="0.4">
      <c r="A9" s="477" t="s">
        <v>14</v>
      </c>
      <c r="B9" s="462"/>
      <c r="C9" s="458" t="s">
        <v>13</v>
      </c>
      <c r="D9" s="458"/>
      <c r="E9" s="458"/>
      <c r="F9" s="458"/>
      <c r="G9" s="465"/>
      <c r="H9" s="468">
        <v>45016</v>
      </c>
      <c r="I9" s="469"/>
      <c r="J9" s="469"/>
      <c r="K9" s="470"/>
      <c r="L9" s="401">
        <v>45017</v>
      </c>
      <c r="M9" s="468">
        <v>45017</v>
      </c>
      <c r="N9" s="469"/>
      <c r="O9" s="469"/>
      <c r="P9" s="470"/>
      <c r="Q9" s="401">
        <v>45018</v>
      </c>
      <c r="R9" s="468">
        <v>45018</v>
      </c>
      <c r="S9" s="469"/>
      <c r="T9" s="469"/>
      <c r="U9" s="470"/>
      <c r="V9" s="401">
        <v>45019</v>
      </c>
      <c r="W9" s="468">
        <v>45019</v>
      </c>
      <c r="X9" s="469"/>
      <c r="Y9" s="469"/>
      <c r="Z9" s="470"/>
      <c r="AA9" s="401">
        <v>45020</v>
      </c>
      <c r="AB9" s="477" t="s">
        <v>14</v>
      </c>
      <c r="AC9" s="462"/>
      <c r="AD9" s="458" t="s">
        <v>13</v>
      </c>
      <c r="AE9" s="458"/>
      <c r="AF9" s="458"/>
      <c r="AG9" s="458"/>
      <c r="AH9" s="465"/>
      <c r="AI9" s="468">
        <v>45022</v>
      </c>
      <c r="AJ9" s="469"/>
      <c r="AK9" s="469"/>
      <c r="AL9" s="470"/>
      <c r="AM9" s="401">
        <v>45023</v>
      </c>
      <c r="AN9" s="468">
        <v>45023</v>
      </c>
      <c r="AO9" s="469"/>
      <c r="AP9" s="469"/>
      <c r="AQ9" s="470"/>
      <c r="AR9" s="401">
        <v>45024</v>
      </c>
      <c r="AS9" s="468">
        <v>45024</v>
      </c>
      <c r="AT9" s="469"/>
      <c r="AU9" s="469"/>
      <c r="AV9" s="470"/>
      <c r="AW9" s="401">
        <v>45025</v>
      </c>
      <c r="AX9" s="468">
        <v>45025</v>
      </c>
      <c r="AY9" s="469"/>
      <c r="AZ9" s="469"/>
      <c r="BA9" s="470"/>
      <c r="BB9" s="401">
        <v>45026</v>
      </c>
      <c r="BC9" s="477" t="s">
        <v>14</v>
      </c>
      <c r="BD9" s="462"/>
      <c r="BE9" s="458" t="s">
        <v>13</v>
      </c>
      <c r="BF9" s="458"/>
      <c r="BG9" s="458"/>
      <c r="BH9" s="458"/>
      <c r="BI9" s="465"/>
      <c r="BJ9" s="468">
        <v>45026</v>
      </c>
      <c r="BK9" s="469"/>
      <c r="BL9" s="469"/>
      <c r="BM9" s="470"/>
      <c r="BN9" s="401">
        <v>45027</v>
      </c>
      <c r="BO9" s="468">
        <v>45027</v>
      </c>
      <c r="BP9" s="469"/>
      <c r="BQ9" s="469"/>
      <c r="BR9" s="470"/>
      <c r="BS9" s="401">
        <v>45028</v>
      </c>
      <c r="BT9" s="468">
        <v>45028</v>
      </c>
      <c r="BU9" s="469"/>
      <c r="BV9" s="469"/>
      <c r="BW9" s="470"/>
      <c r="BX9" s="401">
        <v>45029</v>
      </c>
      <c r="BY9" s="468">
        <v>45031</v>
      </c>
      <c r="BZ9" s="469"/>
      <c r="CA9" s="469"/>
      <c r="CB9" s="470"/>
      <c r="CC9" s="401">
        <v>45032</v>
      </c>
      <c r="CD9" s="477" t="s">
        <v>14</v>
      </c>
      <c r="CE9" s="462"/>
      <c r="CF9" s="458" t="s">
        <v>13</v>
      </c>
      <c r="CG9" s="458"/>
      <c r="CH9" s="458"/>
      <c r="CI9" s="458"/>
      <c r="CJ9" s="465"/>
      <c r="CK9" s="468">
        <v>45032</v>
      </c>
      <c r="CL9" s="469"/>
      <c r="CM9" s="469"/>
      <c r="CN9" s="470"/>
      <c r="CO9" s="401">
        <v>45033</v>
      </c>
      <c r="CP9" s="468">
        <v>45033</v>
      </c>
      <c r="CQ9" s="469"/>
      <c r="CR9" s="469"/>
      <c r="CS9" s="470"/>
      <c r="CT9" s="401">
        <v>45034</v>
      </c>
      <c r="CU9" s="468">
        <v>45034</v>
      </c>
      <c r="CV9" s="469"/>
      <c r="CW9" s="469"/>
      <c r="CX9" s="470"/>
      <c r="CY9" s="401">
        <v>45035</v>
      </c>
      <c r="CZ9" s="468">
        <v>45035</v>
      </c>
      <c r="DA9" s="469"/>
      <c r="DB9" s="469"/>
      <c r="DC9" s="470"/>
      <c r="DD9" s="401">
        <v>45036</v>
      </c>
      <c r="DE9" s="477" t="s">
        <v>14</v>
      </c>
      <c r="DF9" s="462"/>
      <c r="DG9" s="458" t="s">
        <v>13</v>
      </c>
      <c r="DH9" s="458"/>
      <c r="DI9" s="458"/>
      <c r="DJ9" s="458"/>
      <c r="DK9" s="465"/>
      <c r="DL9" s="468">
        <v>45036</v>
      </c>
      <c r="DM9" s="469"/>
      <c r="DN9" s="469"/>
      <c r="DO9" s="470"/>
      <c r="DP9" s="401">
        <v>45037</v>
      </c>
      <c r="DQ9" s="468">
        <v>45037</v>
      </c>
      <c r="DR9" s="469"/>
      <c r="DS9" s="469"/>
      <c r="DT9" s="470"/>
      <c r="DU9" s="401">
        <v>45038</v>
      </c>
      <c r="DV9" s="468">
        <v>45038</v>
      </c>
      <c r="DW9" s="469"/>
      <c r="DX9" s="469"/>
      <c r="DY9" s="470"/>
      <c r="DZ9" s="401">
        <v>45039</v>
      </c>
      <c r="EA9" s="468">
        <v>45041</v>
      </c>
      <c r="EB9" s="469"/>
      <c r="EC9" s="469"/>
      <c r="ED9" s="470"/>
      <c r="EE9" s="401">
        <v>45042</v>
      </c>
      <c r="EF9" s="477" t="s">
        <v>14</v>
      </c>
      <c r="EG9" s="462"/>
      <c r="EH9" s="458" t="s">
        <v>13</v>
      </c>
      <c r="EI9" s="458"/>
      <c r="EJ9" s="458"/>
      <c r="EK9" s="458"/>
      <c r="EL9" s="465"/>
      <c r="EM9" s="468">
        <v>45042</v>
      </c>
      <c r="EN9" s="469"/>
      <c r="EO9" s="469"/>
      <c r="EP9" s="470"/>
      <c r="EQ9" s="401">
        <v>45043</v>
      </c>
      <c r="ER9" s="468">
        <v>45043</v>
      </c>
      <c r="ES9" s="469"/>
      <c r="ET9" s="469"/>
      <c r="EU9" s="470"/>
      <c r="EV9" s="401">
        <v>45044</v>
      </c>
      <c r="EW9" s="468">
        <v>45044</v>
      </c>
      <c r="EX9" s="469"/>
      <c r="EY9" s="469"/>
      <c r="EZ9" s="470"/>
      <c r="FA9" s="401">
        <v>45045</v>
      </c>
      <c r="FB9" s="468">
        <v>45045</v>
      </c>
      <c r="FC9" s="469"/>
      <c r="FD9" s="469"/>
      <c r="FE9" s="470"/>
      <c r="FF9" s="401">
        <v>45046</v>
      </c>
      <c r="FG9" s="477" t="s">
        <v>14</v>
      </c>
      <c r="FH9" s="462"/>
      <c r="FI9" s="458" t="s">
        <v>13</v>
      </c>
      <c r="FJ9" s="458"/>
      <c r="FK9" s="458"/>
      <c r="FL9" s="458"/>
      <c r="FM9" s="465"/>
      <c r="FN9" s="468">
        <v>45046</v>
      </c>
      <c r="FO9" s="469"/>
      <c r="FP9" s="469"/>
      <c r="FQ9" s="470"/>
      <c r="FR9" s="401">
        <v>45047</v>
      </c>
      <c r="FS9" s="468">
        <v>45047</v>
      </c>
      <c r="FT9" s="469"/>
      <c r="FU9" s="469"/>
      <c r="FV9" s="470"/>
      <c r="FW9" s="401">
        <v>45048</v>
      </c>
      <c r="FX9" s="468">
        <v>45048</v>
      </c>
      <c r="FY9" s="469"/>
      <c r="FZ9" s="469"/>
      <c r="GA9" s="470"/>
      <c r="GB9" s="401">
        <v>45049</v>
      </c>
      <c r="GC9" s="468">
        <v>45049</v>
      </c>
      <c r="GD9" s="469"/>
      <c r="GE9" s="469"/>
      <c r="GF9" s="470"/>
      <c r="GG9" s="401">
        <v>45050</v>
      </c>
      <c r="GH9" s="477" t="s">
        <v>14</v>
      </c>
      <c r="GI9" s="462"/>
      <c r="GJ9" s="458" t="s">
        <v>13</v>
      </c>
      <c r="GK9" s="458"/>
      <c r="GL9" s="458"/>
      <c r="GM9" s="458"/>
      <c r="GN9" s="465"/>
      <c r="GO9" s="468">
        <v>45050</v>
      </c>
      <c r="GP9" s="469"/>
      <c r="GQ9" s="469"/>
      <c r="GR9" s="470"/>
      <c r="GS9" s="401">
        <v>45051</v>
      </c>
      <c r="GT9" s="468">
        <v>45053</v>
      </c>
      <c r="GU9" s="469"/>
      <c r="GV9" s="469"/>
      <c r="GW9" s="470"/>
      <c r="GX9" s="401">
        <v>45054</v>
      </c>
      <c r="GY9" s="468">
        <v>45054</v>
      </c>
      <c r="GZ9" s="469"/>
      <c r="HA9" s="469"/>
      <c r="HB9" s="470"/>
      <c r="HC9" s="401">
        <v>45055</v>
      </c>
      <c r="HD9" s="468">
        <v>45055</v>
      </c>
      <c r="HE9" s="469"/>
      <c r="HF9" s="469"/>
      <c r="HG9" s="470"/>
      <c r="HH9" s="401">
        <v>45056</v>
      </c>
      <c r="HI9" s="477" t="s">
        <v>14</v>
      </c>
      <c r="HJ9" s="462"/>
      <c r="HK9" s="458" t="s">
        <v>13</v>
      </c>
      <c r="HL9" s="458"/>
      <c r="HM9" s="458"/>
      <c r="HN9" s="458"/>
      <c r="HO9" s="465"/>
      <c r="HP9" s="468">
        <v>45056</v>
      </c>
      <c r="HQ9" s="469"/>
      <c r="HR9" s="469"/>
      <c r="HS9" s="470"/>
      <c r="HT9" s="401">
        <v>45057</v>
      </c>
      <c r="HU9" s="468">
        <v>45057</v>
      </c>
      <c r="HV9" s="469"/>
      <c r="HW9" s="469"/>
      <c r="HX9" s="470"/>
      <c r="HY9" s="401">
        <v>45058</v>
      </c>
      <c r="HZ9" s="468">
        <v>45059</v>
      </c>
      <c r="IA9" s="469"/>
      <c r="IB9" s="469"/>
      <c r="IC9" s="470"/>
      <c r="ID9" s="401">
        <v>45060</v>
      </c>
      <c r="IE9" s="468">
        <v>45060</v>
      </c>
      <c r="IF9" s="469"/>
      <c r="IG9" s="469"/>
      <c r="IH9" s="470"/>
      <c r="II9" s="401">
        <v>45061</v>
      </c>
      <c r="IJ9" s="477" t="s">
        <v>14</v>
      </c>
      <c r="IK9" s="462"/>
      <c r="IL9" s="458" t="s">
        <v>13</v>
      </c>
      <c r="IM9" s="458"/>
      <c r="IN9" s="458"/>
      <c r="IO9" s="458"/>
      <c r="IP9" s="465"/>
      <c r="IQ9" s="468">
        <v>45061</v>
      </c>
      <c r="IR9" s="469"/>
      <c r="IS9" s="469"/>
      <c r="IT9" s="470"/>
      <c r="IU9" s="401">
        <v>45062</v>
      </c>
      <c r="IV9" s="468">
        <v>45062</v>
      </c>
      <c r="IW9" s="469"/>
      <c r="IX9" s="469"/>
      <c r="IY9" s="470"/>
      <c r="IZ9" s="401">
        <v>45063</v>
      </c>
      <c r="JA9" s="468">
        <v>45064</v>
      </c>
      <c r="JB9" s="469"/>
      <c r="JC9" s="469"/>
      <c r="JD9" s="470"/>
      <c r="JE9" s="401">
        <v>45065</v>
      </c>
      <c r="JF9" s="468">
        <v>45065</v>
      </c>
      <c r="JG9" s="469"/>
      <c r="JH9" s="469"/>
      <c r="JI9" s="470"/>
      <c r="JJ9" s="401">
        <v>45066</v>
      </c>
      <c r="JK9" s="477" t="s">
        <v>14</v>
      </c>
      <c r="JL9" s="462"/>
      <c r="JM9" s="458" t="s">
        <v>13</v>
      </c>
      <c r="JN9" s="458"/>
      <c r="JO9" s="458"/>
      <c r="JP9" s="458"/>
      <c r="JQ9" s="465"/>
      <c r="JR9" s="468">
        <v>45066</v>
      </c>
      <c r="JS9" s="469"/>
      <c r="JT9" s="469"/>
      <c r="JU9" s="470"/>
      <c r="JV9" s="401">
        <v>45067</v>
      </c>
      <c r="JW9" s="468">
        <v>45067</v>
      </c>
      <c r="JX9" s="469"/>
      <c r="JY9" s="469"/>
      <c r="JZ9" s="470"/>
      <c r="KA9" s="401">
        <v>45068</v>
      </c>
      <c r="KB9" s="468">
        <v>45068</v>
      </c>
      <c r="KC9" s="469"/>
      <c r="KD9" s="469"/>
      <c r="KE9" s="470"/>
      <c r="KF9" s="401">
        <v>45069</v>
      </c>
      <c r="KG9" s="468">
        <v>45069</v>
      </c>
      <c r="KH9" s="469"/>
      <c r="KI9" s="469"/>
      <c r="KJ9" s="470"/>
      <c r="KK9" s="401">
        <v>45070</v>
      </c>
      <c r="KL9" s="477" t="s">
        <v>14</v>
      </c>
      <c r="KM9" s="462"/>
      <c r="KN9" s="458" t="s">
        <v>13</v>
      </c>
      <c r="KO9" s="458"/>
      <c r="KP9" s="458"/>
      <c r="KQ9" s="458"/>
      <c r="KR9" s="465"/>
      <c r="KS9" s="468">
        <v>45070</v>
      </c>
      <c r="KT9" s="469"/>
      <c r="KU9" s="469"/>
      <c r="KV9" s="470"/>
      <c r="KW9" s="401">
        <v>45071</v>
      </c>
      <c r="KX9" s="468">
        <v>45071</v>
      </c>
      <c r="KY9" s="469"/>
      <c r="KZ9" s="469"/>
      <c r="LA9" s="470"/>
      <c r="LB9" s="401">
        <v>45072</v>
      </c>
      <c r="LC9" s="468">
        <v>45072</v>
      </c>
      <c r="LD9" s="469"/>
      <c r="LE9" s="469"/>
      <c r="LF9" s="470"/>
      <c r="LG9" s="401">
        <v>45073</v>
      </c>
      <c r="LH9" s="468">
        <v>45073</v>
      </c>
      <c r="LI9" s="469"/>
      <c r="LJ9" s="469"/>
      <c r="LK9" s="470"/>
      <c r="LL9" s="401">
        <v>45074</v>
      </c>
      <c r="LM9" s="477" t="s">
        <v>14</v>
      </c>
      <c r="LN9" s="462"/>
      <c r="LO9" s="458" t="s">
        <v>13</v>
      </c>
      <c r="LP9" s="458"/>
      <c r="LQ9" s="458"/>
      <c r="LR9" s="458"/>
      <c r="LS9" s="465"/>
      <c r="LT9" s="468">
        <v>45074</v>
      </c>
      <c r="LU9" s="469"/>
      <c r="LV9" s="469"/>
      <c r="LW9" s="470"/>
      <c r="LX9" s="401">
        <v>45075</v>
      </c>
      <c r="LY9" s="468">
        <v>45076</v>
      </c>
      <c r="LZ9" s="469"/>
      <c r="MA9" s="469"/>
      <c r="MB9" s="470"/>
      <c r="MC9" s="401">
        <v>45077</v>
      </c>
      <c r="MD9" s="468">
        <v>45077</v>
      </c>
      <c r="ME9" s="469"/>
      <c r="MF9" s="469"/>
      <c r="MG9" s="470"/>
      <c r="MH9" s="401">
        <v>45078</v>
      </c>
      <c r="MI9" s="468">
        <v>45079</v>
      </c>
      <c r="MJ9" s="469"/>
      <c r="MK9" s="469"/>
      <c r="ML9" s="470"/>
      <c r="MM9" s="401">
        <v>45080</v>
      </c>
      <c r="MN9" s="477" t="s">
        <v>14</v>
      </c>
      <c r="MO9" s="462"/>
      <c r="MP9" s="458" t="s">
        <v>13</v>
      </c>
      <c r="MQ9" s="458"/>
      <c r="MR9" s="458"/>
      <c r="MS9" s="458"/>
      <c r="MT9" s="465"/>
      <c r="MU9" s="468">
        <v>45080</v>
      </c>
      <c r="MV9" s="469"/>
      <c r="MW9" s="469"/>
      <c r="MX9" s="470"/>
      <c r="MY9" s="401">
        <v>45081</v>
      </c>
      <c r="MZ9" s="468">
        <v>45081</v>
      </c>
      <c r="NA9" s="469"/>
      <c r="NB9" s="469"/>
      <c r="NC9" s="470"/>
      <c r="ND9" s="401">
        <v>45082</v>
      </c>
      <c r="NE9" s="468">
        <v>45083</v>
      </c>
      <c r="NF9" s="469"/>
      <c r="NG9" s="469"/>
      <c r="NH9" s="470"/>
      <c r="NI9" s="401">
        <v>45084</v>
      </c>
      <c r="NJ9" s="468">
        <v>45085</v>
      </c>
      <c r="NK9" s="469"/>
      <c r="NL9" s="469"/>
      <c r="NM9" s="470"/>
      <c r="NN9" s="401">
        <v>45086</v>
      </c>
      <c r="NO9" s="477" t="s">
        <v>14</v>
      </c>
      <c r="NP9" s="462"/>
      <c r="NQ9" s="458" t="s">
        <v>13</v>
      </c>
      <c r="NR9" s="458"/>
      <c r="NS9" s="458"/>
      <c r="NT9" s="458"/>
      <c r="NU9" s="465"/>
      <c r="NV9" s="468">
        <v>45086</v>
      </c>
      <c r="NW9" s="469"/>
      <c r="NX9" s="469"/>
      <c r="NY9" s="470"/>
      <c r="NZ9" s="401">
        <v>45087</v>
      </c>
      <c r="OA9" s="468">
        <v>45087</v>
      </c>
      <c r="OB9" s="469"/>
      <c r="OC9" s="469"/>
      <c r="OD9" s="470"/>
      <c r="OE9" s="401">
        <v>45088</v>
      </c>
      <c r="OF9" s="468">
        <v>45088</v>
      </c>
      <c r="OG9" s="469"/>
      <c r="OH9" s="469"/>
      <c r="OI9" s="470"/>
      <c r="OJ9" s="401">
        <v>45089</v>
      </c>
      <c r="OK9" s="468">
        <v>45089</v>
      </c>
      <c r="OL9" s="469"/>
      <c r="OM9" s="469"/>
      <c r="ON9" s="470"/>
      <c r="OO9" s="401">
        <v>45090</v>
      </c>
      <c r="OP9" s="477" t="s">
        <v>14</v>
      </c>
      <c r="OQ9" s="462"/>
      <c r="OR9" s="458" t="s">
        <v>13</v>
      </c>
      <c r="OS9" s="458"/>
      <c r="OT9" s="458"/>
      <c r="OU9" s="458"/>
      <c r="OV9" s="465"/>
      <c r="OW9" s="468">
        <v>45090</v>
      </c>
      <c r="OX9" s="469"/>
      <c r="OY9" s="469"/>
      <c r="OZ9" s="470"/>
      <c r="PA9" s="401">
        <v>45091</v>
      </c>
      <c r="PB9" s="468">
        <v>45091</v>
      </c>
      <c r="PC9" s="469"/>
      <c r="PD9" s="469"/>
      <c r="PE9" s="470"/>
      <c r="PF9" s="401">
        <v>45092</v>
      </c>
      <c r="PG9" s="468">
        <v>45092</v>
      </c>
      <c r="PH9" s="469"/>
      <c r="PI9" s="469"/>
      <c r="PJ9" s="470"/>
      <c r="PK9" s="401">
        <v>45093</v>
      </c>
      <c r="PL9" s="468">
        <v>45093</v>
      </c>
      <c r="PM9" s="469"/>
      <c r="PN9" s="469"/>
      <c r="PO9" s="470"/>
      <c r="PP9" s="401">
        <v>45094</v>
      </c>
      <c r="PQ9" s="477" t="s">
        <v>14</v>
      </c>
      <c r="PR9" s="462"/>
      <c r="PS9" s="458" t="s">
        <v>13</v>
      </c>
      <c r="PT9" s="458"/>
      <c r="PU9" s="458"/>
      <c r="PV9" s="458"/>
      <c r="PW9" s="465"/>
      <c r="PX9" s="468">
        <v>45094</v>
      </c>
      <c r="PY9" s="469"/>
      <c r="PZ9" s="469"/>
      <c r="QA9" s="470"/>
      <c r="QB9" s="401">
        <v>45095</v>
      </c>
      <c r="QC9" s="468">
        <v>45095</v>
      </c>
      <c r="QD9" s="469"/>
      <c r="QE9" s="469"/>
      <c r="QF9" s="470"/>
      <c r="QG9" s="401">
        <v>45096</v>
      </c>
      <c r="QH9" s="468">
        <v>45096</v>
      </c>
      <c r="QI9" s="469"/>
      <c r="QJ9" s="469"/>
      <c r="QK9" s="470"/>
      <c r="QL9" s="401">
        <v>45097</v>
      </c>
      <c r="QM9" s="468">
        <v>45098</v>
      </c>
      <c r="QN9" s="469"/>
      <c r="QO9" s="469"/>
      <c r="QP9" s="470"/>
      <c r="QQ9" s="401">
        <v>45099</v>
      </c>
      <c r="QR9" s="477" t="s">
        <v>14</v>
      </c>
      <c r="QS9" s="462"/>
      <c r="QT9" s="458" t="s">
        <v>13</v>
      </c>
      <c r="QU9" s="458"/>
      <c r="QV9" s="458"/>
      <c r="QW9" s="458"/>
      <c r="QX9" s="465"/>
      <c r="QY9" s="468">
        <v>45099</v>
      </c>
      <c r="QZ9" s="469"/>
      <c r="RA9" s="469"/>
      <c r="RB9" s="470"/>
      <c r="RC9" s="401">
        <v>45100</v>
      </c>
      <c r="RD9" s="468">
        <v>45100</v>
      </c>
      <c r="RE9" s="469"/>
      <c r="RF9" s="469"/>
      <c r="RG9" s="470"/>
      <c r="RH9" s="401">
        <v>45101</v>
      </c>
      <c r="RI9" s="468">
        <v>45101</v>
      </c>
      <c r="RJ9" s="469"/>
      <c r="RK9" s="469"/>
      <c r="RL9" s="470"/>
      <c r="RM9" s="401">
        <v>45102</v>
      </c>
      <c r="RN9" s="468">
        <v>45102</v>
      </c>
      <c r="RO9" s="469"/>
      <c r="RP9" s="469"/>
      <c r="RQ9" s="470"/>
      <c r="RR9" s="401">
        <v>45103</v>
      </c>
      <c r="RS9" s="477" t="s">
        <v>14</v>
      </c>
      <c r="RT9" s="462"/>
      <c r="RU9" s="458" t="s">
        <v>13</v>
      </c>
      <c r="RV9" s="458"/>
      <c r="RW9" s="458"/>
      <c r="RX9" s="458"/>
      <c r="RY9" s="465"/>
      <c r="RZ9" s="468">
        <v>45103</v>
      </c>
      <c r="SA9" s="469"/>
      <c r="SB9" s="469"/>
      <c r="SC9" s="470"/>
      <c r="SD9" s="401">
        <v>45104</v>
      </c>
      <c r="SE9" s="468">
        <v>45108</v>
      </c>
      <c r="SF9" s="469"/>
      <c r="SG9" s="469"/>
      <c r="SH9" s="470"/>
      <c r="SI9" s="401">
        <v>45109</v>
      </c>
      <c r="SJ9" s="468">
        <v>45114</v>
      </c>
      <c r="SK9" s="469"/>
      <c r="SL9" s="469"/>
      <c r="SM9" s="470"/>
      <c r="SN9" s="401">
        <v>45115</v>
      </c>
      <c r="SO9" s="468">
        <v>45115</v>
      </c>
      <c r="SP9" s="469"/>
      <c r="SQ9" s="469"/>
      <c r="SR9" s="470"/>
      <c r="SS9" s="401">
        <v>45116</v>
      </c>
      <c r="ST9" s="477" t="s">
        <v>14</v>
      </c>
      <c r="SU9" s="462"/>
      <c r="SV9" s="458" t="s">
        <v>13</v>
      </c>
      <c r="SW9" s="458"/>
      <c r="SX9" s="458"/>
      <c r="SY9" s="458"/>
      <c r="SZ9" s="465"/>
      <c r="TA9" s="468">
        <v>45121</v>
      </c>
      <c r="TB9" s="469"/>
      <c r="TC9" s="469"/>
      <c r="TD9" s="470"/>
      <c r="TE9" s="401">
        <v>45122</v>
      </c>
      <c r="TF9" s="468">
        <v>45122</v>
      </c>
      <c r="TG9" s="469"/>
      <c r="TH9" s="469"/>
      <c r="TI9" s="470"/>
      <c r="TJ9" s="401">
        <v>45123</v>
      </c>
      <c r="TK9" s="468">
        <v>45129</v>
      </c>
      <c r="TL9" s="469"/>
      <c r="TM9" s="469"/>
      <c r="TN9" s="470"/>
      <c r="TO9" s="401">
        <v>45130</v>
      </c>
      <c r="TP9" s="468">
        <v>45136</v>
      </c>
      <c r="TQ9" s="469"/>
      <c r="TR9" s="469"/>
      <c r="TS9" s="470"/>
      <c r="TT9" s="401">
        <v>45137</v>
      </c>
      <c r="TU9" s="477" t="s">
        <v>14</v>
      </c>
      <c r="TV9" s="462"/>
      <c r="TW9" s="458" t="s">
        <v>13</v>
      </c>
      <c r="TX9" s="458"/>
      <c r="TY9" s="458"/>
      <c r="TZ9" s="458"/>
      <c r="UA9" s="465"/>
      <c r="UB9" s="468">
        <v>45143</v>
      </c>
      <c r="UC9" s="469"/>
      <c r="UD9" s="469"/>
      <c r="UE9" s="470"/>
      <c r="UF9" s="401">
        <v>45144</v>
      </c>
      <c r="UG9" s="468">
        <v>45148</v>
      </c>
      <c r="UH9" s="469"/>
      <c r="UI9" s="469"/>
      <c r="UJ9" s="470"/>
      <c r="UK9" s="401">
        <v>45149</v>
      </c>
      <c r="UL9" s="468">
        <v>45149</v>
      </c>
      <c r="UM9" s="469"/>
      <c r="UN9" s="469"/>
      <c r="UO9" s="470"/>
      <c r="UP9" s="401">
        <v>45150</v>
      </c>
      <c r="UQ9" s="468">
        <v>45150</v>
      </c>
      <c r="UR9" s="469"/>
      <c r="US9" s="469"/>
      <c r="UT9" s="470"/>
      <c r="UU9" s="401">
        <v>45151</v>
      </c>
      <c r="UV9" s="477" t="s">
        <v>14</v>
      </c>
      <c r="UW9" s="462"/>
      <c r="UX9" s="458" t="s">
        <v>13</v>
      </c>
      <c r="UY9" s="458"/>
      <c r="UZ9" s="458"/>
      <c r="VA9" s="458"/>
      <c r="VB9" s="465"/>
      <c r="VC9" s="468">
        <v>45151</v>
      </c>
      <c r="VD9" s="469"/>
      <c r="VE9" s="469"/>
      <c r="VF9" s="470"/>
      <c r="VG9" s="401">
        <v>45152</v>
      </c>
      <c r="VH9" s="468">
        <v>45152</v>
      </c>
      <c r="VI9" s="469"/>
      <c r="VJ9" s="469"/>
      <c r="VK9" s="470"/>
      <c r="VL9" s="401">
        <v>45153</v>
      </c>
      <c r="VM9" s="468">
        <v>45153</v>
      </c>
      <c r="VN9" s="469"/>
      <c r="VO9" s="469"/>
      <c r="VP9" s="470"/>
      <c r="VQ9" s="401">
        <v>45154</v>
      </c>
      <c r="VR9" s="468">
        <v>45156</v>
      </c>
      <c r="VS9" s="469"/>
      <c r="VT9" s="469"/>
      <c r="VU9" s="470"/>
      <c r="VV9" s="401">
        <v>45157</v>
      </c>
      <c r="VW9" s="477" t="s">
        <v>14</v>
      </c>
      <c r="VX9" s="462"/>
      <c r="VY9" s="458" t="s">
        <v>13</v>
      </c>
      <c r="VZ9" s="458"/>
      <c r="WA9" s="458"/>
      <c r="WB9" s="458"/>
      <c r="WC9" s="465"/>
      <c r="WD9" s="468">
        <v>45157</v>
      </c>
      <c r="WE9" s="469"/>
      <c r="WF9" s="469"/>
      <c r="WG9" s="470"/>
      <c r="WH9" s="401">
        <v>45158</v>
      </c>
      <c r="WI9" s="468">
        <v>45163</v>
      </c>
      <c r="WJ9" s="469"/>
      <c r="WK9" s="469"/>
      <c r="WL9" s="470"/>
      <c r="WM9" s="401">
        <v>45164</v>
      </c>
      <c r="WN9" s="468">
        <v>45164</v>
      </c>
      <c r="WO9" s="469"/>
      <c r="WP9" s="469"/>
      <c r="WQ9" s="470"/>
      <c r="WR9" s="401">
        <v>45165</v>
      </c>
      <c r="WS9" s="468">
        <v>45171</v>
      </c>
      <c r="WT9" s="469"/>
      <c r="WU9" s="469"/>
      <c r="WV9" s="470"/>
      <c r="WW9" s="401">
        <v>45172</v>
      </c>
      <c r="WX9" s="477" t="s">
        <v>14</v>
      </c>
      <c r="WY9" s="462"/>
      <c r="WZ9" s="458" t="s">
        <v>13</v>
      </c>
      <c r="XA9" s="458"/>
      <c r="XB9" s="458"/>
      <c r="XC9" s="458"/>
      <c r="XD9" s="465"/>
      <c r="XE9" s="468">
        <v>45175</v>
      </c>
      <c r="XF9" s="469"/>
      <c r="XG9" s="469"/>
      <c r="XH9" s="470"/>
      <c r="XI9" s="401">
        <v>45176</v>
      </c>
      <c r="XJ9" s="468">
        <v>45176</v>
      </c>
      <c r="XK9" s="469"/>
      <c r="XL9" s="469"/>
      <c r="XM9" s="470"/>
      <c r="XN9" s="401">
        <v>45177</v>
      </c>
      <c r="XO9" s="468">
        <v>45177</v>
      </c>
      <c r="XP9" s="469"/>
      <c r="XQ9" s="469"/>
      <c r="XR9" s="470"/>
      <c r="XS9" s="401">
        <v>45178</v>
      </c>
      <c r="XT9" s="468">
        <v>45178</v>
      </c>
      <c r="XU9" s="469"/>
      <c r="XV9" s="469"/>
      <c r="XW9" s="470"/>
      <c r="XX9" s="401">
        <v>45179</v>
      </c>
      <c r="XY9" s="477" t="s">
        <v>14</v>
      </c>
      <c r="XZ9" s="462"/>
      <c r="YA9" s="458" t="s">
        <v>13</v>
      </c>
      <c r="YB9" s="458"/>
      <c r="YC9" s="458"/>
      <c r="YD9" s="458"/>
      <c r="YE9" s="465"/>
      <c r="YF9" s="468">
        <v>45184</v>
      </c>
      <c r="YG9" s="469"/>
      <c r="YH9" s="469"/>
      <c r="YI9" s="470"/>
      <c r="YJ9" s="401">
        <v>45185</v>
      </c>
      <c r="YK9" s="468">
        <v>45185</v>
      </c>
      <c r="YL9" s="469"/>
      <c r="YM9" s="469"/>
      <c r="YN9" s="470"/>
      <c r="YO9" s="401">
        <v>45186</v>
      </c>
      <c r="YP9" s="468">
        <v>45191</v>
      </c>
      <c r="YQ9" s="469"/>
      <c r="YR9" s="469"/>
      <c r="YS9" s="470"/>
      <c r="YT9" s="401">
        <v>45192</v>
      </c>
      <c r="YU9" s="468">
        <v>45192</v>
      </c>
      <c r="YV9" s="469"/>
      <c r="YW9" s="469"/>
      <c r="YX9" s="470"/>
      <c r="YY9" s="401">
        <v>45193</v>
      </c>
      <c r="YZ9" s="477" t="s">
        <v>14</v>
      </c>
      <c r="ZA9" s="462"/>
      <c r="ZB9" s="458" t="s">
        <v>13</v>
      </c>
      <c r="ZC9" s="458"/>
      <c r="ZD9" s="458"/>
      <c r="ZE9" s="458"/>
      <c r="ZF9" s="465"/>
      <c r="ZG9" s="468">
        <v>45195</v>
      </c>
      <c r="ZH9" s="469"/>
      <c r="ZI9" s="469"/>
      <c r="ZJ9" s="470"/>
      <c r="ZK9" s="401">
        <v>45196</v>
      </c>
      <c r="ZL9" s="468">
        <v>45197</v>
      </c>
      <c r="ZM9" s="469"/>
      <c r="ZN9" s="469"/>
      <c r="ZO9" s="470"/>
      <c r="ZP9" s="401">
        <v>45198</v>
      </c>
      <c r="ZQ9" s="468">
        <v>45198</v>
      </c>
      <c r="ZR9" s="469"/>
      <c r="ZS9" s="469"/>
      <c r="ZT9" s="470"/>
      <c r="ZU9" s="401">
        <v>45199</v>
      </c>
      <c r="ZV9" s="468">
        <v>45199</v>
      </c>
      <c r="ZW9" s="469"/>
      <c r="ZX9" s="469"/>
      <c r="ZY9" s="470"/>
      <c r="ZZ9" s="401">
        <v>45200</v>
      </c>
      <c r="AAA9" s="477" t="s">
        <v>14</v>
      </c>
      <c r="AAB9" s="462"/>
      <c r="AAC9" s="458" t="s">
        <v>13</v>
      </c>
      <c r="AAD9" s="458"/>
      <c r="AAE9" s="458"/>
      <c r="AAF9" s="458"/>
      <c r="AAG9" s="465"/>
      <c r="AAH9" s="468">
        <v>45200</v>
      </c>
      <c r="AAI9" s="469"/>
      <c r="AAJ9" s="469"/>
      <c r="AAK9" s="470"/>
      <c r="AAL9" s="401">
        <v>45201</v>
      </c>
      <c r="AAM9" s="468">
        <v>45201</v>
      </c>
      <c r="AAN9" s="469"/>
      <c r="AAO9" s="469"/>
      <c r="AAP9" s="470"/>
      <c r="AAQ9" s="401">
        <v>45202</v>
      </c>
      <c r="AAR9" s="468">
        <v>45202</v>
      </c>
      <c r="AAS9" s="469"/>
      <c r="AAT9" s="469"/>
      <c r="AAU9" s="470"/>
      <c r="AAV9" s="401">
        <v>45203</v>
      </c>
      <c r="AAW9" s="468">
        <v>45203</v>
      </c>
      <c r="AAX9" s="469"/>
      <c r="AAY9" s="469"/>
      <c r="AAZ9" s="470"/>
      <c r="ABA9" s="401">
        <v>45204</v>
      </c>
      <c r="ABB9" s="477" t="s">
        <v>14</v>
      </c>
      <c r="ABC9" s="462"/>
      <c r="ABD9" s="458" t="s">
        <v>13</v>
      </c>
      <c r="ABE9" s="458"/>
      <c r="ABF9" s="458"/>
      <c r="ABG9" s="458"/>
      <c r="ABH9" s="465"/>
      <c r="ABI9" s="468">
        <v>45204</v>
      </c>
      <c r="ABJ9" s="469"/>
      <c r="ABK9" s="469"/>
      <c r="ABL9" s="470"/>
      <c r="ABM9" s="401">
        <v>45205</v>
      </c>
      <c r="ABN9" s="468">
        <v>45205</v>
      </c>
      <c r="ABO9" s="469"/>
      <c r="ABP9" s="469"/>
      <c r="ABQ9" s="470"/>
      <c r="ABR9" s="401">
        <v>45206</v>
      </c>
      <c r="ABS9" s="468">
        <v>45207</v>
      </c>
      <c r="ABT9" s="469"/>
      <c r="ABU9" s="469"/>
      <c r="ABV9" s="470"/>
      <c r="ABW9" s="401">
        <v>45208</v>
      </c>
      <c r="ABX9" s="468">
        <v>45208</v>
      </c>
      <c r="ABY9" s="469"/>
      <c r="ABZ9" s="469"/>
      <c r="ACA9" s="470"/>
      <c r="ACB9" s="401">
        <v>45209</v>
      </c>
      <c r="ACC9" s="477" t="s">
        <v>14</v>
      </c>
      <c r="ACD9" s="462"/>
      <c r="ACE9" s="458" t="s">
        <v>13</v>
      </c>
      <c r="ACF9" s="458"/>
      <c r="ACG9" s="458"/>
      <c r="ACH9" s="458"/>
      <c r="ACI9" s="465"/>
      <c r="ACJ9" s="468">
        <v>45209</v>
      </c>
      <c r="ACK9" s="469"/>
      <c r="ACL9" s="469"/>
      <c r="ACM9" s="470"/>
      <c r="ACN9" s="401">
        <v>45210</v>
      </c>
      <c r="ACO9" s="468">
        <v>45210</v>
      </c>
      <c r="ACP9" s="469"/>
      <c r="ACQ9" s="469"/>
      <c r="ACR9" s="470"/>
      <c r="ACS9" s="401">
        <v>45211</v>
      </c>
      <c r="ACT9" s="468">
        <v>45211</v>
      </c>
      <c r="ACU9" s="469"/>
      <c r="ACV9" s="469"/>
      <c r="ACW9" s="470"/>
      <c r="ACX9" s="401">
        <v>45212</v>
      </c>
      <c r="ACY9" s="468">
        <v>45212</v>
      </c>
      <c r="ACZ9" s="469"/>
      <c r="ADA9" s="469"/>
      <c r="ADB9" s="470"/>
      <c r="ADC9" s="401">
        <v>45213</v>
      </c>
      <c r="ADD9" s="477" t="s">
        <v>14</v>
      </c>
      <c r="ADE9" s="462"/>
      <c r="ADF9" s="458" t="s">
        <v>13</v>
      </c>
      <c r="ADG9" s="458"/>
      <c r="ADH9" s="458"/>
      <c r="ADI9" s="458"/>
      <c r="ADJ9" s="465"/>
      <c r="ADK9" s="468">
        <v>45213</v>
      </c>
      <c r="ADL9" s="469"/>
      <c r="ADM9" s="469"/>
      <c r="ADN9" s="470"/>
      <c r="ADO9" s="401">
        <v>45214</v>
      </c>
      <c r="ADP9" s="468">
        <v>45214</v>
      </c>
      <c r="ADQ9" s="469"/>
      <c r="ADR9" s="469"/>
      <c r="ADS9" s="470"/>
      <c r="ADT9" s="401">
        <v>45215</v>
      </c>
      <c r="ADU9" s="468">
        <v>45215</v>
      </c>
      <c r="ADV9" s="469"/>
      <c r="ADW9" s="469"/>
      <c r="ADX9" s="470"/>
      <c r="ADY9" s="401">
        <v>45216</v>
      </c>
      <c r="ADZ9" s="468">
        <v>45216</v>
      </c>
      <c r="AEA9" s="469"/>
      <c r="AEB9" s="469"/>
      <c r="AEC9" s="470"/>
      <c r="AED9" s="401">
        <v>45217</v>
      </c>
      <c r="AEE9" s="477" t="s">
        <v>14</v>
      </c>
      <c r="AEF9" s="462"/>
      <c r="AEG9" s="458" t="s">
        <v>13</v>
      </c>
      <c r="AEH9" s="458"/>
      <c r="AEI9" s="458"/>
      <c r="AEJ9" s="458"/>
      <c r="AEK9" s="465"/>
      <c r="AEL9" s="468">
        <v>45217</v>
      </c>
      <c r="AEM9" s="469"/>
      <c r="AEN9" s="469"/>
      <c r="AEO9" s="470"/>
      <c r="AEP9" s="401">
        <v>45218</v>
      </c>
      <c r="AEQ9" s="468">
        <v>45219</v>
      </c>
      <c r="AER9" s="469"/>
      <c r="AES9" s="469"/>
      <c r="AET9" s="470"/>
      <c r="AEU9" s="401">
        <v>45220</v>
      </c>
      <c r="AEV9" s="468">
        <v>45220</v>
      </c>
      <c r="AEW9" s="469"/>
      <c r="AEX9" s="469"/>
      <c r="AEY9" s="470"/>
      <c r="AEZ9" s="401">
        <v>45221</v>
      </c>
      <c r="AFA9" s="468">
        <v>45221</v>
      </c>
      <c r="AFB9" s="469"/>
      <c r="AFC9" s="469"/>
      <c r="AFD9" s="470"/>
      <c r="AFE9" s="401">
        <v>45222</v>
      </c>
      <c r="AFF9" s="477" t="s">
        <v>14</v>
      </c>
      <c r="AFG9" s="462"/>
      <c r="AFH9" s="458" t="s">
        <v>13</v>
      </c>
      <c r="AFI9" s="458"/>
      <c r="AFJ9" s="458"/>
      <c r="AFK9" s="458"/>
      <c r="AFL9" s="465"/>
      <c r="AFM9" s="468">
        <v>45222</v>
      </c>
      <c r="AFN9" s="469"/>
      <c r="AFO9" s="469"/>
      <c r="AFP9" s="470"/>
      <c r="AFQ9" s="401">
        <v>45223</v>
      </c>
      <c r="AFR9" s="468">
        <v>45223</v>
      </c>
      <c r="AFS9" s="469"/>
      <c r="AFT9" s="469"/>
      <c r="AFU9" s="470"/>
      <c r="AFV9" s="401">
        <v>45224</v>
      </c>
      <c r="AFW9" s="468">
        <v>45224</v>
      </c>
      <c r="AFX9" s="469"/>
      <c r="AFY9" s="469"/>
      <c r="AFZ9" s="470"/>
      <c r="AGA9" s="401">
        <v>45225</v>
      </c>
      <c r="AGB9" s="468">
        <v>45225</v>
      </c>
      <c r="AGC9" s="469"/>
      <c r="AGD9" s="469"/>
      <c r="AGE9" s="470"/>
      <c r="AGF9" s="401">
        <v>45226</v>
      </c>
      <c r="AGG9" s="477" t="s">
        <v>14</v>
      </c>
      <c r="AGH9" s="462"/>
      <c r="AGI9" s="458" t="s">
        <v>13</v>
      </c>
      <c r="AGJ9" s="458"/>
      <c r="AGK9" s="458"/>
      <c r="AGL9" s="458"/>
      <c r="AGM9" s="465"/>
      <c r="AGN9" s="468">
        <v>45226</v>
      </c>
      <c r="AGO9" s="469"/>
      <c r="AGP9" s="469"/>
      <c r="AGQ9" s="470"/>
      <c r="AGR9" s="401">
        <v>45227</v>
      </c>
      <c r="AGS9" s="468">
        <v>45227</v>
      </c>
      <c r="AGT9" s="469"/>
      <c r="AGU9" s="469"/>
      <c r="AGV9" s="470"/>
      <c r="AGW9" s="401">
        <v>45228</v>
      </c>
      <c r="AGX9" s="468">
        <v>45228</v>
      </c>
      <c r="AGY9" s="469"/>
      <c r="AGZ9" s="469"/>
      <c r="AHA9" s="470"/>
      <c r="AHB9" s="401">
        <v>45229</v>
      </c>
      <c r="AHC9" s="468">
        <v>45229</v>
      </c>
      <c r="AHD9" s="469"/>
      <c r="AHE9" s="469"/>
      <c r="AHF9" s="470"/>
      <c r="AHG9" s="401">
        <v>45230</v>
      </c>
      <c r="AHH9" s="477" t="s">
        <v>14</v>
      </c>
      <c r="AHI9" s="462"/>
      <c r="AHJ9" s="458" t="s">
        <v>13</v>
      </c>
      <c r="AHK9" s="458"/>
      <c r="AHL9" s="458"/>
      <c r="AHM9" s="458"/>
      <c r="AHN9" s="465"/>
      <c r="AHO9" s="468">
        <v>45230</v>
      </c>
      <c r="AHP9" s="469"/>
      <c r="AHQ9" s="469"/>
      <c r="AHR9" s="470"/>
      <c r="AHS9" s="401">
        <v>45231</v>
      </c>
      <c r="AHT9" s="468">
        <v>45231</v>
      </c>
      <c r="AHU9" s="469"/>
      <c r="AHV9" s="469"/>
      <c r="AHW9" s="470"/>
      <c r="AHX9" s="401">
        <v>45232</v>
      </c>
      <c r="AHY9" s="468">
        <v>45232</v>
      </c>
      <c r="AHZ9" s="469"/>
      <c r="AIA9" s="469"/>
      <c r="AIB9" s="470"/>
      <c r="AIC9" s="401">
        <v>45233</v>
      </c>
      <c r="AID9" s="468">
        <v>45233</v>
      </c>
      <c r="AIE9" s="469"/>
      <c r="AIF9" s="469"/>
      <c r="AIG9" s="470"/>
      <c r="AIH9" s="401">
        <v>45234</v>
      </c>
      <c r="AII9" s="477" t="s">
        <v>14</v>
      </c>
      <c r="AIJ9" s="462"/>
      <c r="AIK9" s="458" t="s">
        <v>13</v>
      </c>
      <c r="AIL9" s="458"/>
      <c r="AIM9" s="458"/>
      <c r="AIN9" s="458"/>
      <c r="AIO9" s="465"/>
      <c r="AIP9" s="468">
        <v>45234</v>
      </c>
      <c r="AIQ9" s="469"/>
      <c r="AIR9" s="469"/>
      <c r="AIS9" s="470"/>
      <c r="AIT9" s="401">
        <v>45235</v>
      </c>
      <c r="AIU9" s="468">
        <v>45236</v>
      </c>
      <c r="AIV9" s="469"/>
      <c r="AIW9" s="469"/>
      <c r="AIX9" s="470"/>
      <c r="AIY9" s="401">
        <v>45237</v>
      </c>
      <c r="AIZ9" s="468">
        <v>45237</v>
      </c>
      <c r="AJA9" s="469"/>
      <c r="AJB9" s="469"/>
      <c r="AJC9" s="470"/>
      <c r="AJD9" s="401">
        <v>45238</v>
      </c>
      <c r="AJE9" s="468">
        <v>45238</v>
      </c>
      <c r="AJF9" s="469"/>
      <c r="AJG9" s="469"/>
      <c r="AJH9" s="470"/>
      <c r="AJI9" s="401">
        <v>45239</v>
      </c>
      <c r="AJJ9" s="477" t="s">
        <v>14</v>
      </c>
      <c r="AJK9" s="462"/>
      <c r="AJL9" s="458" t="s">
        <v>13</v>
      </c>
      <c r="AJM9" s="458"/>
      <c r="AJN9" s="458"/>
      <c r="AJO9" s="458"/>
      <c r="AJP9" s="465"/>
      <c r="AJQ9" s="468">
        <v>45240</v>
      </c>
      <c r="AJR9" s="469"/>
      <c r="AJS9" s="469"/>
      <c r="AJT9" s="470"/>
      <c r="AJU9" s="401">
        <v>45241</v>
      </c>
      <c r="AJV9" s="468">
        <v>45241</v>
      </c>
      <c r="AJW9" s="469"/>
      <c r="AJX9" s="469"/>
      <c r="AJY9" s="470"/>
      <c r="AJZ9" s="401">
        <v>45242</v>
      </c>
      <c r="AKA9" s="468">
        <v>45242</v>
      </c>
      <c r="AKB9" s="469"/>
      <c r="AKC9" s="469"/>
      <c r="AKD9" s="470"/>
      <c r="AKE9" s="401">
        <v>45243</v>
      </c>
      <c r="AKF9" s="468">
        <v>45243</v>
      </c>
      <c r="AKG9" s="469"/>
      <c r="AKH9" s="469"/>
      <c r="AKI9" s="470"/>
      <c r="AKJ9" s="401">
        <v>45244</v>
      </c>
      <c r="AKK9" s="477" t="s">
        <v>14</v>
      </c>
      <c r="AKL9" s="462"/>
      <c r="AKM9" s="458" t="s">
        <v>13</v>
      </c>
      <c r="AKN9" s="458"/>
      <c r="AKO9" s="458"/>
      <c r="AKP9" s="458"/>
      <c r="AKQ9" s="465"/>
      <c r="AKR9" s="468">
        <v>45244</v>
      </c>
      <c r="AKS9" s="469"/>
      <c r="AKT9" s="469"/>
      <c r="AKU9" s="470"/>
      <c r="AKV9" s="401">
        <v>45245</v>
      </c>
      <c r="AKW9" s="468">
        <v>45247</v>
      </c>
      <c r="AKX9" s="469"/>
      <c r="AKY9" s="469"/>
      <c r="AKZ9" s="470"/>
      <c r="ALA9" s="401">
        <v>45248</v>
      </c>
      <c r="ALB9" s="468">
        <v>45248</v>
      </c>
      <c r="ALC9" s="469"/>
      <c r="ALD9" s="469"/>
      <c r="ALE9" s="470"/>
      <c r="ALF9" s="401">
        <v>45249</v>
      </c>
      <c r="ALG9" s="468">
        <v>45249</v>
      </c>
      <c r="ALH9" s="469"/>
      <c r="ALI9" s="469"/>
      <c r="ALJ9" s="470"/>
      <c r="ALK9" s="401">
        <v>45250</v>
      </c>
      <c r="ALL9" s="477" t="s">
        <v>14</v>
      </c>
      <c r="ALM9" s="462"/>
      <c r="ALN9" s="458" t="s">
        <v>13</v>
      </c>
      <c r="ALO9" s="458"/>
      <c r="ALP9" s="458"/>
      <c r="ALQ9" s="458"/>
      <c r="ALR9" s="465"/>
      <c r="ALS9" s="468">
        <v>45250</v>
      </c>
      <c r="ALT9" s="469"/>
      <c r="ALU9" s="469"/>
      <c r="ALV9" s="470"/>
      <c r="ALW9" s="401">
        <v>45251</v>
      </c>
      <c r="ALX9" s="468">
        <v>45251</v>
      </c>
      <c r="ALY9" s="469"/>
      <c r="ALZ9" s="469"/>
      <c r="AMA9" s="470"/>
      <c r="AMB9" s="401">
        <v>45252</v>
      </c>
      <c r="AMC9" s="468">
        <v>45252</v>
      </c>
      <c r="AMD9" s="469"/>
      <c r="AME9" s="469"/>
      <c r="AMF9" s="470"/>
      <c r="AMG9" s="401">
        <v>45253</v>
      </c>
      <c r="AMH9" s="468">
        <v>45253</v>
      </c>
      <c r="AMI9" s="469"/>
      <c r="AMJ9" s="469"/>
      <c r="AMK9" s="470"/>
      <c r="AML9" s="401">
        <v>45254</v>
      </c>
      <c r="AMM9" s="477" t="s">
        <v>14</v>
      </c>
      <c r="AMN9" s="462"/>
      <c r="AMO9" s="458" t="s">
        <v>13</v>
      </c>
      <c r="AMP9" s="458"/>
      <c r="AMQ9" s="458"/>
      <c r="AMR9" s="458"/>
      <c r="AMS9" s="465"/>
      <c r="AMT9" s="468">
        <v>45254</v>
      </c>
      <c r="AMU9" s="469"/>
      <c r="AMV9" s="469"/>
      <c r="AMW9" s="470"/>
      <c r="AMX9" s="401">
        <v>45255</v>
      </c>
      <c r="AMY9" s="468">
        <v>45255</v>
      </c>
      <c r="AMZ9" s="469"/>
      <c r="ANA9" s="469"/>
      <c r="ANB9" s="470"/>
      <c r="ANC9" s="401">
        <v>45256</v>
      </c>
      <c r="AND9" s="468">
        <v>45256</v>
      </c>
      <c r="ANE9" s="469"/>
      <c r="ANF9" s="469"/>
      <c r="ANG9" s="470"/>
      <c r="ANH9" s="401">
        <v>45257</v>
      </c>
      <c r="ANI9" s="468">
        <v>45257</v>
      </c>
      <c r="ANJ9" s="469"/>
      <c r="ANK9" s="469"/>
      <c r="ANL9" s="470"/>
      <c r="ANM9" s="401">
        <v>45258</v>
      </c>
      <c r="ANN9" s="477" t="s">
        <v>14</v>
      </c>
      <c r="ANO9" s="462"/>
      <c r="ANP9" s="458" t="s">
        <v>13</v>
      </c>
      <c r="ANQ9" s="458"/>
      <c r="ANR9" s="458"/>
      <c r="ANS9" s="458"/>
      <c r="ANT9" s="465"/>
      <c r="ANU9" s="468">
        <v>45261</v>
      </c>
      <c r="ANV9" s="469"/>
      <c r="ANW9" s="469"/>
      <c r="ANX9" s="470"/>
      <c r="ANY9" s="401">
        <v>45262</v>
      </c>
      <c r="ANZ9" s="468">
        <v>45262</v>
      </c>
      <c r="AOA9" s="469"/>
      <c r="AOB9" s="469"/>
      <c r="AOC9" s="470"/>
      <c r="AOD9" s="401">
        <v>45263</v>
      </c>
      <c r="AOE9" s="468">
        <v>45263</v>
      </c>
      <c r="AOF9" s="469"/>
      <c r="AOG9" s="469"/>
      <c r="AOH9" s="470"/>
      <c r="AOI9" s="499">
        <v>45264</v>
      </c>
      <c r="AOJ9" s="500">
        <v>45263</v>
      </c>
      <c r="AOK9" s="468">
        <v>45265</v>
      </c>
      <c r="AOL9" s="469"/>
      <c r="AOM9" s="469"/>
      <c r="AON9" s="470"/>
      <c r="AOO9" s="401">
        <v>45266</v>
      </c>
      <c r="AOP9" s="477" t="s">
        <v>14</v>
      </c>
      <c r="AOQ9" s="462"/>
      <c r="AOR9" s="458" t="s">
        <v>13</v>
      </c>
      <c r="AOS9" s="458"/>
      <c r="AOT9" s="458"/>
      <c r="AOU9" s="458"/>
      <c r="AOV9" s="465"/>
      <c r="AOW9" s="468">
        <v>45266</v>
      </c>
      <c r="AOX9" s="469"/>
      <c r="AOY9" s="469"/>
      <c r="AOZ9" s="470"/>
      <c r="APA9" s="401">
        <v>45267</v>
      </c>
      <c r="APB9" s="468">
        <v>45267</v>
      </c>
      <c r="APC9" s="469"/>
      <c r="APD9" s="469"/>
      <c r="APE9" s="470"/>
      <c r="APF9" s="401">
        <v>45268</v>
      </c>
      <c r="APG9" s="468">
        <v>45268</v>
      </c>
      <c r="APH9" s="469"/>
      <c r="API9" s="469"/>
      <c r="APJ9" s="470"/>
      <c r="APK9" s="401">
        <v>45269</v>
      </c>
      <c r="APL9" s="468">
        <v>45269</v>
      </c>
      <c r="APM9" s="469"/>
      <c r="APN9" s="469"/>
      <c r="APO9" s="470"/>
      <c r="APP9" s="401">
        <v>45270</v>
      </c>
      <c r="APQ9" s="477" t="s">
        <v>14</v>
      </c>
      <c r="APR9" s="462"/>
      <c r="APS9" s="458" t="s">
        <v>13</v>
      </c>
      <c r="APT9" s="458"/>
      <c r="APU9" s="458"/>
      <c r="APV9" s="458"/>
      <c r="APW9" s="465"/>
      <c r="APX9" s="468">
        <v>45272</v>
      </c>
      <c r="APY9" s="469"/>
      <c r="APZ9" s="469"/>
      <c r="AQA9" s="470"/>
      <c r="AQB9" s="401">
        <v>45273</v>
      </c>
      <c r="AQC9" s="468">
        <v>45287</v>
      </c>
      <c r="AQD9" s="469"/>
      <c r="AQE9" s="469"/>
      <c r="AQF9" s="470"/>
      <c r="AQG9" s="401">
        <v>45288</v>
      </c>
      <c r="AQH9" s="468">
        <v>45288</v>
      </c>
      <c r="AQI9" s="469"/>
      <c r="AQJ9" s="469"/>
      <c r="AQK9" s="470"/>
      <c r="AQL9" s="401">
        <v>45289</v>
      </c>
      <c r="AQM9" s="468">
        <v>45289</v>
      </c>
      <c r="AQN9" s="469"/>
      <c r="AQO9" s="469"/>
      <c r="AQP9" s="470"/>
      <c r="AQQ9" s="401">
        <v>45290</v>
      </c>
      <c r="AQR9" s="477" t="s">
        <v>14</v>
      </c>
      <c r="AQS9" s="462"/>
      <c r="AQT9" s="458" t="s">
        <v>13</v>
      </c>
      <c r="AQU9" s="458"/>
      <c r="AQV9" s="458"/>
      <c r="AQW9" s="458"/>
      <c r="AQX9" s="465"/>
      <c r="AQY9" s="468">
        <v>45290</v>
      </c>
      <c r="AQZ9" s="469"/>
      <c r="ARA9" s="469"/>
      <c r="ARB9" s="470"/>
      <c r="ARC9" s="401">
        <v>45291</v>
      </c>
      <c r="ARD9" s="468">
        <v>45291</v>
      </c>
      <c r="ARE9" s="469"/>
      <c r="ARF9" s="469"/>
      <c r="ARG9" s="470"/>
      <c r="ARH9" s="401">
        <v>45292</v>
      </c>
      <c r="ARI9" s="468">
        <v>45292</v>
      </c>
      <c r="ARJ9" s="469"/>
      <c r="ARK9" s="469"/>
      <c r="ARL9" s="470"/>
      <c r="ARM9" s="401">
        <v>45293</v>
      </c>
      <c r="ARN9" s="468">
        <v>45294</v>
      </c>
      <c r="ARO9" s="469"/>
      <c r="ARP9" s="469"/>
      <c r="ARQ9" s="470"/>
      <c r="ARR9" s="401">
        <v>45295</v>
      </c>
      <c r="ARS9" s="477" t="s">
        <v>14</v>
      </c>
      <c r="ART9" s="462"/>
      <c r="ARU9" s="458" t="s">
        <v>13</v>
      </c>
      <c r="ARV9" s="458"/>
      <c r="ARW9" s="458"/>
      <c r="ARX9" s="458"/>
      <c r="ARY9" s="465"/>
      <c r="ARZ9" s="468">
        <v>45295</v>
      </c>
      <c r="ASA9" s="469"/>
      <c r="ASB9" s="469"/>
      <c r="ASC9" s="470"/>
      <c r="ASD9" s="401">
        <v>45296</v>
      </c>
      <c r="ASE9" s="468">
        <v>45296</v>
      </c>
      <c r="ASF9" s="469"/>
      <c r="ASG9" s="469"/>
      <c r="ASH9" s="470"/>
      <c r="ASI9" s="401">
        <v>45297</v>
      </c>
      <c r="ASJ9" s="468">
        <v>45297</v>
      </c>
      <c r="ASK9" s="469"/>
      <c r="ASL9" s="469"/>
      <c r="ASM9" s="470"/>
      <c r="ASN9" s="401">
        <v>45298</v>
      </c>
      <c r="ASO9" s="468">
        <v>45298</v>
      </c>
      <c r="ASP9" s="469"/>
      <c r="ASQ9" s="469"/>
      <c r="ASR9" s="470"/>
      <c r="ASS9" s="401">
        <v>45299</v>
      </c>
      <c r="AST9" s="477" t="s">
        <v>14</v>
      </c>
      <c r="ASU9" s="462"/>
      <c r="ASV9" s="458" t="s">
        <v>13</v>
      </c>
      <c r="ASW9" s="458"/>
      <c r="ASX9" s="458"/>
      <c r="ASY9" s="458"/>
      <c r="ASZ9" s="465"/>
      <c r="ATA9" s="468">
        <v>45301</v>
      </c>
      <c r="ATB9" s="469"/>
      <c r="ATC9" s="469"/>
      <c r="ATD9" s="470"/>
      <c r="ATE9" s="401">
        <v>45302</v>
      </c>
      <c r="ATF9" s="468">
        <v>45303</v>
      </c>
      <c r="ATG9" s="469"/>
      <c r="ATH9" s="469"/>
      <c r="ATI9" s="470"/>
      <c r="ATJ9" s="401">
        <v>45304</v>
      </c>
      <c r="ATK9" s="468">
        <v>45304</v>
      </c>
      <c r="ATL9" s="469"/>
      <c r="ATM9" s="469"/>
      <c r="ATN9" s="470"/>
      <c r="ATO9" s="401">
        <v>45305</v>
      </c>
      <c r="ATP9" s="468">
        <v>45305</v>
      </c>
      <c r="ATQ9" s="469"/>
      <c r="ATR9" s="469"/>
      <c r="ATS9" s="470"/>
      <c r="ATT9" s="401">
        <v>45306</v>
      </c>
      <c r="ATU9" s="477" t="s">
        <v>14</v>
      </c>
      <c r="ATV9" s="462"/>
      <c r="ATW9" s="458" t="s">
        <v>13</v>
      </c>
      <c r="ATX9" s="458"/>
      <c r="ATY9" s="458"/>
      <c r="ATZ9" s="458"/>
      <c r="AUA9" s="465"/>
      <c r="AUB9" s="468">
        <v>45306</v>
      </c>
      <c r="AUC9" s="469"/>
      <c r="AUD9" s="469"/>
      <c r="AUE9" s="470"/>
      <c r="AUF9" s="401">
        <v>45307</v>
      </c>
      <c r="AUG9" s="468">
        <v>45311</v>
      </c>
      <c r="AUH9" s="469"/>
      <c r="AUI9" s="469"/>
      <c r="AUJ9" s="470"/>
      <c r="AUK9" s="401">
        <v>45312</v>
      </c>
      <c r="AUL9" s="468">
        <v>45317</v>
      </c>
      <c r="AUM9" s="469"/>
      <c r="AUN9" s="469"/>
      <c r="AUO9" s="470"/>
      <c r="AUP9" s="401">
        <v>45318</v>
      </c>
      <c r="AUQ9" s="468">
        <v>45318</v>
      </c>
      <c r="AUR9" s="469"/>
      <c r="AUS9" s="469"/>
      <c r="AUT9" s="470"/>
      <c r="AUU9" s="401">
        <v>45319</v>
      </c>
      <c r="AUV9" s="477" t="s">
        <v>14</v>
      </c>
      <c r="AUW9" s="462"/>
      <c r="AUX9" s="458" t="s">
        <v>13</v>
      </c>
      <c r="AUY9" s="458"/>
      <c r="AUZ9" s="458"/>
      <c r="AVA9" s="458"/>
      <c r="AVB9" s="465"/>
      <c r="AVC9" s="468">
        <v>45327</v>
      </c>
      <c r="AVD9" s="469"/>
      <c r="AVE9" s="469"/>
      <c r="AVF9" s="470"/>
      <c r="AVG9" s="401">
        <v>45328</v>
      </c>
      <c r="AVH9" s="468">
        <v>45329</v>
      </c>
      <c r="AVI9" s="469"/>
      <c r="AVJ9" s="469"/>
      <c r="AVK9" s="470"/>
      <c r="AVL9" s="401">
        <v>45330</v>
      </c>
      <c r="AVM9" s="468">
        <v>45330</v>
      </c>
      <c r="AVN9" s="469"/>
      <c r="AVO9" s="469"/>
      <c r="AVP9" s="470"/>
      <c r="AVQ9" s="401">
        <v>45331</v>
      </c>
      <c r="AVR9" s="468">
        <v>45331</v>
      </c>
      <c r="AVS9" s="469"/>
      <c r="AVT9" s="469"/>
      <c r="AVU9" s="470"/>
      <c r="AVV9" s="401">
        <v>45332</v>
      </c>
      <c r="AVW9" s="477" t="s">
        <v>14</v>
      </c>
      <c r="AVX9" s="462"/>
      <c r="AVY9" s="458" t="s">
        <v>13</v>
      </c>
      <c r="AVZ9" s="458"/>
      <c r="AWA9" s="458"/>
      <c r="AWB9" s="458"/>
      <c r="AWC9" s="465"/>
      <c r="AWD9" s="468">
        <v>45332</v>
      </c>
      <c r="AWE9" s="469"/>
      <c r="AWF9" s="469"/>
      <c r="AWG9" s="470"/>
      <c r="AWH9" s="401">
        <v>45333</v>
      </c>
      <c r="AWI9" s="468">
        <v>45333</v>
      </c>
      <c r="AWJ9" s="469"/>
      <c r="AWK9" s="469"/>
      <c r="AWL9" s="470"/>
      <c r="AWM9" s="401">
        <v>45334</v>
      </c>
      <c r="AWN9" s="468">
        <v>45334</v>
      </c>
      <c r="AWO9" s="469"/>
      <c r="AWP9" s="469"/>
      <c r="AWQ9" s="470"/>
      <c r="AWR9" s="401">
        <v>45335</v>
      </c>
      <c r="AWS9" s="468">
        <v>45335</v>
      </c>
      <c r="AWT9" s="469"/>
      <c r="AWU9" s="469"/>
      <c r="AWV9" s="470"/>
      <c r="AWW9" s="401">
        <v>45336</v>
      </c>
      <c r="AWX9" s="477" t="s">
        <v>14</v>
      </c>
      <c r="AWY9" s="462"/>
      <c r="AWZ9" s="458" t="s">
        <v>13</v>
      </c>
      <c r="AXA9" s="458"/>
      <c r="AXB9" s="458"/>
      <c r="AXC9" s="458"/>
      <c r="AXD9" s="465"/>
      <c r="AXE9" s="468">
        <v>45336</v>
      </c>
      <c r="AXF9" s="469"/>
      <c r="AXG9" s="469"/>
      <c r="AXH9" s="470"/>
      <c r="AXI9" s="401">
        <v>45337</v>
      </c>
      <c r="AXJ9" s="468">
        <v>45337</v>
      </c>
      <c r="AXK9" s="469"/>
      <c r="AXL9" s="469"/>
      <c r="AXM9" s="470"/>
      <c r="AXN9" s="401">
        <v>45338</v>
      </c>
      <c r="AXO9" s="468">
        <v>45338</v>
      </c>
      <c r="AXP9" s="469"/>
      <c r="AXQ9" s="469"/>
      <c r="AXR9" s="470"/>
      <c r="AXS9" s="401">
        <v>45339</v>
      </c>
      <c r="AXT9" s="468">
        <v>45339</v>
      </c>
      <c r="AXU9" s="469"/>
      <c r="AXV9" s="469"/>
      <c r="AXW9" s="470"/>
      <c r="AXX9" s="401">
        <v>45340</v>
      </c>
      <c r="AXY9" s="477" t="s">
        <v>14</v>
      </c>
      <c r="AXZ9" s="462"/>
      <c r="AYA9" s="458" t="s">
        <v>13</v>
      </c>
      <c r="AYB9" s="458"/>
      <c r="AYC9" s="458"/>
      <c r="AYD9" s="458"/>
      <c r="AYE9" s="465"/>
      <c r="AYF9" s="468">
        <v>45344</v>
      </c>
      <c r="AYG9" s="469"/>
      <c r="AYH9" s="469"/>
      <c r="AYI9" s="470"/>
      <c r="AYJ9" s="401">
        <v>45345</v>
      </c>
      <c r="AYK9" s="468">
        <v>45345</v>
      </c>
      <c r="AYL9" s="469"/>
      <c r="AYM9" s="469"/>
      <c r="AYN9" s="470"/>
      <c r="AYO9" s="401">
        <v>45346</v>
      </c>
      <c r="AYP9" s="482">
        <v>45346</v>
      </c>
      <c r="AYQ9" s="483"/>
      <c r="AYR9" s="483"/>
      <c r="AYS9" s="484"/>
      <c r="AYT9" s="401">
        <v>45347</v>
      </c>
      <c r="AYU9" s="468">
        <v>45347</v>
      </c>
      <c r="AYV9" s="469"/>
      <c r="AYW9" s="469"/>
      <c r="AYX9" s="470"/>
      <c r="AYY9" s="401">
        <v>45348</v>
      </c>
      <c r="AYZ9" s="477" t="s">
        <v>14</v>
      </c>
      <c r="AZA9" s="462"/>
      <c r="AZB9" s="458" t="s">
        <v>13</v>
      </c>
      <c r="AZC9" s="458"/>
      <c r="AZD9" s="458"/>
      <c r="AZE9" s="458"/>
      <c r="AZF9" s="465"/>
      <c r="AZG9" s="482">
        <v>45348</v>
      </c>
      <c r="AZH9" s="483"/>
      <c r="AZI9" s="483"/>
      <c r="AZJ9" s="484"/>
      <c r="AZK9" s="401">
        <v>45349</v>
      </c>
      <c r="AZL9" s="468">
        <v>45349</v>
      </c>
      <c r="AZM9" s="469"/>
      <c r="AZN9" s="469"/>
      <c r="AZO9" s="470"/>
      <c r="AZP9" s="401">
        <v>45350</v>
      </c>
      <c r="AZQ9" s="482">
        <v>45351</v>
      </c>
      <c r="AZR9" s="483"/>
      <c r="AZS9" s="483"/>
      <c r="AZT9" s="484"/>
      <c r="AZU9" s="401">
        <v>45352</v>
      </c>
      <c r="AZV9" s="468">
        <v>45352</v>
      </c>
      <c r="AZW9" s="469"/>
      <c r="AZX9" s="469"/>
      <c r="AZY9" s="470"/>
      <c r="AZZ9" s="401">
        <v>45353</v>
      </c>
      <c r="BAA9" s="477" t="s">
        <v>14</v>
      </c>
      <c r="BAB9" s="462"/>
      <c r="BAC9" s="458" t="s">
        <v>13</v>
      </c>
      <c r="BAD9" s="458"/>
      <c r="BAE9" s="458"/>
      <c r="BAF9" s="458"/>
      <c r="BAG9" s="465"/>
      <c r="BAH9" s="468">
        <v>45353</v>
      </c>
      <c r="BAI9" s="469"/>
      <c r="BAJ9" s="469"/>
      <c r="BAK9" s="470"/>
      <c r="BAL9" s="401">
        <v>45354</v>
      </c>
      <c r="BAM9" s="468">
        <v>45354</v>
      </c>
      <c r="BAN9" s="469"/>
      <c r="BAO9" s="469"/>
      <c r="BAP9" s="470"/>
      <c r="BAQ9" s="401">
        <v>45355</v>
      </c>
      <c r="BAR9" s="468">
        <v>45356</v>
      </c>
      <c r="BAS9" s="469"/>
      <c r="BAT9" s="469"/>
      <c r="BAU9" s="470"/>
      <c r="BAV9" s="401">
        <v>45357</v>
      </c>
      <c r="BAW9" s="468">
        <v>45357</v>
      </c>
      <c r="BAX9" s="469"/>
      <c r="BAY9" s="469"/>
      <c r="BAZ9" s="470"/>
      <c r="BBA9" s="401">
        <v>45358</v>
      </c>
      <c r="BBB9" s="477" t="s">
        <v>14</v>
      </c>
      <c r="BBC9" s="462"/>
      <c r="BBD9" s="458" t="s">
        <v>13</v>
      </c>
      <c r="BBE9" s="458"/>
      <c r="BBF9" s="458"/>
      <c r="BBG9" s="458"/>
      <c r="BBH9" s="465"/>
      <c r="BBI9" s="468">
        <v>45358</v>
      </c>
      <c r="BBJ9" s="469"/>
      <c r="BBK9" s="469"/>
      <c r="BBL9" s="470"/>
      <c r="BBM9" s="401">
        <v>45359</v>
      </c>
      <c r="BBN9" s="468">
        <v>45359</v>
      </c>
      <c r="BBO9" s="469"/>
      <c r="BBP9" s="469"/>
      <c r="BBQ9" s="470"/>
      <c r="BBR9" s="401">
        <v>45360</v>
      </c>
      <c r="BBS9" s="468">
        <v>45360</v>
      </c>
      <c r="BBT9" s="469"/>
      <c r="BBU9" s="469"/>
      <c r="BBV9" s="470"/>
      <c r="BBW9" s="401">
        <v>45361</v>
      </c>
      <c r="BBX9" s="468">
        <v>45361</v>
      </c>
      <c r="BBY9" s="469"/>
      <c r="BBZ9" s="469"/>
      <c r="BCA9" s="470"/>
      <c r="BCB9" s="401">
        <v>45362</v>
      </c>
      <c r="BCC9" s="477" t="s">
        <v>14</v>
      </c>
      <c r="BCD9" s="462"/>
      <c r="BCE9" s="458" t="s">
        <v>13</v>
      </c>
      <c r="BCF9" s="458"/>
      <c r="BCG9" s="458"/>
      <c r="BCH9" s="458"/>
      <c r="BCI9" s="465"/>
      <c r="BCJ9" s="468">
        <v>45362</v>
      </c>
      <c r="BCK9" s="469"/>
      <c r="BCL9" s="469"/>
      <c r="BCM9" s="470"/>
      <c r="BCN9" s="401">
        <v>45363</v>
      </c>
      <c r="BCO9" s="468">
        <v>45363</v>
      </c>
      <c r="BCP9" s="469"/>
      <c r="BCQ9" s="469"/>
      <c r="BCR9" s="470"/>
      <c r="BCS9" s="401">
        <v>45364</v>
      </c>
      <c r="BCT9" s="468">
        <v>45364</v>
      </c>
      <c r="BCU9" s="469"/>
      <c r="BCV9" s="469"/>
      <c r="BCW9" s="470"/>
      <c r="BCX9" s="401">
        <v>45365</v>
      </c>
      <c r="BCY9" s="468">
        <v>45365</v>
      </c>
      <c r="BCZ9" s="469"/>
      <c r="BDA9" s="469"/>
      <c r="BDB9" s="470"/>
      <c r="BDC9" s="401">
        <v>45366</v>
      </c>
      <c r="BDD9" s="477" t="s">
        <v>14</v>
      </c>
      <c r="BDE9" s="462"/>
      <c r="BDF9" s="458" t="s">
        <v>13</v>
      </c>
      <c r="BDG9" s="458"/>
      <c r="BDH9" s="458"/>
      <c r="BDI9" s="458"/>
      <c r="BDJ9" s="465"/>
      <c r="BDK9" s="468">
        <v>45366</v>
      </c>
      <c r="BDL9" s="469"/>
      <c r="BDM9" s="469"/>
      <c r="BDN9" s="470"/>
      <c r="BDO9" s="401">
        <v>45367</v>
      </c>
      <c r="BDP9" s="468">
        <v>45368</v>
      </c>
      <c r="BDQ9" s="469"/>
      <c r="BDR9" s="469"/>
      <c r="BDS9" s="470"/>
      <c r="BDT9" s="401">
        <v>45369</v>
      </c>
      <c r="BDU9" s="468">
        <v>45370</v>
      </c>
      <c r="BDV9" s="469"/>
      <c r="BDW9" s="469"/>
      <c r="BDX9" s="470"/>
      <c r="BDY9" s="401">
        <v>45371</v>
      </c>
      <c r="BDZ9" s="468">
        <v>45371</v>
      </c>
      <c r="BEA9" s="469"/>
      <c r="BEB9" s="469"/>
      <c r="BEC9" s="470"/>
      <c r="BED9" s="401">
        <v>45372</v>
      </c>
      <c r="BEE9" s="477" t="s">
        <v>14</v>
      </c>
      <c r="BEF9" s="462"/>
      <c r="BEG9" s="458" t="s">
        <v>13</v>
      </c>
      <c r="BEH9" s="458"/>
      <c r="BEI9" s="458"/>
      <c r="BEJ9" s="458"/>
      <c r="BEK9" s="465"/>
      <c r="BEL9" s="468">
        <v>45372</v>
      </c>
      <c r="BEM9" s="469"/>
      <c r="BEN9" s="469"/>
      <c r="BEO9" s="470"/>
      <c r="BEP9" s="401">
        <v>45373</v>
      </c>
      <c r="BEQ9" s="468">
        <v>45376</v>
      </c>
      <c r="BER9" s="469"/>
      <c r="BES9" s="469"/>
      <c r="BET9" s="470"/>
      <c r="BEU9" s="401">
        <v>45377</v>
      </c>
      <c r="BEV9" s="468">
        <v>45377</v>
      </c>
      <c r="BEW9" s="469"/>
      <c r="BEX9" s="469"/>
      <c r="BEY9" s="470"/>
      <c r="BEZ9" s="401">
        <v>45378</v>
      </c>
      <c r="BFA9" s="468">
        <v>45379</v>
      </c>
      <c r="BFB9" s="469"/>
      <c r="BFC9" s="469"/>
      <c r="BFD9" s="470"/>
      <c r="BFE9" s="401">
        <v>45380</v>
      </c>
      <c r="BFF9" s="477" t="s">
        <v>14</v>
      </c>
      <c r="BFG9" s="462"/>
      <c r="BFH9" s="458" t="s">
        <v>13</v>
      </c>
      <c r="BFI9" s="458"/>
      <c r="BFJ9" s="458"/>
      <c r="BFK9" s="458"/>
      <c r="BFL9" s="465"/>
      <c r="BFM9" s="468">
        <v>45380</v>
      </c>
      <c r="BFN9" s="469"/>
      <c r="BFO9" s="469"/>
      <c r="BFP9" s="470"/>
      <c r="BFQ9" s="401">
        <v>45381</v>
      </c>
      <c r="BFR9" s="468">
        <v>45381</v>
      </c>
      <c r="BFS9" s="469"/>
      <c r="BFT9" s="469"/>
      <c r="BFU9" s="470"/>
      <c r="BFV9" s="401">
        <v>45382</v>
      </c>
      <c r="BFW9" s="468"/>
      <c r="BFX9" s="469"/>
      <c r="BFY9" s="469"/>
      <c r="BFZ9" s="470"/>
      <c r="BGA9" s="401"/>
      <c r="BGB9" s="468"/>
      <c r="BGC9" s="469"/>
      <c r="BGD9" s="469"/>
      <c r="BGE9" s="470"/>
      <c r="BGF9" s="401"/>
    </row>
    <row r="10" spans="1:1540" ht="45" customHeight="1" x14ac:dyDescent="0.4">
      <c r="A10" s="478"/>
      <c r="B10" s="463"/>
      <c r="C10" s="466"/>
      <c r="D10" s="466"/>
      <c r="E10" s="466"/>
      <c r="F10" s="466"/>
      <c r="G10" s="467"/>
      <c r="H10" s="471" t="s">
        <v>377</v>
      </c>
      <c r="I10" s="472"/>
      <c r="J10" s="472"/>
      <c r="K10" s="473"/>
      <c r="L10" s="80" t="s">
        <v>801</v>
      </c>
      <c r="M10" s="471" t="s">
        <v>377</v>
      </c>
      <c r="N10" s="472"/>
      <c r="O10" s="472"/>
      <c r="P10" s="473"/>
      <c r="Q10" s="80" t="s">
        <v>511</v>
      </c>
      <c r="R10" s="471" t="s">
        <v>377</v>
      </c>
      <c r="S10" s="472"/>
      <c r="T10" s="472"/>
      <c r="U10" s="473"/>
      <c r="V10" s="80" t="s">
        <v>801</v>
      </c>
      <c r="W10" s="471" t="s">
        <v>377</v>
      </c>
      <c r="X10" s="472"/>
      <c r="Y10" s="472"/>
      <c r="Z10" s="473"/>
      <c r="AA10" s="80" t="s">
        <v>511</v>
      </c>
      <c r="AB10" s="478"/>
      <c r="AC10" s="463"/>
      <c r="AD10" s="466"/>
      <c r="AE10" s="466"/>
      <c r="AF10" s="466"/>
      <c r="AG10" s="466"/>
      <c r="AH10" s="467"/>
      <c r="AI10" s="471" t="s">
        <v>377</v>
      </c>
      <c r="AJ10" s="472"/>
      <c r="AK10" s="472"/>
      <c r="AL10" s="473"/>
      <c r="AM10" s="80" t="s">
        <v>511</v>
      </c>
      <c r="AN10" s="471" t="s">
        <v>377</v>
      </c>
      <c r="AO10" s="472"/>
      <c r="AP10" s="472"/>
      <c r="AQ10" s="473"/>
      <c r="AR10" s="80" t="s">
        <v>801</v>
      </c>
      <c r="AS10" s="471" t="s">
        <v>377</v>
      </c>
      <c r="AT10" s="472"/>
      <c r="AU10" s="472"/>
      <c r="AV10" s="473"/>
      <c r="AW10" s="80" t="s">
        <v>801</v>
      </c>
      <c r="AX10" s="471" t="s">
        <v>377</v>
      </c>
      <c r="AY10" s="472"/>
      <c r="AZ10" s="472"/>
      <c r="BA10" s="473"/>
      <c r="BB10" s="80" t="s">
        <v>511</v>
      </c>
      <c r="BC10" s="478"/>
      <c r="BD10" s="463"/>
      <c r="BE10" s="466"/>
      <c r="BF10" s="466"/>
      <c r="BG10" s="466"/>
      <c r="BH10" s="466"/>
      <c r="BI10" s="467"/>
      <c r="BJ10" s="471" t="s">
        <v>377</v>
      </c>
      <c r="BK10" s="472"/>
      <c r="BL10" s="472"/>
      <c r="BM10" s="473"/>
      <c r="BN10" s="80" t="s">
        <v>511</v>
      </c>
      <c r="BO10" s="471" t="s">
        <v>377</v>
      </c>
      <c r="BP10" s="472"/>
      <c r="BQ10" s="472"/>
      <c r="BR10" s="473"/>
      <c r="BS10" s="80" t="s">
        <v>511</v>
      </c>
      <c r="BT10" s="471" t="s">
        <v>377</v>
      </c>
      <c r="BU10" s="472"/>
      <c r="BV10" s="472"/>
      <c r="BW10" s="473"/>
      <c r="BX10" s="80" t="s">
        <v>511</v>
      </c>
      <c r="BY10" s="471" t="s">
        <v>377</v>
      </c>
      <c r="BZ10" s="472"/>
      <c r="CA10" s="472"/>
      <c r="CB10" s="473"/>
      <c r="CC10" s="80" t="s">
        <v>511</v>
      </c>
      <c r="CD10" s="478"/>
      <c r="CE10" s="463"/>
      <c r="CF10" s="466"/>
      <c r="CG10" s="466"/>
      <c r="CH10" s="466"/>
      <c r="CI10" s="466"/>
      <c r="CJ10" s="467"/>
      <c r="CK10" s="471" t="s">
        <v>377</v>
      </c>
      <c r="CL10" s="472"/>
      <c r="CM10" s="472"/>
      <c r="CN10" s="473"/>
      <c r="CO10" s="80" t="s">
        <v>511</v>
      </c>
      <c r="CP10" s="471" t="s">
        <v>377</v>
      </c>
      <c r="CQ10" s="472"/>
      <c r="CR10" s="472"/>
      <c r="CS10" s="473"/>
      <c r="CT10" s="80" t="s">
        <v>511</v>
      </c>
      <c r="CU10" s="471" t="s">
        <v>377</v>
      </c>
      <c r="CV10" s="472"/>
      <c r="CW10" s="472"/>
      <c r="CX10" s="473"/>
      <c r="CY10" s="80" t="s">
        <v>511</v>
      </c>
      <c r="CZ10" s="471" t="s">
        <v>377</v>
      </c>
      <c r="DA10" s="472"/>
      <c r="DB10" s="472"/>
      <c r="DC10" s="473"/>
      <c r="DD10" s="80" t="s">
        <v>511</v>
      </c>
      <c r="DE10" s="478"/>
      <c r="DF10" s="463"/>
      <c r="DG10" s="466"/>
      <c r="DH10" s="466"/>
      <c r="DI10" s="466"/>
      <c r="DJ10" s="466"/>
      <c r="DK10" s="467"/>
      <c r="DL10" s="471" t="s">
        <v>377</v>
      </c>
      <c r="DM10" s="472"/>
      <c r="DN10" s="472"/>
      <c r="DO10" s="473"/>
      <c r="DP10" s="80" t="s">
        <v>511</v>
      </c>
      <c r="DQ10" s="471" t="s">
        <v>377</v>
      </c>
      <c r="DR10" s="472"/>
      <c r="DS10" s="472"/>
      <c r="DT10" s="473"/>
      <c r="DU10" s="80" t="s">
        <v>511</v>
      </c>
      <c r="DV10" s="471" t="s">
        <v>377</v>
      </c>
      <c r="DW10" s="472"/>
      <c r="DX10" s="472"/>
      <c r="DY10" s="473"/>
      <c r="DZ10" s="80" t="s">
        <v>801</v>
      </c>
      <c r="EA10" s="471" t="s">
        <v>377</v>
      </c>
      <c r="EB10" s="472"/>
      <c r="EC10" s="472"/>
      <c r="ED10" s="473"/>
      <c r="EE10" s="80" t="s">
        <v>511</v>
      </c>
      <c r="EF10" s="478"/>
      <c r="EG10" s="463"/>
      <c r="EH10" s="466"/>
      <c r="EI10" s="466"/>
      <c r="EJ10" s="466"/>
      <c r="EK10" s="466"/>
      <c r="EL10" s="467"/>
      <c r="EM10" s="471" t="s">
        <v>377</v>
      </c>
      <c r="EN10" s="472"/>
      <c r="EO10" s="472"/>
      <c r="EP10" s="473"/>
      <c r="EQ10" s="80" t="s">
        <v>511</v>
      </c>
      <c r="ER10" s="471" t="s">
        <v>377</v>
      </c>
      <c r="ES10" s="472"/>
      <c r="ET10" s="472"/>
      <c r="EU10" s="473"/>
      <c r="EV10" s="80" t="s">
        <v>801</v>
      </c>
      <c r="EW10" s="471" t="s">
        <v>377</v>
      </c>
      <c r="EX10" s="472"/>
      <c r="EY10" s="472"/>
      <c r="EZ10" s="473"/>
      <c r="FA10" s="80" t="s">
        <v>511</v>
      </c>
      <c r="FB10" s="471" t="s">
        <v>377</v>
      </c>
      <c r="FC10" s="472"/>
      <c r="FD10" s="472"/>
      <c r="FE10" s="473"/>
      <c r="FF10" s="80" t="s">
        <v>511</v>
      </c>
      <c r="FG10" s="478"/>
      <c r="FH10" s="463"/>
      <c r="FI10" s="466"/>
      <c r="FJ10" s="466"/>
      <c r="FK10" s="466"/>
      <c r="FL10" s="466"/>
      <c r="FM10" s="467"/>
      <c r="FN10" s="471" t="s">
        <v>377</v>
      </c>
      <c r="FO10" s="472"/>
      <c r="FP10" s="472"/>
      <c r="FQ10" s="473"/>
      <c r="FR10" s="80" t="s">
        <v>511</v>
      </c>
      <c r="FS10" s="471" t="s">
        <v>377</v>
      </c>
      <c r="FT10" s="472"/>
      <c r="FU10" s="472"/>
      <c r="FV10" s="473"/>
      <c r="FW10" s="80" t="s">
        <v>511</v>
      </c>
      <c r="FX10" s="471" t="s">
        <v>377</v>
      </c>
      <c r="FY10" s="472"/>
      <c r="FZ10" s="472"/>
      <c r="GA10" s="473"/>
      <c r="GB10" s="80" t="s">
        <v>511</v>
      </c>
      <c r="GC10" s="471" t="s">
        <v>377</v>
      </c>
      <c r="GD10" s="472"/>
      <c r="GE10" s="472"/>
      <c r="GF10" s="473"/>
      <c r="GG10" s="80" t="s">
        <v>801</v>
      </c>
      <c r="GH10" s="478"/>
      <c r="GI10" s="463"/>
      <c r="GJ10" s="466"/>
      <c r="GK10" s="466"/>
      <c r="GL10" s="466"/>
      <c r="GM10" s="466"/>
      <c r="GN10" s="467"/>
      <c r="GO10" s="471" t="s">
        <v>377</v>
      </c>
      <c r="GP10" s="472"/>
      <c r="GQ10" s="472"/>
      <c r="GR10" s="473"/>
      <c r="GS10" s="80" t="s">
        <v>511</v>
      </c>
      <c r="GT10" s="471" t="s">
        <v>377</v>
      </c>
      <c r="GU10" s="472"/>
      <c r="GV10" s="472"/>
      <c r="GW10" s="473"/>
      <c r="GX10" s="80" t="s">
        <v>511</v>
      </c>
      <c r="GY10" s="471" t="s">
        <v>377</v>
      </c>
      <c r="GZ10" s="472"/>
      <c r="HA10" s="472"/>
      <c r="HB10" s="473"/>
      <c r="HC10" s="80" t="s">
        <v>511</v>
      </c>
      <c r="HD10" s="471" t="s">
        <v>377</v>
      </c>
      <c r="HE10" s="472"/>
      <c r="HF10" s="472"/>
      <c r="HG10" s="473"/>
      <c r="HH10" s="80" t="s">
        <v>511</v>
      </c>
      <c r="HI10" s="478"/>
      <c r="HJ10" s="463"/>
      <c r="HK10" s="466"/>
      <c r="HL10" s="466"/>
      <c r="HM10" s="466"/>
      <c r="HN10" s="466"/>
      <c r="HO10" s="467"/>
      <c r="HP10" s="471" t="s">
        <v>377</v>
      </c>
      <c r="HQ10" s="472"/>
      <c r="HR10" s="472"/>
      <c r="HS10" s="473"/>
      <c r="HT10" s="80" t="s">
        <v>511</v>
      </c>
      <c r="HU10" s="471" t="s">
        <v>377</v>
      </c>
      <c r="HV10" s="472"/>
      <c r="HW10" s="472"/>
      <c r="HX10" s="473"/>
      <c r="HY10" s="80" t="s">
        <v>511</v>
      </c>
      <c r="HZ10" s="471" t="s">
        <v>377</v>
      </c>
      <c r="IA10" s="472"/>
      <c r="IB10" s="472"/>
      <c r="IC10" s="473"/>
      <c r="ID10" s="80" t="s">
        <v>511</v>
      </c>
      <c r="IE10" s="471" t="s">
        <v>377</v>
      </c>
      <c r="IF10" s="472"/>
      <c r="IG10" s="472"/>
      <c r="IH10" s="473"/>
      <c r="II10" s="80" t="s">
        <v>511</v>
      </c>
      <c r="IJ10" s="478"/>
      <c r="IK10" s="463"/>
      <c r="IL10" s="466"/>
      <c r="IM10" s="466"/>
      <c r="IN10" s="466"/>
      <c r="IO10" s="466"/>
      <c r="IP10" s="467"/>
      <c r="IQ10" s="471" t="s">
        <v>377</v>
      </c>
      <c r="IR10" s="472"/>
      <c r="IS10" s="472"/>
      <c r="IT10" s="473"/>
      <c r="IU10" s="80" t="s">
        <v>511</v>
      </c>
      <c r="IV10" s="471" t="s">
        <v>377</v>
      </c>
      <c r="IW10" s="472"/>
      <c r="IX10" s="472"/>
      <c r="IY10" s="473"/>
      <c r="IZ10" s="80" t="s">
        <v>511</v>
      </c>
      <c r="JA10" s="471" t="s">
        <v>377</v>
      </c>
      <c r="JB10" s="472"/>
      <c r="JC10" s="472"/>
      <c r="JD10" s="473"/>
      <c r="JE10" s="80" t="s">
        <v>511</v>
      </c>
      <c r="JF10" s="471" t="s">
        <v>377</v>
      </c>
      <c r="JG10" s="472"/>
      <c r="JH10" s="472"/>
      <c r="JI10" s="473"/>
      <c r="JJ10" s="80" t="s">
        <v>511</v>
      </c>
      <c r="JK10" s="478"/>
      <c r="JL10" s="463"/>
      <c r="JM10" s="466"/>
      <c r="JN10" s="466"/>
      <c r="JO10" s="466"/>
      <c r="JP10" s="466"/>
      <c r="JQ10" s="467"/>
      <c r="JR10" s="471" t="s">
        <v>377</v>
      </c>
      <c r="JS10" s="472"/>
      <c r="JT10" s="472"/>
      <c r="JU10" s="473"/>
      <c r="JV10" s="80" t="s">
        <v>511</v>
      </c>
      <c r="JW10" s="471" t="s">
        <v>377</v>
      </c>
      <c r="JX10" s="472"/>
      <c r="JY10" s="472"/>
      <c r="JZ10" s="473"/>
      <c r="KA10" s="80" t="s">
        <v>801</v>
      </c>
      <c r="KB10" s="471" t="s">
        <v>377</v>
      </c>
      <c r="KC10" s="472"/>
      <c r="KD10" s="472"/>
      <c r="KE10" s="473"/>
      <c r="KF10" s="80" t="s">
        <v>511</v>
      </c>
      <c r="KG10" s="471" t="s">
        <v>377</v>
      </c>
      <c r="KH10" s="472"/>
      <c r="KI10" s="472"/>
      <c r="KJ10" s="473"/>
      <c r="KK10" s="80" t="s">
        <v>511</v>
      </c>
      <c r="KL10" s="478"/>
      <c r="KM10" s="463"/>
      <c r="KN10" s="466"/>
      <c r="KO10" s="466"/>
      <c r="KP10" s="466"/>
      <c r="KQ10" s="466"/>
      <c r="KR10" s="467"/>
      <c r="KS10" s="471" t="s">
        <v>377</v>
      </c>
      <c r="KT10" s="472"/>
      <c r="KU10" s="472"/>
      <c r="KV10" s="473"/>
      <c r="KW10" s="80" t="s">
        <v>511</v>
      </c>
      <c r="KX10" s="471" t="s">
        <v>377</v>
      </c>
      <c r="KY10" s="472"/>
      <c r="KZ10" s="472"/>
      <c r="LA10" s="473"/>
      <c r="LB10" s="80" t="s">
        <v>511</v>
      </c>
      <c r="LC10" s="471" t="s">
        <v>377</v>
      </c>
      <c r="LD10" s="472"/>
      <c r="LE10" s="472"/>
      <c r="LF10" s="473"/>
      <c r="LG10" s="80" t="s">
        <v>511</v>
      </c>
      <c r="LH10" s="471" t="s">
        <v>377</v>
      </c>
      <c r="LI10" s="472"/>
      <c r="LJ10" s="472"/>
      <c r="LK10" s="473"/>
      <c r="LL10" s="80" t="s">
        <v>511</v>
      </c>
      <c r="LM10" s="478"/>
      <c r="LN10" s="463"/>
      <c r="LO10" s="466"/>
      <c r="LP10" s="466"/>
      <c r="LQ10" s="466"/>
      <c r="LR10" s="466"/>
      <c r="LS10" s="467"/>
      <c r="LT10" s="471" t="s">
        <v>377</v>
      </c>
      <c r="LU10" s="472"/>
      <c r="LV10" s="472"/>
      <c r="LW10" s="473"/>
      <c r="LX10" s="80" t="s">
        <v>801</v>
      </c>
      <c r="LY10" s="471" t="s">
        <v>377</v>
      </c>
      <c r="LZ10" s="472"/>
      <c r="MA10" s="472"/>
      <c r="MB10" s="473"/>
      <c r="MC10" s="80" t="s">
        <v>511</v>
      </c>
      <c r="MD10" s="471" t="s">
        <v>377</v>
      </c>
      <c r="ME10" s="472"/>
      <c r="MF10" s="472"/>
      <c r="MG10" s="473"/>
      <c r="MH10" s="80" t="s">
        <v>801</v>
      </c>
      <c r="MI10" s="471" t="s">
        <v>377</v>
      </c>
      <c r="MJ10" s="472"/>
      <c r="MK10" s="472"/>
      <c r="ML10" s="473"/>
      <c r="MM10" s="80" t="s">
        <v>511</v>
      </c>
      <c r="MN10" s="478"/>
      <c r="MO10" s="463"/>
      <c r="MP10" s="466"/>
      <c r="MQ10" s="466"/>
      <c r="MR10" s="466"/>
      <c r="MS10" s="466"/>
      <c r="MT10" s="467"/>
      <c r="MU10" s="471" t="s">
        <v>377</v>
      </c>
      <c r="MV10" s="472"/>
      <c r="MW10" s="472"/>
      <c r="MX10" s="473"/>
      <c r="MY10" s="80" t="s">
        <v>511</v>
      </c>
      <c r="MZ10" s="471" t="s">
        <v>377</v>
      </c>
      <c r="NA10" s="472"/>
      <c r="NB10" s="472"/>
      <c r="NC10" s="473"/>
      <c r="ND10" s="80" t="s">
        <v>801</v>
      </c>
      <c r="NE10" s="471" t="s">
        <v>377</v>
      </c>
      <c r="NF10" s="472"/>
      <c r="NG10" s="472"/>
      <c r="NH10" s="473"/>
      <c r="NI10" s="80" t="s">
        <v>511</v>
      </c>
      <c r="NJ10" s="471" t="s">
        <v>377</v>
      </c>
      <c r="NK10" s="472"/>
      <c r="NL10" s="472"/>
      <c r="NM10" s="473"/>
      <c r="NN10" s="80" t="s">
        <v>511</v>
      </c>
      <c r="NO10" s="478"/>
      <c r="NP10" s="463"/>
      <c r="NQ10" s="466"/>
      <c r="NR10" s="466"/>
      <c r="NS10" s="466"/>
      <c r="NT10" s="466"/>
      <c r="NU10" s="467"/>
      <c r="NV10" s="471" t="s">
        <v>377</v>
      </c>
      <c r="NW10" s="472"/>
      <c r="NX10" s="472"/>
      <c r="NY10" s="473"/>
      <c r="NZ10" s="80" t="s">
        <v>511</v>
      </c>
      <c r="OA10" s="471" t="s">
        <v>377</v>
      </c>
      <c r="OB10" s="472"/>
      <c r="OC10" s="472"/>
      <c r="OD10" s="473"/>
      <c r="OE10" s="80" t="s">
        <v>511</v>
      </c>
      <c r="OF10" s="471" t="s">
        <v>377</v>
      </c>
      <c r="OG10" s="472"/>
      <c r="OH10" s="472"/>
      <c r="OI10" s="473"/>
      <c r="OJ10" s="80" t="s">
        <v>511</v>
      </c>
      <c r="OK10" s="471" t="s">
        <v>377</v>
      </c>
      <c r="OL10" s="472"/>
      <c r="OM10" s="472"/>
      <c r="ON10" s="473"/>
      <c r="OO10" s="80" t="s">
        <v>511</v>
      </c>
      <c r="OP10" s="478"/>
      <c r="OQ10" s="463"/>
      <c r="OR10" s="466"/>
      <c r="OS10" s="466"/>
      <c r="OT10" s="466"/>
      <c r="OU10" s="466"/>
      <c r="OV10" s="467"/>
      <c r="OW10" s="471" t="s">
        <v>377</v>
      </c>
      <c r="OX10" s="472"/>
      <c r="OY10" s="472"/>
      <c r="OZ10" s="473"/>
      <c r="PA10" s="80" t="s">
        <v>511</v>
      </c>
      <c r="PB10" s="471" t="s">
        <v>377</v>
      </c>
      <c r="PC10" s="472"/>
      <c r="PD10" s="472"/>
      <c r="PE10" s="473"/>
      <c r="PF10" s="80" t="s">
        <v>511</v>
      </c>
      <c r="PG10" s="471" t="s">
        <v>377</v>
      </c>
      <c r="PH10" s="472"/>
      <c r="PI10" s="472"/>
      <c r="PJ10" s="473"/>
      <c r="PK10" s="80" t="s">
        <v>511</v>
      </c>
      <c r="PL10" s="471" t="s">
        <v>377</v>
      </c>
      <c r="PM10" s="472"/>
      <c r="PN10" s="472"/>
      <c r="PO10" s="473"/>
      <c r="PP10" s="80" t="s">
        <v>511</v>
      </c>
      <c r="PQ10" s="478"/>
      <c r="PR10" s="463"/>
      <c r="PS10" s="466"/>
      <c r="PT10" s="466"/>
      <c r="PU10" s="466"/>
      <c r="PV10" s="466"/>
      <c r="PW10" s="467"/>
      <c r="PX10" s="471" t="s">
        <v>377</v>
      </c>
      <c r="PY10" s="472"/>
      <c r="PZ10" s="472"/>
      <c r="QA10" s="473"/>
      <c r="QB10" s="80" t="s">
        <v>511</v>
      </c>
      <c r="QC10" s="471" t="s">
        <v>377</v>
      </c>
      <c r="QD10" s="472"/>
      <c r="QE10" s="472"/>
      <c r="QF10" s="473"/>
      <c r="QG10" s="80" t="s">
        <v>511</v>
      </c>
      <c r="QH10" s="471" t="s">
        <v>377</v>
      </c>
      <c r="QI10" s="472"/>
      <c r="QJ10" s="472"/>
      <c r="QK10" s="473"/>
      <c r="QL10" s="80" t="s">
        <v>801</v>
      </c>
      <c r="QM10" s="471" t="s">
        <v>377</v>
      </c>
      <c r="QN10" s="472"/>
      <c r="QO10" s="472"/>
      <c r="QP10" s="473"/>
      <c r="QQ10" s="80" t="s">
        <v>801</v>
      </c>
      <c r="QR10" s="478"/>
      <c r="QS10" s="463"/>
      <c r="QT10" s="466"/>
      <c r="QU10" s="466"/>
      <c r="QV10" s="466"/>
      <c r="QW10" s="466"/>
      <c r="QX10" s="467"/>
      <c r="QY10" s="471" t="s">
        <v>377</v>
      </c>
      <c r="QZ10" s="472"/>
      <c r="RA10" s="472"/>
      <c r="RB10" s="473"/>
      <c r="RC10" s="80" t="s">
        <v>511</v>
      </c>
      <c r="RD10" s="471" t="s">
        <v>377</v>
      </c>
      <c r="RE10" s="472"/>
      <c r="RF10" s="472"/>
      <c r="RG10" s="473"/>
      <c r="RH10" s="80" t="s">
        <v>511</v>
      </c>
      <c r="RI10" s="471" t="s">
        <v>377</v>
      </c>
      <c r="RJ10" s="472"/>
      <c r="RK10" s="472"/>
      <c r="RL10" s="473"/>
      <c r="RM10" s="80" t="s">
        <v>511</v>
      </c>
      <c r="RN10" s="471" t="s">
        <v>377</v>
      </c>
      <c r="RO10" s="472"/>
      <c r="RP10" s="472"/>
      <c r="RQ10" s="473"/>
      <c r="RR10" s="80" t="s">
        <v>511</v>
      </c>
      <c r="RS10" s="478"/>
      <c r="RT10" s="463"/>
      <c r="RU10" s="466"/>
      <c r="RV10" s="466"/>
      <c r="RW10" s="466"/>
      <c r="RX10" s="466"/>
      <c r="RY10" s="467"/>
      <c r="RZ10" s="471" t="s">
        <v>377</v>
      </c>
      <c r="SA10" s="472"/>
      <c r="SB10" s="472"/>
      <c r="SC10" s="473"/>
      <c r="SD10" s="80" t="s">
        <v>511</v>
      </c>
      <c r="SE10" s="471" t="s">
        <v>377</v>
      </c>
      <c r="SF10" s="472"/>
      <c r="SG10" s="472"/>
      <c r="SH10" s="473"/>
      <c r="SI10" s="80" t="s">
        <v>511</v>
      </c>
      <c r="SJ10" s="471" t="s">
        <v>377</v>
      </c>
      <c r="SK10" s="472"/>
      <c r="SL10" s="472"/>
      <c r="SM10" s="473"/>
      <c r="SN10" s="80" t="s">
        <v>511</v>
      </c>
      <c r="SO10" s="471" t="s">
        <v>377</v>
      </c>
      <c r="SP10" s="472"/>
      <c r="SQ10" s="472"/>
      <c r="SR10" s="473"/>
      <c r="SS10" s="80" t="s">
        <v>511</v>
      </c>
      <c r="ST10" s="478"/>
      <c r="SU10" s="463"/>
      <c r="SV10" s="466"/>
      <c r="SW10" s="466"/>
      <c r="SX10" s="466"/>
      <c r="SY10" s="466"/>
      <c r="SZ10" s="467"/>
      <c r="TA10" s="471" t="s">
        <v>377</v>
      </c>
      <c r="TB10" s="472"/>
      <c r="TC10" s="472"/>
      <c r="TD10" s="473"/>
      <c r="TE10" s="80" t="s">
        <v>511</v>
      </c>
      <c r="TF10" s="471" t="s">
        <v>377</v>
      </c>
      <c r="TG10" s="472"/>
      <c r="TH10" s="472"/>
      <c r="TI10" s="473"/>
      <c r="TJ10" s="80" t="s">
        <v>511</v>
      </c>
      <c r="TK10" s="471" t="s">
        <v>377</v>
      </c>
      <c r="TL10" s="472"/>
      <c r="TM10" s="472"/>
      <c r="TN10" s="473"/>
      <c r="TO10" s="80" t="s">
        <v>511</v>
      </c>
      <c r="TP10" s="471" t="s">
        <v>377</v>
      </c>
      <c r="TQ10" s="472"/>
      <c r="TR10" s="472"/>
      <c r="TS10" s="473"/>
      <c r="TT10" s="80" t="s">
        <v>511</v>
      </c>
      <c r="TU10" s="478"/>
      <c r="TV10" s="463"/>
      <c r="TW10" s="466"/>
      <c r="TX10" s="466"/>
      <c r="TY10" s="466"/>
      <c r="TZ10" s="466"/>
      <c r="UA10" s="467"/>
      <c r="UB10" s="471" t="s">
        <v>377</v>
      </c>
      <c r="UC10" s="472"/>
      <c r="UD10" s="472"/>
      <c r="UE10" s="473"/>
      <c r="UF10" s="80" t="s">
        <v>511</v>
      </c>
      <c r="UG10" s="471" t="s">
        <v>377</v>
      </c>
      <c r="UH10" s="472"/>
      <c r="UI10" s="472"/>
      <c r="UJ10" s="473"/>
      <c r="UK10" s="80" t="s">
        <v>511</v>
      </c>
      <c r="UL10" s="471" t="s">
        <v>377</v>
      </c>
      <c r="UM10" s="472"/>
      <c r="UN10" s="472"/>
      <c r="UO10" s="473"/>
      <c r="UP10" s="80" t="s">
        <v>511</v>
      </c>
      <c r="UQ10" s="471" t="s">
        <v>377</v>
      </c>
      <c r="UR10" s="472"/>
      <c r="US10" s="472"/>
      <c r="UT10" s="473"/>
      <c r="UU10" s="80" t="s">
        <v>511</v>
      </c>
      <c r="UV10" s="478"/>
      <c r="UW10" s="463"/>
      <c r="UX10" s="466"/>
      <c r="UY10" s="466"/>
      <c r="UZ10" s="466"/>
      <c r="VA10" s="466"/>
      <c r="VB10" s="467"/>
      <c r="VC10" s="471" t="s">
        <v>377</v>
      </c>
      <c r="VD10" s="472"/>
      <c r="VE10" s="472"/>
      <c r="VF10" s="473"/>
      <c r="VG10" s="80" t="s">
        <v>801</v>
      </c>
      <c r="VH10" s="471" t="s">
        <v>377</v>
      </c>
      <c r="VI10" s="472"/>
      <c r="VJ10" s="472"/>
      <c r="VK10" s="473"/>
      <c r="VL10" s="80" t="s">
        <v>511</v>
      </c>
      <c r="VM10" s="471" t="s">
        <v>377</v>
      </c>
      <c r="VN10" s="472"/>
      <c r="VO10" s="472"/>
      <c r="VP10" s="473"/>
      <c r="VQ10" s="80" t="s">
        <v>511</v>
      </c>
      <c r="VR10" s="471" t="s">
        <v>377</v>
      </c>
      <c r="VS10" s="472"/>
      <c r="VT10" s="472"/>
      <c r="VU10" s="473"/>
      <c r="VV10" s="80" t="s">
        <v>511</v>
      </c>
      <c r="VW10" s="478"/>
      <c r="VX10" s="463"/>
      <c r="VY10" s="466"/>
      <c r="VZ10" s="466"/>
      <c r="WA10" s="466"/>
      <c r="WB10" s="466"/>
      <c r="WC10" s="467"/>
      <c r="WD10" s="471" t="s">
        <v>377</v>
      </c>
      <c r="WE10" s="472"/>
      <c r="WF10" s="472"/>
      <c r="WG10" s="473"/>
      <c r="WH10" s="80" t="s">
        <v>511</v>
      </c>
      <c r="WI10" s="471" t="s">
        <v>377</v>
      </c>
      <c r="WJ10" s="472"/>
      <c r="WK10" s="472"/>
      <c r="WL10" s="473"/>
      <c r="WM10" s="80" t="s">
        <v>511</v>
      </c>
      <c r="WN10" s="471" t="s">
        <v>377</v>
      </c>
      <c r="WO10" s="472"/>
      <c r="WP10" s="472"/>
      <c r="WQ10" s="473"/>
      <c r="WR10" s="80" t="s">
        <v>511</v>
      </c>
      <c r="WS10" s="471" t="s">
        <v>377</v>
      </c>
      <c r="WT10" s="472"/>
      <c r="WU10" s="472"/>
      <c r="WV10" s="473"/>
      <c r="WW10" s="80" t="s">
        <v>511</v>
      </c>
      <c r="WX10" s="478"/>
      <c r="WY10" s="463"/>
      <c r="WZ10" s="466"/>
      <c r="XA10" s="466"/>
      <c r="XB10" s="466"/>
      <c r="XC10" s="466"/>
      <c r="XD10" s="467"/>
      <c r="XE10" s="471" t="s">
        <v>377</v>
      </c>
      <c r="XF10" s="472"/>
      <c r="XG10" s="472"/>
      <c r="XH10" s="473"/>
      <c r="XI10" s="80" t="s">
        <v>511</v>
      </c>
      <c r="XJ10" s="471" t="s">
        <v>377</v>
      </c>
      <c r="XK10" s="472"/>
      <c r="XL10" s="472"/>
      <c r="XM10" s="473"/>
      <c r="XN10" s="80" t="s">
        <v>511</v>
      </c>
      <c r="XO10" s="471" t="s">
        <v>377</v>
      </c>
      <c r="XP10" s="472"/>
      <c r="XQ10" s="472"/>
      <c r="XR10" s="473"/>
      <c r="XS10" s="80" t="s">
        <v>801</v>
      </c>
      <c r="XT10" s="471" t="s">
        <v>377</v>
      </c>
      <c r="XU10" s="472"/>
      <c r="XV10" s="472"/>
      <c r="XW10" s="473"/>
      <c r="XX10" s="80" t="s">
        <v>511</v>
      </c>
      <c r="XY10" s="478"/>
      <c r="XZ10" s="463"/>
      <c r="YA10" s="466"/>
      <c r="YB10" s="466"/>
      <c r="YC10" s="466"/>
      <c r="YD10" s="466"/>
      <c r="YE10" s="467"/>
      <c r="YF10" s="471" t="s">
        <v>377</v>
      </c>
      <c r="YG10" s="472"/>
      <c r="YH10" s="472"/>
      <c r="YI10" s="473"/>
      <c r="YJ10" s="80" t="s">
        <v>511</v>
      </c>
      <c r="YK10" s="471" t="s">
        <v>377</v>
      </c>
      <c r="YL10" s="472"/>
      <c r="YM10" s="472"/>
      <c r="YN10" s="473"/>
      <c r="YO10" s="80" t="s">
        <v>511</v>
      </c>
      <c r="YP10" s="471" t="s">
        <v>377</v>
      </c>
      <c r="YQ10" s="472"/>
      <c r="YR10" s="472"/>
      <c r="YS10" s="473"/>
      <c r="YT10" s="80" t="s">
        <v>511</v>
      </c>
      <c r="YU10" s="471" t="s">
        <v>377</v>
      </c>
      <c r="YV10" s="472"/>
      <c r="YW10" s="472"/>
      <c r="YX10" s="473"/>
      <c r="YY10" s="80" t="s">
        <v>511</v>
      </c>
      <c r="YZ10" s="478"/>
      <c r="ZA10" s="463"/>
      <c r="ZB10" s="466"/>
      <c r="ZC10" s="466"/>
      <c r="ZD10" s="466"/>
      <c r="ZE10" s="466"/>
      <c r="ZF10" s="467"/>
      <c r="ZG10" s="471" t="s">
        <v>377</v>
      </c>
      <c r="ZH10" s="472"/>
      <c r="ZI10" s="472"/>
      <c r="ZJ10" s="473"/>
      <c r="ZK10" s="80" t="s">
        <v>511</v>
      </c>
      <c r="ZL10" s="471" t="s">
        <v>377</v>
      </c>
      <c r="ZM10" s="472"/>
      <c r="ZN10" s="472"/>
      <c r="ZO10" s="473"/>
      <c r="ZP10" s="80" t="s">
        <v>511</v>
      </c>
      <c r="ZQ10" s="471" t="s">
        <v>377</v>
      </c>
      <c r="ZR10" s="472"/>
      <c r="ZS10" s="472"/>
      <c r="ZT10" s="473"/>
      <c r="ZU10" s="80" t="s">
        <v>511</v>
      </c>
      <c r="ZV10" s="471" t="s">
        <v>377</v>
      </c>
      <c r="ZW10" s="472"/>
      <c r="ZX10" s="472"/>
      <c r="ZY10" s="473"/>
      <c r="ZZ10" s="80" t="s">
        <v>511</v>
      </c>
      <c r="AAA10" s="478"/>
      <c r="AAB10" s="463"/>
      <c r="AAC10" s="466"/>
      <c r="AAD10" s="466"/>
      <c r="AAE10" s="466"/>
      <c r="AAF10" s="466"/>
      <c r="AAG10" s="467"/>
      <c r="AAH10" s="471" t="s">
        <v>377</v>
      </c>
      <c r="AAI10" s="472"/>
      <c r="AAJ10" s="472"/>
      <c r="AAK10" s="473"/>
      <c r="AAL10" s="80" t="s">
        <v>511</v>
      </c>
      <c r="AAM10" s="471" t="s">
        <v>377</v>
      </c>
      <c r="AAN10" s="472"/>
      <c r="AAO10" s="472"/>
      <c r="AAP10" s="473"/>
      <c r="AAQ10" s="80" t="s">
        <v>511</v>
      </c>
      <c r="AAR10" s="471" t="s">
        <v>377</v>
      </c>
      <c r="AAS10" s="472"/>
      <c r="AAT10" s="472"/>
      <c r="AAU10" s="473"/>
      <c r="AAV10" s="80" t="s">
        <v>511</v>
      </c>
      <c r="AAW10" s="471" t="s">
        <v>377</v>
      </c>
      <c r="AAX10" s="472"/>
      <c r="AAY10" s="472"/>
      <c r="AAZ10" s="473"/>
      <c r="ABA10" s="80" t="s">
        <v>511</v>
      </c>
      <c r="ABB10" s="478"/>
      <c r="ABC10" s="463"/>
      <c r="ABD10" s="466"/>
      <c r="ABE10" s="466"/>
      <c r="ABF10" s="466"/>
      <c r="ABG10" s="466"/>
      <c r="ABH10" s="467"/>
      <c r="ABI10" s="471" t="s">
        <v>377</v>
      </c>
      <c r="ABJ10" s="472"/>
      <c r="ABK10" s="472"/>
      <c r="ABL10" s="473"/>
      <c r="ABM10" s="80" t="s">
        <v>511</v>
      </c>
      <c r="ABN10" s="471" t="s">
        <v>377</v>
      </c>
      <c r="ABO10" s="472"/>
      <c r="ABP10" s="472"/>
      <c r="ABQ10" s="473"/>
      <c r="ABR10" s="80" t="s">
        <v>511</v>
      </c>
      <c r="ABS10" s="471" t="s">
        <v>377</v>
      </c>
      <c r="ABT10" s="472"/>
      <c r="ABU10" s="472"/>
      <c r="ABV10" s="473"/>
      <c r="ABW10" s="80" t="s">
        <v>511</v>
      </c>
      <c r="ABX10" s="471" t="s">
        <v>377</v>
      </c>
      <c r="ABY10" s="472"/>
      <c r="ABZ10" s="472"/>
      <c r="ACA10" s="473"/>
      <c r="ACB10" s="80" t="s">
        <v>511</v>
      </c>
      <c r="ACC10" s="478"/>
      <c r="ACD10" s="463"/>
      <c r="ACE10" s="466"/>
      <c r="ACF10" s="466"/>
      <c r="ACG10" s="466"/>
      <c r="ACH10" s="466"/>
      <c r="ACI10" s="467"/>
      <c r="ACJ10" s="471" t="s">
        <v>377</v>
      </c>
      <c r="ACK10" s="472"/>
      <c r="ACL10" s="472"/>
      <c r="ACM10" s="473"/>
      <c r="ACN10" s="80" t="s">
        <v>511</v>
      </c>
      <c r="ACO10" s="471" t="s">
        <v>377</v>
      </c>
      <c r="ACP10" s="472"/>
      <c r="ACQ10" s="472"/>
      <c r="ACR10" s="473"/>
      <c r="ACS10" s="80" t="s">
        <v>511</v>
      </c>
      <c r="ACT10" s="471" t="s">
        <v>377</v>
      </c>
      <c r="ACU10" s="472"/>
      <c r="ACV10" s="472"/>
      <c r="ACW10" s="473"/>
      <c r="ACX10" s="80" t="s">
        <v>511</v>
      </c>
      <c r="ACY10" s="471" t="s">
        <v>377</v>
      </c>
      <c r="ACZ10" s="472"/>
      <c r="ADA10" s="472"/>
      <c r="ADB10" s="473"/>
      <c r="ADC10" s="80" t="s">
        <v>511</v>
      </c>
      <c r="ADD10" s="478"/>
      <c r="ADE10" s="463"/>
      <c r="ADF10" s="466"/>
      <c r="ADG10" s="466"/>
      <c r="ADH10" s="466"/>
      <c r="ADI10" s="466"/>
      <c r="ADJ10" s="467"/>
      <c r="ADK10" s="471" t="s">
        <v>377</v>
      </c>
      <c r="ADL10" s="472"/>
      <c r="ADM10" s="472"/>
      <c r="ADN10" s="473"/>
      <c r="ADO10" s="80" t="s">
        <v>511</v>
      </c>
      <c r="ADP10" s="471" t="s">
        <v>377</v>
      </c>
      <c r="ADQ10" s="472"/>
      <c r="ADR10" s="472"/>
      <c r="ADS10" s="473"/>
      <c r="ADT10" s="80" t="s">
        <v>511</v>
      </c>
      <c r="ADU10" s="471" t="s">
        <v>377</v>
      </c>
      <c r="ADV10" s="472"/>
      <c r="ADW10" s="472"/>
      <c r="ADX10" s="473"/>
      <c r="ADY10" s="80" t="s">
        <v>511</v>
      </c>
      <c r="ADZ10" s="471" t="s">
        <v>377</v>
      </c>
      <c r="AEA10" s="472"/>
      <c r="AEB10" s="472"/>
      <c r="AEC10" s="473"/>
      <c r="AED10" s="80" t="s">
        <v>801</v>
      </c>
      <c r="AEE10" s="478"/>
      <c r="AEF10" s="463"/>
      <c r="AEG10" s="466"/>
      <c r="AEH10" s="466"/>
      <c r="AEI10" s="466"/>
      <c r="AEJ10" s="466"/>
      <c r="AEK10" s="467"/>
      <c r="AEL10" s="471" t="s">
        <v>377</v>
      </c>
      <c r="AEM10" s="472"/>
      <c r="AEN10" s="472"/>
      <c r="AEO10" s="473"/>
      <c r="AEP10" s="80" t="s">
        <v>511</v>
      </c>
      <c r="AEQ10" s="471" t="s">
        <v>377</v>
      </c>
      <c r="AER10" s="472"/>
      <c r="AES10" s="472"/>
      <c r="AET10" s="473"/>
      <c r="AEU10" s="80" t="s">
        <v>511</v>
      </c>
      <c r="AEV10" s="471" t="s">
        <v>377</v>
      </c>
      <c r="AEW10" s="472"/>
      <c r="AEX10" s="472"/>
      <c r="AEY10" s="473"/>
      <c r="AEZ10" s="80" t="s">
        <v>511</v>
      </c>
      <c r="AFA10" s="471" t="s">
        <v>377</v>
      </c>
      <c r="AFB10" s="472"/>
      <c r="AFC10" s="472"/>
      <c r="AFD10" s="473"/>
      <c r="AFE10" s="80" t="s">
        <v>511</v>
      </c>
      <c r="AFF10" s="478"/>
      <c r="AFG10" s="463"/>
      <c r="AFH10" s="466"/>
      <c r="AFI10" s="466"/>
      <c r="AFJ10" s="466"/>
      <c r="AFK10" s="466"/>
      <c r="AFL10" s="467"/>
      <c r="AFM10" s="471" t="s">
        <v>377</v>
      </c>
      <c r="AFN10" s="472"/>
      <c r="AFO10" s="472"/>
      <c r="AFP10" s="473"/>
      <c r="AFQ10" s="80" t="s">
        <v>511</v>
      </c>
      <c r="AFR10" s="471" t="s">
        <v>377</v>
      </c>
      <c r="AFS10" s="472"/>
      <c r="AFT10" s="472"/>
      <c r="AFU10" s="473"/>
      <c r="AFV10" s="80" t="s">
        <v>511</v>
      </c>
      <c r="AFW10" s="471" t="s">
        <v>377</v>
      </c>
      <c r="AFX10" s="472"/>
      <c r="AFY10" s="472"/>
      <c r="AFZ10" s="473"/>
      <c r="AGA10" s="80" t="s">
        <v>511</v>
      </c>
      <c r="AGB10" s="471" t="s">
        <v>377</v>
      </c>
      <c r="AGC10" s="472"/>
      <c r="AGD10" s="472"/>
      <c r="AGE10" s="473"/>
      <c r="AGF10" s="80" t="s">
        <v>511</v>
      </c>
      <c r="AGG10" s="478"/>
      <c r="AGH10" s="463"/>
      <c r="AGI10" s="466"/>
      <c r="AGJ10" s="466"/>
      <c r="AGK10" s="466"/>
      <c r="AGL10" s="466"/>
      <c r="AGM10" s="467"/>
      <c r="AGN10" s="471" t="s">
        <v>377</v>
      </c>
      <c r="AGO10" s="472"/>
      <c r="AGP10" s="472"/>
      <c r="AGQ10" s="473"/>
      <c r="AGR10" s="80" t="s">
        <v>511</v>
      </c>
      <c r="AGS10" s="471" t="s">
        <v>377</v>
      </c>
      <c r="AGT10" s="472"/>
      <c r="AGU10" s="472"/>
      <c r="AGV10" s="473"/>
      <c r="AGW10" s="80" t="s">
        <v>511</v>
      </c>
      <c r="AGX10" s="471" t="s">
        <v>377</v>
      </c>
      <c r="AGY10" s="472"/>
      <c r="AGZ10" s="472"/>
      <c r="AHA10" s="473"/>
      <c r="AHB10" s="80" t="s">
        <v>511</v>
      </c>
      <c r="AHC10" s="471" t="s">
        <v>377</v>
      </c>
      <c r="AHD10" s="472"/>
      <c r="AHE10" s="472"/>
      <c r="AHF10" s="473"/>
      <c r="AHG10" s="80" t="s">
        <v>511</v>
      </c>
      <c r="AHH10" s="478"/>
      <c r="AHI10" s="463"/>
      <c r="AHJ10" s="466"/>
      <c r="AHK10" s="466"/>
      <c r="AHL10" s="466"/>
      <c r="AHM10" s="466"/>
      <c r="AHN10" s="467"/>
      <c r="AHO10" s="471" t="s">
        <v>377</v>
      </c>
      <c r="AHP10" s="472"/>
      <c r="AHQ10" s="472"/>
      <c r="AHR10" s="473"/>
      <c r="AHS10" s="80" t="s">
        <v>801</v>
      </c>
      <c r="AHT10" s="471" t="s">
        <v>377</v>
      </c>
      <c r="AHU10" s="472"/>
      <c r="AHV10" s="472"/>
      <c r="AHW10" s="473"/>
      <c r="AHX10" s="80" t="s">
        <v>511</v>
      </c>
      <c r="AHY10" s="471" t="s">
        <v>377</v>
      </c>
      <c r="AHZ10" s="472"/>
      <c r="AIA10" s="472"/>
      <c r="AIB10" s="473"/>
      <c r="AIC10" s="80" t="s">
        <v>511</v>
      </c>
      <c r="AID10" s="471" t="s">
        <v>377</v>
      </c>
      <c r="AIE10" s="472"/>
      <c r="AIF10" s="472"/>
      <c r="AIG10" s="473"/>
      <c r="AIH10" s="80" t="s">
        <v>511</v>
      </c>
      <c r="AII10" s="478"/>
      <c r="AIJ10" s="463"/>
      <c r="AIK10" s="466"/>
      <c r="AIL10" s="466"/>
      <c r="AIM10" s="466"/>
      <c r="AIN10" s="466"/>
      <c r="AIO10" s="467"/>
      <c r="AIP10" s="471" t="s">
        <v>377</v>
      </c>
      <c r="AIQ10" s="472"/>
      <c r="AIR10" s="472"/>
      <c r="AIS10" s="473"/>
      <c r="AIT10" s="80" t="s">
        <v>511</v>
      </c>
      <c r="AIU10" s="471" t="s">
        <v>377</v>
      </c>
      <c r="AIV10" s="472"/>
      <c r="AIW10" s="472"/>
      <c r="AIX10" s="473"/>
      <c r="AIY10" s="80" t="s">
        <v>511</v>
      </c>
      <c r="AIZ10" s="471" t="s">
        <v>377</v>
      </c>
      <c r="AJA10" s="472"/>
      <c r="AJB10" s="472"/>
      <c r="AJC10" s="473"/>
      <c r="AJD10" s="80" t="s">
        <v>511</v>
      </c>
      <c r="AJE10" s="471" t="s">
        <v>377</v>
      </c>
      <c r="AJF10" s="472"/>
      <c r="AJG10" s="472"/>
      <c r="AJH10" s="473"/>
      <c r="AJI10" s="80" t="s">
        <v>801</v>
      </c>
      <c r="AJJ10" s="478"/>
      <c r="AJK10" s="463"/>
      <c r="AJL10" s="466"/>
      <c r="AJM10" s="466"/>
      <c r="AJN10" s="466"/>
      <c r="AJO10" s="466"/>
      <c r="AJP10" s="467"/>
      <c r="AJQ10" s="471" t="s">
        <v>377</v>
      </c>
      <c r="AJR10" s="472"/>
      <c r="AJS10" s="472"/>
      <c r="AJT10" s="473"/>
      <c r="AJU10" s="80" t="s">
        <v>801</v>
      </c>
      <c r="AJV10" s="471" t="s">
        <v>377</v>
      </c>
      <c r="AJW10" s="472"/>
      <c r="AJX10" s="472"/>
      <c r="AJY10" s="473"/>
      <c r="AJZ10" s="80" t="s">
        <v>802</v>
      </c>
      <c r="AKA10" s="471" t="s">
        <v>377</v>
      </c>
      <c r="AKB10" s="472"/>
      <c r="AKC10" s="472"/>
      <c r="AKD10" s="473"/>
      <c r="AKE10" s="80" t="s">
        <v>511</v>
      </c>
      <c r="AKF10" s="471" t="s">
        <v>377</v>
      </c>
      <c r="AKG10" s="472"/>
      <c r="AKH10" s="472"/>
      <c r="AKI10" s="473"/>
      <c r="AKJ10" s="80" t="s">
        <v>801</v>
      </c>
      <c r="AKK10" s="478"/>
      <c r="AKL10" s="463"/>
      <c r="AKM10" s="466"/>
      <c r="AKN10" s="466"/>
      <c r="AKO10" s="466"/>
      <c r="AKP10" s="466"/>
      <c r="AKQ10" s="467"/>
      <c r="AKR10" s="471" t="s">
        <v>377</v>
      </c>
      <c r="AKS10" s="472"/>
      <c r="AKT10" s="472"/>
      <c r="AKU10" s="473"/>
      <c r="AKV10" s="80" t="s">
        <v>511</v>
      </c>
      <c r="AKW10" s="471" t="s">
        <v>377</v>
      </c>
      <c r="AKX10" s="472"/>
      <c r="AKY10" s="472"/>
      <c r="AKZ10" s="473"/>
      <c r="ALA10" s="80" t="s">
        <v>511</v>
      </c>
      <c r="ALB10" s="471" t="s">
        <v>377</v>
      </c>
      <c r="ALC10" s="472"/>
      <c r="ALD10" s="472"/>
      <c r="ALE10" s="473"/>
      <c r="ALF10" s="80" t="s">
        <v>511</v>
      </c>
      <c r="ALG10" s="471" t="s">
        <v>377</v>
      </c>
      <c r="ALH10" s="472"/>
      <c r="ALI10" s="472"/>
      <c r="ALJ10" s="473"/>
      <c r="ALK10" s="80" t="s">
        <v>511</v>
      </c>
      <c r="ALL10" s="478"/>
      <c r="ALM10" s="463"/>
      <c r="ALN10" s="466"/>
      <c r="ALO10" s="466"/>
      <c r="ALP10" s="466"/>
      <c r="ALQ10" s="466"/>
      <c r="ALR10" s="467"/>
      <c r="ALS10" s="471" t="s">
        <v>377</v>
      </c>
      <c r="ALT10" s="472"/>
      <c r="ALU10" s="472"/>
      <c r="ALV10" s="473"/>
      <c r="ALW10" s="80" t="s">
        <v>511</v>
      </c>
      <c r="ALX10" s="471" t="s">
        <v>377</v>
      </c>
      <c r="ALY10" s="472"/>
      <c r="ALZ10" s="472"/>
      <c r="AMA10" s="473"/>
      <c r="AMB10" s="80" t="s">
        <v>801</v>
      </c>
      <c r="AMC10" s="471" t="s">
        <v>377</v>
      </c>
      <c r="AMD10" s="472"/>
      <c r="AME10" s="472"/>
      <c r="AMF10" s="473"/>
      <c r="AMG10" s="80" t="s">
        <v>511</v>
      </c>
      <c r="AMH10" s="471" t="s">
        <v>377</v>
      </c>
      <c r="AMI10" s="472"/>
      <c r="AMJ10" s="472"/>
      <c r="AMK10" s="473"/>
      <c r="AML10" s="80" t="s">
        <v>511</v>
      </c>
      <c r="AMM10" s="478"/>
      <c r="AMN10" s="463"/>
      <c r="AMO10" s="466"/>
      <c r="AMP10" s="466"/>
      <c r="AMQ10" s="466"/>
      <c r="AMR10" s="466"/>
      <c r="AMS10" s="467"/>
      <c r="AMT10" s="471" t="s">
        <v>377</v>
      </c>
      <c r="AMU10" s="472"/>
      <c r="AMV10" s="472"/>
      <c r="AMW10" s="473"/>
      <c r="AMX10" s="80" t="s">
        <v>511</v>
      </c>
      <c r="AMY10" s="471" t="s">
        <v>377</v>
      </c>
      <c r="AMZ10" s="472"/>
      <c r="ANA10" s="472"/>
      <c r="ANB10" s="473"/>
      <c r="ANC10" s="80" t="s">
        <v>511</v>
      </c>
      <c r="AND10" s="471" t="s">
        <v>377</v>
      </c>
      <c r="ANE10" s="472"/>
      <c r="ANF10" s="472"/>
      <c r="ANG10" s="473"/>
      <c r="ANH10" s="80" t="s">
        <v>511</v>
      </c>
      <c r="ANI10" s="471" t="s">
        <v>377</v>
      </c>
      <c r="ANJ10" s="472"/>
      <c r="ANK10" s="472"/>
      <c r="ANL10" s="473"/>
      <c r="ANM10" s="80" t="s">
        <v>511</v>
      </c>
      <c r="ANN10" s="478"/>
      <c r="ANO10" s="463"/>
      <c r="ANP10" s="466"/>
      <c r="ANQ10" s="466"/>
      <c r="ANR10" s="466"/>
      <c r="ANS10" s="466"/>
      <c r="ANT10" s="467"/>
      <c r="ANU10" s="471" t="s">
        <v>377</v>
      </c>
      <c r="ANV10" s="472"/>
      <c r="ANW10" s="472"/>
      <c r="ANX10" s="473"/>
      <c r="ANY10" s="80" t="s">
        <v>511</v>
      </c>
      <c r="ANZ10" s="471" t="s">
        <v>377</v>
      </c>
      <c r="AOA10" s="472"/>
      <c r="AOB10" s="472"/>
      <c r="AOC10" s="473"/>
      <c r="AOD10" s="80" t="s">
        <v>511</v>
      </c>
      <c r="AOE10" s="471" t="s">
        <v>377</v>
      </c>
      <c r="AOF10" s="472"/>
      <c r="AOG10" s="472"/>
      <c r="AOH10" s="473"/>
      <c r="AOI10" s="471" t="s">
        <v>511</v>
      </c>
      <c r="AOJ10" s="473" t="s">
        <v>511</v>
      </c>
      <c r="AOK10" s="471" t="s">
        <v>377</v>
      </c>
      <c r="AOL10" s="472"/>
      <c r="AOM10" s="472"/>
      <c r="AON10" s="473"/>
      <c r="AOO10" s="80" t="s">
        <v>511</v>
      </c>
      <c r="AOP10" s="478"/>
      <c r="AOQ10" s="463"/>
      <c r="AOR10" s="466"/>
      <c r="AOS10" s="466"/>
      <c r="AOT10" s="466"/>
      <c r="AOU10" s="466"/>
      <c r="AOV10" s="467"/>
      <c r="AOW10" s="471" t="s">
        <v>377</v>
      </c>
      <c r="AOX10" s="472"/>
      <c r="AOY10" s="472"/>
      <c r="AOZ10" s="473"/>
      <c r="APA10" s="80" t="s">
        <v>511</v>
      </c>
      <c r="APB10" s="471" t="s">
        <v>377</v>
      </c>
      <c r="APC10" s="472"/>
      <c r="APD10" s="472"/>
      <c r="APE10" s="473"/>
      <c r="APF10" s="80" t="s">
        <v>511</v>
      </c>
      <c r="APG10" s="471" t="s">
        <v>377</v>
      </c>
      <c r="APH10" s="472"/>
      <c r="API10" s="472"/>
      <c r="APJ10" s="473"/>
      <c r="APK10" s="80" t="s">
        <v>511</v>
      </c>
      <c r="APL10" s="471" t="s">
        <v>377</v>
      </c>
      <c r="APM10" s="472"/>
      <c r="APN10" s="472"/>
      <c r="APO10" s="473"/>
      <c r="APP10" s="80" t="s">
        <v>801</v>
      </c>
      <c r="APQ10" s="478"/>
      <c r="APR10" s="463"/>
      <c r="APS10" s="466"/>
      <c r="APT10" s="466"/>
      <c r="APU10" s="466"/>
      <c r="APV10" s="466"/>
      <c r="APW10" s="467"/>
      <c r="APX10" s="471" t="s">
        <v>377</v>
      </c>
      <c r="APY10" s="472"/>
      <c r="APZ10" s="472"/>
      <c r="AQA10" s="473"/>
      <c r="AQB10" s="80" t="s">
        <v>801</v>
      </c>
      <c r="AQC10" s="471" t="s">
        <v>377</v>
      </c>
      <c r="AQD10" s="472"/>
      <c r="AQE10" s="472"/>
      <c r="AQF10" s="473"/>
      <c r="AQG10" s="80" t="s">
        <v>511</v>
      </c>
      <c r="AQH10" s="471" t="s">
        <v>377</v>
      </c>
      <c r="AQI10" s="472"/>
      <c r="AQJ10" s="472"/>
      <c r="AQK10" s="473"/>
      <c r="AQL10" s="80" t="s">
        <v>511</v>
      </c>
      <c r="AQM10" s="471" t="s">
        <v>377</v>
      </c>
      <c r="AQN10" s="472"/>
      <c r="AQO10" s="472"/>
      <c r="AQP10" s="473"/>
      <c r="AQQ10" s="80" t="s">
        <v>511</v>
      </c>
      <c r="AQR10" s="478"/>
      <c r="AQS10" s="463"/>
      <c r="AQT10" s="466"/>
      <c r="AQU10" s="466"/>
      <c r="AQV10" s="466"/>
      <c r="AQW10" s="466"/>
      <c r="AQX10" s="467"/>
      <c r="AQY10" s="471" t="s">
        <v>377</v>
      </c>
      <c r="AQZ10" s="472"/>
      <c r="ARA10" s="472"/>
      <c r="ARB10" s="473"/>
      <c r="ARC10" s="80" t="s">
        <v>511</v>
      </c>
      <c r="ARD10" s="471" t="s">
        <v>377</v>
      </c>
      <c r="ARE10" s="472"/>
      <c r="ARF10" s="472"/>
      <c r="ARG10" s="473"/>
      <c r="ARH10" s="80" t="s">
        <v>511</v>
      </c>
      <c r="ARI10" s="471" t="s">
        <v>377</v>
      </c>
      <c r="ARJ10" s="472"/>
      <c r="ARK10" s="472"/>
      <c r="ARL10" s="473"/>
      <c r="ARM10" s="80" t="s">
        <v>511</v>
      </c>
      <c r="ARN10" s="471" t="s">
        <v>377</v>
      </c>
      <c r="ARO10" s="472"/>
      <c r="ARP10" s="472"/>
      <c r="ARQ10" s="473"/>
      <c r="ARR10" s="80" t="s">
        <v>511</v>
      </c>
      <c r="ARS10" s="478"/>
      <c r="ART10" s="463"/>
      <c r="ARU10" s="466"/>
      <c r="ARV10" s="466"/>
      <c r="ARW10" s="466"/>
      <c r="ARX10" s="466"/>
      <c r="ARY10" s="467"/>
      <c r="ARZ10" s="471" t="s">
        <v>377</v>
      </c>
      <c r="ASA10" s="472"/>
      <c r="ASB10" s="472"/>
      <c r="ASC10" s="473"/>
      <c r="ASD10" s="80" t="s">
        <v>801</v>
      </c>
      <c r="ASE10" s="471" t="s">
        <v>377</v>
      </c>
      <c r="ASF10" s="472"/>
      <c r="ASG10" s="472"/>
      <c r="ASH10" s="473"/>
      <c r="ASI10" s="80" t="s">
        <v>801</v>
      </c>
      <c r="ASJ10" s="471" t="s">
        <v>377</v>
      </c>
      <c r="ASK10" s="472"/>
      <c r="ASL10" s="472"/>
      <c r="ASM10" s="473"/>
      <c r="ASN10" s="80" t="s">
        <v>511</v>
      </c>
      <c r="ASO10" s="471" t="s">
        <v>377</v>
      </c>
      <c r="ASP10" s="472"/>
      <c r="ASQ10" s="472"/>
      <c r="ASR10" s="473"/>
      <c r="ASS10" s="80" t="s">
        <v>511</v>
      </c>
      <c r="AST10" s="478"/>
      <c r="ASU10" s="463"/>
      <c r="ASV10" s="466"/>
      <c r="ASW10" s="466"/>
      <c r="ASX10" s="466"/>
      <c r="ASY10" s="466"/>
      <c r="ASZ10" s="467"/>
      <c r="ATA10" s="471" t="s">
        <v>377</v>
      </c>
      <c r="ATB10" s="472"/>
      <c r="ATC10" s="472"/>
      <c r="ATD10" s="473"/>
      <c r="ATE10" s="80" t="s">
        <v>511</v>
      </c>
      <c r="ATF10" s="471" t="s">
        <v>377</v>
      </c>
      <c r="ATG10" s="472"/>
      <c r="ATH10" s="472"/>
      <c r="ATI10" s="473"/>
      <c r="ATJ10" s="80" t="s">
        <v>511</v>
      </c>
      <c r="ATK10" s="471" t="s">
        <v>377</v>
      </c>
      <c r="ATL10" s="472"/>
      <c r="ATM10" s="472"/>
      <c r="ATN10" s="473"/>
      <c r="ATO10" s="80" t="s">
        <v>511</v>
      </c>
      <c r="ATP10" s="471" t="s">
        <v>377</v>
      </c>
      <c r="ATQ10" s="472"/>
      <c r="ATR10" s="472"/>
      <c r="ATS10" s="473"/>
      <c r="ATT10" s="80" t="s">
        <v>511</v>
      </c>
      <c r="ATU10" s="478"/>
      <c r="ATV10" s="463"/>
      <c r="ATW10" s="466"/>
      <c r="ATX10" s="466"/>
      <c r="ATY10" s="466"/>
      <c r="ATZ10" s="466"/>
      <c r="AUA10" s="467"/>
      <c r="AUB10" s="471" t="s">
        <v>377</v>
      </c>
      <c r="AUC10" s="472"/>
      <c r="AUD10" s="472"/>
      <c r="AUE10" s="473"/>
      <c r="AUF10" s="80" t="s">
        <v>511</v>
      </c>
      <c r="AUG10" s="471" t="s">
        <v>377</v>
      </c>
      <c r="AUH10" s="472"/>
      <c r="AUI10" s="472"/>
      <c r="AUJ10" s="473"/>
      <c r="AUK10" s="80" t="s">
        <v>511</v>
      </c>
      <c r="AUL10" s="471" t="s">
        <v>377</v>
      </c>
      <c r="AUM10" s="472"/>
      <c r="AUN10" s="472"/>
      <c r="AUO10" s="473"/>
      <c r="AUP10" s="80" t="s">
        <v>801</v>
      </c>
      <c r="AUQ10" s="471" t="s">
        <v>377</v>
      </c>
      <c r="AUR10" s="472"/>
      <c r="AUS10" s="472"/>
      <c r="AUT10" s="473"/>
      <c r="AUU10" s="80" t="s">
        <v>511</v>
      </c>
      <c r="AUV10" s="478"/>
      <c r="AUW10" s="463"/>
      <c r="AUX10" s="466"/>
      <c r="AUY10" s="466"/>
      <c r="AUZ10" s="466"/>
      <c r="AVA10" s="466"/>
      <c r="AVB10" s="467"/>
      <c r="AVC10" s="471" t="s">
        <v>377</v>
      </c>
      <c r="AVD10" s="472"/>
      <c r="AVE10" s="472"/>
      <c r="AVF10" s="473"/>
      <c r="AVG10" s="80" t="s">
        <v>511</v>
      </c>
      <c r="AVH10" s="471" t="s">
        <v>377</v>
      </c>
      <c r="AVI10" s="472"/>
      <c r="AVJ10" s="472"/>
      <c r="AVK10" s="473"/>
      <c r="AVL10" s="80" t="s">
        <v>801</v>
      </c>
      <c r="AVM10" s="471" t="s">
        <v>377</v>
      </c>
      <c r="AVN10" s="472"/>
      <c r="AVO10" s="472"/>
      <c r="AVP10" s="473"/>
      <c r="AVQ10" s="80" t="s">
        <v>511</v>
      </c>
      <c r="AVR10" s="471" t="s">
        <v>377</v>
      </c>
      <c r="AVS10" s="472"/>
      <c r="AVT10" s="472"/>
      <c r="AVU10" s="473"/>
      <c r="AVV10" s="80" t="s">
        <v>511</v>
      </c>
      <c r="AVW10" s="478"/>
      <c r="AVX10" s="463"/>
      <c r="AVY10" s="466"/>
      <c r="AVZ10" s="466"/>
      <c r="AWA10" s="466"/>
      <c r="AWB10" s="466"/>
      <c r="AWC10" s="467"/>
      <c r="AWD10" s="471" t="s">
        <v>377</v>
      </c>
      <c r="AWE10" s="472"/>
      <c r="AWF10" s="472"/>
      <c r="AWG10" s="473"/>
      <c r="AWH10" s="80" t="s">
        <v>511</v>
      </c>
      <c r="AWI10" s="471" t="s">
        <v>377</v>
      </c>
      <c r="AWJ10" s="472"/>
      <c r="AWK10" s="472"/>
      <c r="AWL10" s="473"/>
      <c r="AWM10" s="80" t="s">
        <v>511</v>
      </c>
      <c r="AWN10" s="471" t="s">
        <v>377</v>
      </c>
      <c r="AWO10" s="472"/>
      <c r="AWP10" s="472"/>
      <c r="AWQ10" s="473"/>
      <c r="AWR10" s="80" t="s">
        <v>511</v>
      </c>
      <c r="AWS10" s="471" t="s">
        <v>377</v>
      </c>
      <c r="AWT10" s="472"/>
      <c r="AWU10" s="472"/>
      <c r="AWV10" s="473"/>
      <c r="AWW10" s="80" t="s">
        <v>511</v>
      </c>
      <c r="AWX10" s="478"/>
      <c r="AWY10" s="463"/>
      <c r="AWZ10" s="466"/>
      <c r="AXA10" s="466"/>
      <c r="AXB10" s="466"/>
      <c r="AXC10" s="466"/>
      <c r="AXD10" s="467"/>
      <c r="AXE10" s="471" t="s">
        <v>377</v>
      </c>
      <c r="AXF10" s="472"/>
      <c r="AXG10" s="472"/>
      <c r="AXH10" s="473"/>
      <c r="AXI10" s="80" t="s">
        <v>511</v>
      </c>
      <c r="AXJ10" s="471" t="s">
        <v>377</v>
      </c>
      <c r="AXK10" s="472"/>
      <c r="AXL10" s="472"/>
      <c r="AXM10" s="473"/>
      <c r="AXN10" s="80" t="s">
        <v>511</v>
      </c>
      <c r="AXO10" s="471" t="s">
        <v>377</v>
      </c>
      <c r="AXP10" s="472"/>
      <c r="AXQ10" s="472"/>
      <c r="AXR10" s="473"/>
      <c r="AXS10" s="80" t="s">
        <v>511</v>
      </c>
      <c r="AXT10" s="471" t="s">
        <v>377</v>
      </c>
      <c r="AXU10" s="472"/>
      <c r="AXV10" s="472"/>
      <c r="AXW10" s="473"/>
      <c r="AXX10" s="80" t="s">
        <v>511</v>
      </c>
      <c r="AXY10" s="478"/>
      <c r="AXZ10" s="463"/>
      <c r="AYA10" s="466"/>
      <c r="AYB10" s="466"/>
      <c r="AYC10" s="466"/>
      <c r="AYD10" s="466"/>
      <c r="AYE10" s="467"/>
      <c r="AYF10" s="471" t="s">
        <v>377</v>
      </c>
      <c r="AYG10" s="472"/>
      <c r="AYH10" s="472"/>
      <c r="AYI10" s="473"/>
      <c r="AYJ10" s="80" t="s">
        <v>511</v>
      </c>
      <c r="AYK10" s="471" t="s">
        <v>377</v>
      </c>
      <c r="AYL10" s="472"/>
      <c r="AYM10" s="472"/>
      <c r="AYN10" s="473"/>
      <c r="AYO10" s="80" t="s">
        <v>511</v>
      </c>
      <c r="AYP10" s="471" t="s">
        <v>377</v>
      </c>
      <c r="AYQ10" s="472"/>
      <c r="AYR10" s="472"/>
      <c r="AYS10" s="473"/>
      <c r="AYT10" s="80" t="s">
        <v>511</v>
      </c>
      <c r="AYU10" s="471" t="s">
        <v>377</v>
      </c>
      <c r="AYV10" s="472"/>
      <c r="AYW10" s="472"/>
      <c r="AYX10" s="473"/>
      <c r="AYY10" s="80" t="s">
        <v>511</v>
      </c>
      <c r="AYZ10" s="478"/>
      <c r="AZA10" s="463"/>
      <c r="AZB10" s="466"/>
      <c r="AZC10" s="466"/>
      <c r="AZD10" s="466"/>
      <c r="AZE10" s="466"/>
      <c r="AZF10" s="467"/>
      <c r="AZG10" s="471" t="s">
        <v>377</v>
      </c>
      <c r="AZH10" s="472"/>
      <c r="AZI10" s="472"/>
      <c r="AZJ10" s="473"/>
      <c r="AZK10" s="80" t="s">
        <v>511</v>
      </c>
      <c r="AZL10" s="471" t="s">
        <v>377</v>
      </c>
      <c r="AZM10" s="472"/>
      <c r="AZN10" s="472"/>
      <c r="AZO10" s="473"/>
      <c r="AZP10" s="80" t="s">
        <v>511</v>
      </c>
      <c r="AZQ10" s="471" t="s">
        <v>377</v>
      </c>
      <c r="AZR10" s="472"/>
      <c r="AZS10" s="472"/>
      <c r="AZT10" s="473"/>
      <c r="AZU10" s="80" t="s">
        <v>511</v>
      </c>
      <c r="AZV10" s="471" t="s">
        <v>377</v>
      </c>
      <c r="AZW10" s="472"/>
      <c r="AZX10" s="472"/>
      <c r="AZY10" s="473"/>
      <c r="AZZ10" s="80" t="s">
        <v>511</v>
      </c>
      <c r="BAA10" s="478"/>
      <c r="BAB10" s="463"/>
      <c r="BAC10" s="466"/>
      <c r="BAD10" s="466"/>
      <c r="BAE10" s="466"/>
      <c r="BAF10" s="466"/>
      <c r="BAG10" s="467"/>
      <c r="BAH10" s="471" t="s">
        <v>377</v>
      </c>
      <c r="BAI10" s="472"/>
      <c r="BAJ10" s="472"/>
      <c r="BAK10" s="473"/>
      <c r="BAL10" s="80" t="s">
        <v>511</v>
      </c>
      <c r="BAM10" s="471" t="s">
        <v>377</v>
      </c>
      <c r="BAN10" s="472"/>
      <c r="BAO10" s="472"/>
      <c r="BAP10" s="473"/>
      <c r="BAQ10" s="80" t="s">
        <v>511</v>
      </c>
      <c r="BAR10" s="471" t="s">
        <v>377</v>
      </c>
      <c r="BAS10" s="472"/>
      <c r="BAT10" s="472"/>
      <c r="BAU10" s="473"/>
      <c r="BAV10" s="80" t="s">
        <v>511</v>
      </c>
      <c r="BAW10" s="471" t="s">
        <v>377</v>
      </c>
      <c r="BAX10" s="472"/>
      <c r="BAY10" s="472"/>
      <c r="BAZ10" s="473"/>
      <c r="BBA10" s="80" t="s">
        <v>511</v>
      </c>
      <c r="BBB10" s="478"/>
      <c r="BBC10" s="463"/>
      <c r="BBD10" s="466"/>
      <c r="BBE10" s="466"/>
      <c r="BBF10" s="466"/>
      <c r="BBG10" s="466"/>
      <c r="BBH10" s="467"/>
      <c r="BBI10" s="471" t="s">
        <v>377</v>
      </c>
      <c r="BBJ10" s="472"/>
      <c r="BBK10" s="472"/>
      <c r="BBL10" s="473"/>
      <c r="BBM10" s="80" t="s">
        <v>511</v>
      </c>
      <c r="BBN10" s="471" t="s">
        <v>377</v>
      </c>
      <c r="BBO10" s="472"/>
      <c r="BBP10" s="472"/>
      <c r="BBQ10" s="473"/>
      <c r="BBR10" s="80" t="s">
        <v>511</v>
      </c>
      <c r="BBS10" s="471" t="s">
        <v>377</v>
      </c>
      <c r="BBT10" s="472"/>
      <c r="BBU10" s="472"/>
      <c r="BBV10" s="473"/>
      <c r="BBW10" s="80" t="s">
        <v>511</v>
      </c>
      <c r="BBX10" s="471" t="s">
        <v>377</v>
      </c>
      <c r="BBY10" s="472"/>
      <c r="BBZ10" s="472"/>
      <c r="BCA10" s="473"/>
      <c r="BCB10" s="80" t="s">
        <v>801</v>
      </c>
      <c r="BCC10" s="478"/>
      <c r="BCD10" s="463"/>
      <c r="BCE10" s="466"/>
      <c r="BCF10" s="466"/>
      <c r="BCG10" s="466"/>
      <c r="BCH10" s="466"/>
      <c r="BCI10" s="467"/>
      <c r="BCJ10" s="471" t="s">
        <v>377</v>
      </c>
      <c r="BCK10" s="472"/>
      <c r="BCL10" s="472"/>
      <c r="BCM10" s="473"/>
      <c r="BCN10" s="80" t="s">
        <v>511</v>
      </c>
      <c r="BCO10" s="471" t="s">
        <v>377</v>
      </c>
      <c r="BCP10" s="472"/>
      <c r="BCQ10" s="472"/>
      <c r="BCR10" s="473"/>
      <c r="BCS10" s="80" t="s">
        <v>511</v>
      </c>
      <c r="BCT10" s="471" t="s">
        <v>377</v>
      </c>
      <c r="BCU10" s="472"/>
      <c r="BCV10" s="472"/>
      <c r="BCW10" s="473"/>
      <c r="BCX10" s="80" t="s">
        <v>511</v>
      </c>
      <c r="BCY10" s="471" t="s">
        <v>377</v>
      </c>
      <c r="BCZ10" s="472"/>
      <c r="BDA10" s="472"/>
      <c r="BDB10" s="473"/>
      <c r="BDC10" s="80" t="s">
        <v>511</v>
      </c>
      <c r="BDD10" s="478"/>
      <c r="BDE10" s="463"/>
      <c r="BDF10" s="466"/>
      <c r="BDG10" s="466"/>
      <c r="BDH10" s="466"/>
      <c r="BDI10" s="466"/>
      <c r="BDJ10" s="467"/>
      <c r="BDK10" s="471" t="s">
        <v>377</v>
      </c>
      <c r="BDL10" s="472"/>
      <c r="BDM10" s="472"/>
      <c r="BDN10" s="473"/>
      <c r="BDO10" s="80" t="s">
        <v>511</v>
      </c>
      <c r="BDP10" s="471" t="s">
        <v>377</v>
      </c>
      <c r="BDQ10" s="472"/>
      <c r="BDR10" s="472"/>
      <c r="BDS10" s="473"/>
      <c r="BDT10" s="80" t="s">
        <v>511</v>
      </c>
      <c r="BDU10" s="471" t="s">
        <v>377</v>
      </c>
      <c r="BDV10" s="472"/>
      <c r="BDW10" s="472"/>
      <c r="BDX10" s="473"/>
      <c r="BDY10" s="80" t="s">
        <v>511</v>
      </c>
      <c r="BDZ10" s="471" t="s">
        <v>377</v>
      </c>
      <c r="BEA10" s="472"/>
      <c r="BEB10" s="472"/>
      <c r="BEC10" s="473"/>
      <c r="BED10" s="80" t="s">
        <v>511</v>
      </c>
      <c r="BEE10" s="478"/>
      <c r="BEF10" s="463"/>
      <c r="BEG10" s="466"/>
      <c r="BEH10" s="466"/>
      <c r="BEI10" s="466"/>
      <c r="BEJ10" s="466"/>
      <c r="BEK10" s="467"/>
      <c r="BEL10" s="471" t="s">
        <v>377</v>
      </c>
      <c r="BEM10" s="472"/>
      <c r="BEN10" s="472"/>
      <c r="BEO10" s="473"/>
      <c r="BEP10" s="80" t="s">
        <v>511</v>
      </c>
      <c r="BEQ10" s="471" t="s">
        <v>377</v>
      </c>
      <c r="BER10" s="472"/>
      <c r="BES10" s="472"/>
      <c r="BET10" s="473"/>
      <c r="BEU10" s="80" t="s">
        <v>511</v>
      </c>
      <c r="BEV10" s="471" t="s">
        <v>377</v>
      </c>
      <c r="BEW10" s="472"/>
      <c r="BEX10" s="472"/>
      <c r="BEY10" s="473"/>
      <c r="BEZ10" s="80" t="s">
        <v>511</v>
      </c>
      <c r="BFA10" s="471" t="s">
        <v>377</v>
      </c>
      <c r="BFB10" s="472"/>
      <c r="BFC10" s="472"/>
      <c r="BFD10" s="473"/>
      <c r="BFE10" s="80" t="s">
        <v>511</v>
      </c>
      <c r="BFF10" s="478"/>
      <c r="BFG10" s="463"/>
      <c r="BFH10" s="466"/>
      <c r="BFI10" s="466"/>
      <c r="BFJ10" s="466"/>
      <c r="BFK10" s="466"/>
      <c r="BFL10" s="467"/>
      <c r="BFM10" s="471" t="s">
        <v>377</v>
      </c>
      <c r="BFN10" s="472"/>
      <c r="BFO10" s="472"/>
      <c r="BFP10" s="473"/>
      <c r="BFQ10" s="80" t="s">
        <v>511</v>
      </c>
      <c r="BFR10" s="471" t="s">
        <v>377</v>
      </c>
      <c r="BFS10" s="472"/>
      <c r="BFT10" s="472"/>
      <c r="BFU10" s="473"/>
      <c r="BFV10" s="80" t="s">
        <v>511</v>
      </c>
      <c r="BFW10" s="471"/>
      <c r="BFX10" s="472"/>
      <c r="BFY10" s="472"/>
      <c r="BFZ10" s="473"/>
      <c r="BGA10" s="80"/>
      <c r="BGB10" s="471"/>
      <c r="BGC10" s="472"/>
      <c r="BGD10" s="472"/>
      <c r="BGE10" s="473"/>
      <c r="BGF10" s="80"/>
    </row>
    <row r="11" spans="1:1540" ht="45" customHeight="1" x14ac:dyDescent="0.4">
      <c r="A11" s="478"/>
      <c r="B11" s="463"/>
      <c r="C11" s="485" t="s">
        <v>3</v>
      </c>
      <c r="D11" s="485"/>
      <c r="E11" s="485"/>
      <c r="F11" s="485"/>
      <c r="G11" s="486"/>
      <c r="H11" s="474">
        <v>45017</v>
      </c>
      <c r="I11" s="475"/>
      <c r="J11" s="475"/>
      <c r="K11" s="476"/>
      <c r="L11" s="435">
        <v>45017</v>
      </c>
      <c r="M11" s="474">
        <v>45018</v>
      </c>
      <c r="N11" s="475"/>
      <c r="O11" s="475"/>
      <c r="P11" s="476"/>
      <c r="Q11" s="435">
        <v>45018</v>
      </c>
      <c r="R11" s="474">
        <v>45019</v>
      </c>
      <c r="S11" s="475"/>
      <c r="T11" s="475"/>
      <c r="U11" s="476"/>
      <c r="V11" s="435">
        <v>45019</v>
      </c>
      <c r="W11" s="474">
        <v>45020</v>
      </c>
      <c r="X11" s="475"/>
      <c r="Y11" s="475"/>
      <c r="Z11" s="476"/>
      <c r="AA11" s="435">
        <v>45020</v>
      </c>
      <c r="AB11" s="478"/>
      <c r="AC11" s="463"/>
      <c r="AD11" s="485" t="s">
        <v>3</v>
      </c>
      <c r="AE11" s="485"/>
      <c r="AF11" s="485"/>
      <c r="AG11" s="485"/>
      <c r="AH11" s="486"/>
      <c r="AI11" s="474">
        <v>45023</v>
      </c>
      <c r="AJ11" s="475"/>
      <c r="AK11" s="475"/>
      <c r="AL11" s="476"/>
      <c r="AM11" s="516" t="s">
        <v>688</v>
      </c>
      <c r="AN11" s="474">
        <v>45024</v>
      </c>
      <c r="AO11" s="475"/>
      <c r="AP11" s="475"/>
      <c r="AQ11" s="476"/>
      <c r="AR11" s="435">
        <v>45024</v>
      </c>
      <c r="AS11" s="474">
        <v>45025</v>
      </c>
      <c r="AT11" s="475"/>
      <c r="AU11" s="475"/>
      <c r="AV11" s="476"/>
      <c r="AW11" s="435">
        <v>45025</v>
      </c>
      <c r="AX11" s="474">
        <v>45026</v>
      </c>
      <c r="AY11" s="475"/>
      <c r="AZ11" s="475"/>
      <c r="BA11" s="476"/>
      <c r="BB11" s="435">
        <v>45026</v>
      </c>
      <c r="BC11" s="478"/>
      <c r="BD11" s="463"/>
      <c r="BE11" s="485" t="s">
        <v>3</v>
      </c>
      <c r="BF11" s="485"/>
      <c r="BG11" s="485"/>
      <c r="BH11" s="485"/>
      <c r="BI11" s="486"/>
      <c r="BJ11" s="474">
        <v>45027</v>
      </c>
      <c r="BK11" s="475"/>
      <c r="BL11" s="475"/>
      <c r="BM11" s="476"/>
      <c r="BN11" s="435">
        <v>45027</v>
      </c>
      <c r="BO11" s="474">
        <v>45028</v>
      </c>
      <c r="BP11" s="475"/>
      <c r="BQ11" s="475"/>
      <c r="BR11" s="476"/>
      <c r="BS11" s="435">
        <v>45028</v>
      </c>
      <c r="BT11" s="474">
        <v>45029</v>
      </c>
      <c r="BU11" s="475"/>
      <c r="BV11" s="475"/>
      <c r="BW11" s="476"/>
      <c r="BX11" s="435">
        <v>45029</v>
      </c>
      <c r="BY11" s="474">
        <v>45032</v>
      </c>
      <c r="BZ11" s="475"/>
      <c r="CA11" s="475"/>
      <c r="CB11" s="476"/>
      <c r="CC11" s="435">
        <v>45032</v>
      </c>
      <c r="CD11" s="478"/>
      <c r="CE11" s="463"/>
      <c r="CF11" s="485" t="s">
        <v>3</v>
      </c>
      <c r="CG11" s="485"/>
      <c r="CH11" s="485"/>
      <c r="CI11" s="485"/>
      <c r="CJ11" s="486"/>
      <c r="CK11" s="474">
        <v>45033</v>
      </c>
      <c r="CL11" s="475"/>
      <c r="CM11" s="475"/>
      <c r="CN11" s="476"/>
      <c r="CO11" s="435">
        <v>45033</v>
      </c>
      <c r="CP11" s="474">
        <v>45034</v>
      </c>
      <c r="CQ11" s="475"/>
      <c r="CR11" s="475"/>
      <c r="CS11" s="476"/>
      <c r="CT11" s="435">
        <v>45034</v>
      </c>
      <c r="CU11" s="474">
        <v>45035</v>
      </c>
      <c r="CV11" s="475"/>
      <c r="CW11" s="475"/>
      <c r="CX11" s="476"/>
      <c r="CY11" s="516" t="s">
        <v>688</v>
      </c>
      <c r="CZ11" s="474">
        <v>45036</v>
      </c>
      <c r="DA11" s="475"/>
      <c r="DB11" s="475"/>
      <c r="DC11" s="476"/>
      <c r="DD11" s="435">
        <v>45036</v>
      </c>
      <c r="DE11" s="478"/>
      <c r="DF11" s="463"/>
      <c r="DG11" s="485" t="s">
        <v>3</v>
      </c>
      <c r="DH11" s="485"/>
      <c r="DI11" s="485"/>
      <c r="DJ11" s="485"/>
      <c r="DK11" s="486"/>
      <c r="DL11" s="474">
        <v>45037</v>
      </c>
      <c r="DM11" s="475"/>
      <c r="DN11" s="475"/>
      <c r="DO11" s="476"/>
      <c r="DP11" s="516" t="s">
        <v>803</v>
      </c>
      <c r="DQ11" s="474">
        <v>45038</v>
      </c>
      <c r="DR11" s="475"/>
      <c r="DS11" s="475"/>
      <c r="DT11" s="476"/>
      <c r="DU11" s="435">
        <v>45038</v>
      </c>
      <c r="DV11" s="474">
        <v>45039</v>
      </c>
      <c r="DW11" s="475"/>
      <c r="DX11" s="475"/>
      <c r="DY11" s="476"/>
      <c r="DZ11" s="435">
        <v>45039</v>
      </c>
      <c r="EA11" s="474">
        <v>45042</v>
      </c>
      <c r="EB11" s="475"/>
      <c r="EC11" s="475"/>
      <c r="ED11" s="476"/>
      <c r="EE11" s="435">
        <v>45042</v>
      </c>
      <c r="EF11" s="478"/>
      <c r="EG11" s="463"/>
      <c r="EH11" s="485" t="s">
        <v>3</v>
      </c>
      <c r="EI11" s="485"/>
      <c r="EJ11" s="485"/>
      <c r="EK11" s="485"/>
      <c r="EL11" s="486"/>
      <c r="EM11" s="474">
        <v>45043</v>
      </c>
      <c r="EN11" s="475"/>
      <c r="EO11" s="475"/>
      <c r="EP11" s="476"/>
      <c r="EQ11" s="435">
        <v>45043</v>
      </c>
      <c r="ER11" s="474">
        <v>45044</v>
      </c>
      <c r="ES11" s="475"/>
      <c r="ET11" s="475"/>
      <c r="EU11" s="476"/>
      <c r="EV11" s="435">
        <v>45044</v>
      </c>
      <c r="EW11" s="474">
        <v>45045</v>
      </c>
      <c r="EX11" s="475"/>
      <c r="EY11" s="475"/>
      <c r="EZ11" s="476"/>
      <c r="FA11" s="516" t="s">
        <v>803</v>
      </c>
      <c r="FB11" s="474">
        <v>45046</v>
      </c>
      <c r="FC11" s="475"/>
      <c r="FD11" s="475"/>
      <c r="FE11" s="476"/>
      <c r="FF11" s="435">
        <v>45046</v>
      </c>
      <c r="FG11" s="478"/>
      <c r="FH11" s="463"/>
      <c r="FI11" s="485" t="s">
        <v>3</v>
      </c>
      <c r="FJ11" s="485"/>
      <c r="FK11" s="485"/>
      <c r="FL11" s="485"/>
      <c r="FM11" s="486"/>
      <c r="FN11" s="474">
        <v>45047</v>
      </c>
      <c r="FO11" s="475"/>
      <c r="FP11" s="475"/>
      <c r="FQ11" s="476"/>
      <c r="FR11" s="435">
        <v>45047</v>
      </c>
      <c r="FS11" s="474">
        <v>45048</v>
      </c>
      <c r="FT11" s="475"/>
      <c r="FU11" s="475"/>
      <c r="FV11" s="476"/>
      <c r="FW11" s="435">
        <v>45048</v>
      </c>
      <c r="FX11" s="474">
        <v>45049</v>
      </c>
      <c r="FY11" s="475"/>
      <c r="FZ11" s="475"/>
      <c r="GA11" s="476"/>
      <c r="GB11" s="435">
        <v>45049</v>
      </c>
      <c r="GC11" s="474">
        <v>45050</v>
      </c>
      <c r="GD11" s="475"/>
      <c r="GE11" s="475"/>
      <c r="GF11" s="476"/>
      <c r="GG11" s="435">
        <v>45050</v>
      </c>
      <c r="GH11" s="478"/>
      <c r="GI11" s="463"/>
      <c r="GJ11" s="485" t="s">
        <v>3</v>
      </c>
      <c r="GK11" s="485"/>
      <c r="GL11" s="485"/>
      <c r="GM11" s="485"/>
      <c r="GN11" s="486"/>
      <c r="GO11" s="474">
        <v>45051</v>
      </c>
      <c r="GP11" s="475"/>
      <c r="GQ11" s="475"/>
      <c r="GR11" s="476"/>
      <c r="GS11" s="435">
        <v>45051</v>
      </c>
      <c r="GT11" s="474">
        <v>45054</v>
      </c>
      <c r="GU11" s="475"/>
      <c r="GV11" s="475"/>
      <c r="GW11" s="476"/>
      <c r="GX11" s="435">
        <v>45054</v>
      </c>
      <c r="GY11" s="474">
        <v>45055</v>
      </c>
      <c r="GZ11" s="475"/>
      <c r="HA11" s="475"/>
      <c r="HB11" s="476"/>
      <c r="HC11" s="435">
        <v>45055</v>
      </c>
      <c r="HD11" s="474">
        <v>45056</v>
      </c>
      <c r="HE11" s="475"/>
      <c r="HF11" s="475"/>
      <c r="HG11" s="476"/>
      <c r="HH11" s="435">
        <v>45056</v>
      </c>
      <c r="HI11" s="478"/>
      <c r="HJ11" s="463"/>
      <c r="HK11" s="485" t="s">
        <v>3</v>
      </c>
      <c r="HL11" s="485"/>
      <c r="HM11" s="485"/>
      <c r="HN11" s="485"/>
      <c r="HO11" s="486"/>
      <c r="HP11" s="474">
        <v>45057</v>
      </c>
      <c r="HQ11" s="475"/>
      <c r="HR11" s="475"/>
      <c r="HS11" s="476"/>
      <c r="HT11" s="435">
        <v>45057</v>
      </c>
      <c r="HU11" s="474">
        <v>45058</v>
      </c>
      <c r="HV11" s="475"/>
      <c r="HW11" s="475"/>
      <c r="HX11" s="476"/>
      <c r="HY11" s="435">
        <v>45058</v>
      </c>
      <c r="HZ11" s="474">
        <v>45060</v>
      </c>
      <c r="IA11" s="475"/>
      <c r="IB11" s="475"/>
      <c r="IC11" s="476"/>
      <c r="ID11" s="435">
        <v>45060</v>
      </c>
      <c r="IE11" s="474">
        <v>45061</v>
      </c>
      <c r="IF11" s="475"/>
      <c r="IG11" s="475"/>
      <c r="IH11" s="476"/>
      <c r="II11" s="435">
        <v>45061</v>
      </c>
      <c r="IJ11" s="478"/>
      <c r="IK11" s="463"/>
      <c r="IL11" s="485" t="s">
        <v>3</v>
      </c>
      <c r="IM11" s="485"/>
      <c r="IN11" s="485"/>
      <c r="IO11" s="485"/>
      <c r="IP11" s="486"/>
      <c r="IQ11" s="474">
        <v>45062</v>
      </c>
      <c r="IR11" s="475"/>
      <c r="IS11" s="475"/>
      <c r="IT11" s="476"/>
      <c r="IU11" s="435">
        <v>45062</v>
      </c>
      <c r="IV11" s="474">
        <v>45063</v>
      </c>
      <c r="IW11" s="475"/>
      <c r="IX11" s="475"/>
      <c r="IY11" s="476"/>
      <c r="IZ11" s="435">
        <v>45063</v>
      </c>
      <c r="JA11" s="474">
        <v>45065</v>
      </c>
      <c r="JB11" s="475"/>
      <c r="JC11" s="475"/>
      <c r="JD11" s="476"/>
      <c r="JE11" s="516" t="s">
        <v>803</v>
      </c>
      <c r="JF11" s="474">
        <v>45066</v>
      </c>
      <c r="JG11" s="475"/>
      <c r="JH11" s="475"/>
      <c r="JI11" s="476"/>
      <c r="JJ11" s="435">
        <v>45066</v>
      </c>
      <c r="JK11" s="478"/>
      <c r="JL11" s="463"/>
      <c r="JM11" s="485" t="s">
        <v>3</v>
      </c>
      <c r="JN11" s="485"/>
      <c r="JO11" s="485"/>
      <c r="JP11" s="485"/>
      <c r="JQ11" s="486"/>
      <c r="JR11" s="474">
        <v>45067</v>
      </c>
      <c r="JS11" s="475"/>
      <c r="JT11" s="475"/>
      <c r="JU11" s="476"/>
      <c r="JV11" s="435">
        <v>45067</v>
      </c>
      <c r="JW11" s="474">
        <v>45068</v>
      </c>
      <c r="JX11" s="475"/>
      <c r="JY11" s="475"/>
      <c r="JZ11" s="476"/>
      <c r="KA11" s="435">
        <v>45068</v>
      </c>
      <c r="KB11" s="474">
        <v>45069</v>
      </c>
      <c r="KC11" s="475"/>
      <c r="KD11" s="475"/>
      <c r="KE11" s="476"/>
      <c r="KF11" s="435">
        <v>45069</v>
      </c>
      <c r="KG11" s="474">
        <v>45070</v>
      </c>
      <c r="KH11" s="475"/>
      <c r="KI11" s="475"/>
      <c r="KJ11" s="476"/>
      <c r="KK11" s="435">
        <v>45070</v>
      </c>
      <c r="KL11" s="478"/>
      <c r="KM11" s="463"/>
      <c r="KN11" s="485" t="s">
        <v>3</v>
      </c>
      <c r="KO11" s="485"/>
      <c r="KP11" s="485"/>
      <c r="KQ11" s="485"/>
      <c r="KR11" s="486"/>
      <c r="KS11" s="474">
        <v>45071</v>
      </c>
      <c r="KT11" s="475"/>
      <c r="KU11" s="475"/>
      <c r="KV11" s="476"/>
      <c r="KW11" s="435">
        <v>45071</v>
      </c>
      <c r="KX11" s="474">
        <v>45072</v>
      </c>
      <c r="KY11" s="475"/>
      <c r="KZ11" s="475"/>
      <c r="LA11" s="476"/>
      <c r="LB11" s="435">
        <v>45072</v>
      </c>
      <c r="LC11" s="474">
        <v>45073</v>
      </c>
      <c r="LD11" s="475"/>
      <c r="LE11" s="475"/>
      <c r="LF11" s="476"/>
      <c r="LG11" s="435">
        <v>45073</v>
      </c>
      <c r="LH11" s="474">
        <v>45074</v>
      </c>
      <c r="LI11" s="475"/>
      <c r="LJ11" s="475"/>
      <c r="LK11" s="476"/>
      <c r="LL11" s="435">
        <v>45074</v>
      </c>
      <c r="LM11" s="478"/>
      <c r="LN11" s="463"/>
      <c r="LO11" s="485" t="s">
        <v>3</v>
      </c>
      <c r="LP11" s="485"/>
      <c r="LQ11" s="485"/>
      <c r="LR11" s="485"/>
      <c r="LS11" s="486"/>
      <c r="LT11" s="474">
        <v>45075</v>
      </c>
      <c r="LU11" s="475"/>
      <c r="LV11" s="475"/>
      <c r="LW11" s="476"/>
      <c r="LX11" s="516" t="s">
        <v>803</v>
      </c>
      <c r="LY11" s="474">
        <v>45077</v>
      </c>
      <c r="LZ11" s="475"/>
      <c r="MA11" s="475"/>
      <c r="MB11" s="476"/>
      <c r="MC11" s="435">
        <v>45077</v>
      </c>
      <c r="MD11" s="474">
        <v>45078</v>
      </c>
      <c r="ME11" s="475"/>
      <c r="MF11" s="475"/>
      <c r="MG11" s="476"/>
      <c r="MH11" s="516" t="s">
        <v>803</v>
      </c>
      <c r="MI11" s="474">
        <v>45080</v>
      </c>
      <c r="MJ11" s="475"/>
      <c r="MK11" s="475"/>
      <c r="ML11" s="476"/>
      <c r="MM11" s="435">
        <v>45080</v>
      </c>
      <c r="MN11" s="478"/>
      <c r="MO11" s="463"/>
      <c r="MP11" s="485" t="s">
        <v>3</v>
      </c>
      <c r="MQ11" s="485"/>
      <c r="MR11" s="485"/>
      <c r="MS11" s="485"/>
      <c r="MT11" s="486"/>
      <c r="MU11" s="474">
        <v>45081</v>
      </c>
      <c r="MV11" s="475"/>
      <c r="MW11" s="475"/>
      <c r="MX11" s="476"/>
      <c r="MY11" s="435">
        <v>45081</v>
      </c>
      <c r="MZ11" s="474">
        <v>45082</v>
      </c>
      <c r="NA11" s="475"/>
      <c r="NB11" s="475"/>
      <c r="NC11" s="476"/>
      <c r="ND11" s="516" t="s">
        <v>803</v>
      </c>
      <c r="NE11" s="474">
        <v>45084</v>
      </c>
      <c r="NF11" s="475"/>
      <c r="NG11" s="475"/>
      <c r="NH11" s="476"/>
      <c r="NI11" s="435">
        <v>45084</v>
      </c>
      <c r="NJ11" s="474">
        <v>45086</v>
      </c>
      <c r="NK11" s="475"/>
      <c r="NL11" s="475"/>
      <c r="NM11" s="476"/>
      <c r="NN11" s="435">
        <v>45086</v>
      </c>
      <c r="NO11" s="478"/>
      <c r="NP11" s="463"/>
      <c r="NQ11" s="485" t="s">
        <v>3</v>
      </c>
      <c r="NR11" s="485"/>
      <c r="NS11" s="485"/>
      <c r="NT11" s="485"/>
      <c r="NU11" s="486"/>
      <c r="NV11" s="474">
        <v>45087</v>
      </c>
      <c r="NW11" s="475"/>
      <c r="NX11" s="475"/>
      <c r="NY11" s="476"/>
      <c r="NZ11" s="516" t="s">
        <v>803</v>
      </c>
      <c r="OA11" s="474">
        <v>45088</v>
      </c>
      <c r="OB11" s="475"/>
      <c r="OC11" s="475"/>
      <c r="OD11" s="476"/>
      <c r="OE11" s="435">
        <v>45088</v>
      </c>
      <c r="OF11" s="474">
        <v>45089</v>
      </c>
      <c r="OG11" s="475"/>
      <c r="OH11" s="475"/>
      <c r="OI11" s="476"/>
      <c r="OJ11" s="516" t="s">
        <v>803</v>
      </c>
      <c r="OK11" s="474">
        <v>45090</v>
      </c>
      <c r="OL11" s="475"/>
      <c r="OM11" s="475"/>
      <c r="ON11" s="476"/>
      <c r="OO11" s="516" t="s">
        <v>803</v>
      </c>
      <c r="OP11" s="478"/>
      <c r="OQ11" s="463"/>
      <c r="OR11" s="485" t="s">
        <v>3</v>
      </c>
      <c r="OS11" s="485"/>
      <c r="OT11" s="485"/>
      <c r="OU11" s="485"/>
      <c r="OV11" s="486"/>
      <c r="OW11" s="474">
        <v>45091</v>
      </c>
      <c r="OX11" s="475"/>
      <c r="OY11" s="475"/>
      <c r="OZ11" s="476"/>
      <c r="PA11" s="516" t="s">
        <v>803</v>
      </c>
      <c r="PB11" s="474">
        <v>45092</v>
      </c>
      <c r="PC11" s="475"/>
      <c r="PD11" s="475"/>
      <c r="PE11" s="476"/>
      <c r="PF11" s="435">
        <v>45092</v>
      </c>
      <c r="PG11" s="474">
        <v>45093</v>
      </c>
      <c r="PH11" s="475"/>
      <c r="PI11" s="475"/>
      <c r="PJ11" s="476"/>
      <c r="PK11" s="435">
        <v>45093</v>
      </c>
      <c r="PL11" s="474">
        <v>45094</v>
      </c>
      <c r="PM11" s="475"/>
      <c r="PN11" s="475"/>
      <c r="PO11" s="476"/>
      <c r="PP11" s="435">
        <v>45094</v>
      </c>
      <c r="PQ11" s="478"/>
      <c r="PR11" s="463"/>
      <c r="PS11" s="485" t="s">
        <v>3</v>
      </c>
      <c r="PT11" s="485"/>
      <c r="PU11" s="485"/>
      <c r="PV11" s="485"/>
      <c r="PW11" s="486"/>
      <c r="PX11" s="474">
        <v>45095</v>
      </c>
      <c r="PY11" s="475"/>
      <c r="PZ11" s="475"/>
      <c r="QA11" s="476"/>
      <c r="QB11" s="516" t="s">
        <v>803</v>
      </c>
      <c r="QC11" s="474">
        <v>45096</v>
      </c>
      <c r="QD11" s="475"/>
      <c r="QE11" s="475"/>
      <c r="QF11" s="476"/>
      <c r="QG11" s="435">
        <v>45096</v>
      </c>
      <c r="QH11" s="474">
        <v>45097</v>
      </c>
      <c r="QI11" s="475"/>
      <c r="QJ11" s="475"/>
      <c r="QK11" s="476"/>
      <c r="QL11" s="516" t="s">
        <v>803</v>
      </c>
      <c r="QM11" s="474">
        <v>45099</v>
      </c>
      <c r="QN11" s="475"/>
      <c r="QO11" s="475"/>
      <c r="QP11" s="476"/>
      <c r="QQ11" s="516" t="s">
        <v>803</v>
      </c>
      <c r="QR11" s="478"/>
      <c r="QS11" s="463"/>
      <c r="QT11" s="485" t="s">
        <v>3</v>
      </c>
      <c r="QU11" s="485"/>
      <c r="QV11" s="485"/>
      <c r="QW11" s="485"/>
      <c r="QX11" s="486"/>
      <c r="QY11" s="474">
        <v>45100</v>
      </c>
      <c r="QZ11" s="475"/>
      <c r="RA11" s="475"/>
      <c r="RB11" s="476"/>
      <c r="RC11" s="516" t="s">
        <v>803</v>
      </c>
      <c r="RD11" s="474">
        <v>45101</v>
      </c>
      <c r="RE11" s="475"/>
      <c r="RF11" s="475"/>
      <c r="RG11" s="476"/>
      <c r="RH11" s="516" t="s">
        <v>803</v>
      </c>
      <c r="RI11" s="474">
        <v>45102</v>
      </c>
      <c r="RJ11" s="475"/>
      <c r="RK11" s="475"/>
      <c r="RL11" s="476"/>
      <c r="RM11" s="516" t="s">
        <v>803</v>
      </c>
      <c r="RN11" s="474">
        <v>45103</v>
      </c>
      <c r="RO11" s="475"/>
      <c r="RP11" s="475"/>
      <c r="RQ11" s="476"/>
      <c r="RR11" s="516" t="s">
        <v>803</v>
      </c>
      <c r="RS11" s="478"/>
      <c r="RT11" s="463"/>
      <c r="RU11" s="485" t="s">
        <v>3</v>
      </c>
      <c r="RV11" s="485"/>
      <c r="RW11" s="485"/>
      <c r="RX11" s="485"/>
      <c r="RY11" s="486"/>
      <c r="RZ11" s="474">
        <v>45104</v>
      </c>
      <c r="SA11" s="475"/>
      <c r="SB11" s="475"/>
      <c r="SC11" s="476"/>
      <c r="SD11" s="516" t="s">
        <v>803</v>
      </c>
      <c r="SE11" s="474">
        <v>45109</v>
      </c>
      <c r="SF11" s="475"/>
      <c r="SG11" s="475"/>
      <c r="SH11" s="476"/>
      <c r="SI11" s="516" t="s">
        <v>803</v>
      </c>
      <c r="SJ11" s="474">
        <v>45115</v>
      </c>
      <c r="SK11" s="475"/>
      <c r="SL11" s="475"/>
      <c r="SM11" s="476"/>
      <c r="SN11" s="516" t="s">
        <v>803</v>
      </c>
      <c r="SO11" s="474">
        <v>45116</v>
      </c>
      <c r="SP11" s="475"/>
      <c r="SQ11" s="475"/>
      <c r="SR11" s="476"/>
      <c r="SS11" s="516" t="s">
        <v>803</v>
      </c>
      <c r="ST11" s="478"/>
      <c r="SU11" s="463"/>
      <c r="SV11" s="485" t="s">
        <v>3</v>
      </c>
      <c r="SW11" s="485"/>
      <c r="SX11" s="485"/>
      <c r="SY11" s="485"/>
      <c r="SZ11" s="486"/>
      <c r="TA11" s="474">
        <v>45122</v>
      </c>
      <c r="TB11" s="475"/>
      <c r="TC11" s="475"/>
      <c r="TD11" s="476"/>
      <c r="TE11" s="516" t="s">
        <v>803</v>
      </c>
      <c r="TF11" s="474">
        <v>45123</v>
      </c>
      <c r="TG11" s="475"/>
      <c r="TH11" s="475"/>
      <c r="TI11" s="476"/>
      <c r="TJ11" s="516" t="s">
        <v>803</v>
      </c>
      <c r="TK11" s="474">
        <v>45130</v>
      </c>
      <c r="TL11" s="475"/>
      <c r="TM11" s="475"/>
      <c r="TN11" s="476"/>
      <c r="TO11" s="516" t="s">
        <v>803</v>
      </c>
      <c r="TP11" s="474">
        <v>45137</v>
      </c>
      <c r="TQ11" s="475"/>
      <c r="TR11" s="475"/>
      <c r="TS11" s="476"/>
      <c r="TT11" s="516" t="s">
        <v>803</v>
      </c>
      <c r="TU11" s="478"/>
      <c r="TV11" s="463"/>
      <c r="TW11" s="485" t="s">
        <v>3</v>
      </c>
      <c r="TX11" s="485"/>
      <c r="TY11" s="485"/>
      <c r="TZ11" s="485"/>
      <c r="UA11" s="486"/>
      <c r="UB11" s="474">
        <v>45144</v>
      </c>
      <c r="UC11" s="475"/>
      <c r="UD11" s="475"/>
      <c r="UE11" s="476"/>
      <c r="UF11" s="516" t="s">
        <v>803</v>
      </c>
      <c r="UG11" s="474">
        <v>45149</v>
      </c>
      <c r="UH11" s="475"/>
      <c r="UI11" s="475"/>
      <c r="UJ11" s="476"/>
      <c r="UK11" s="516" t="s">
        <v>803</v>
      </c>
      <c r="UL11" s="474">
        <v>45150</v>
      </c>
      <c r="UM11" s="475"/>
      <c r="UN11" s="475"/>
      <c r="UO11" s="476"/>
      <c r="UP11" s="516" t="s">
        <v>803</v>
      </c>
      <c r="UQ11" s="474">
        <v>45151</v>
      </c>
      <c r="UR11" s="475"/>
      <c r="US11" s="475"/>
      <c r="UT11" s="476"/>
      <c r="UU11" s="435">
        <v>45151</v>
      </c>
      <c r="UV11" s="478"/>
      <c r="UW11" s="463"/>
      <c r="UX11" s="485" t="s">
        <v>3</v>
      </c>
      <c r="UY11" s="485"/>
      <c r="UZ11" s="485"/>
      <c r="VA11" s="485"/>
      <c r="VB11" s="486"/>
      <c r="VC11" s="474">
        <v>45152</v>
      </c>
      <c r="VD11" s="475"/>
      <c r="VE11" s="475"/>
      <c r="VF11" s="476"/>
      <c r="VG11" s="516" t="s">
        <v>803</v>
      </c>
      <c r="VH11" s="474">
        <v>45153</v>
      </c>
      <c r="VI11" s="475"/>
      <c r="VJ11" s="475"/>
      <c r="VK11" s="476"/>
      <c r="VL11" s="516" t="s">
        <v>803</v>
      </c>
      <c r="VM11" s="474">
        <v>45154</v>
      </c>
      <c r="VN11" s="475"/>
      <c r="VO11" s="475"/>
      <c r="VP11" s="476"/>
      <c r="VQ11" s="516" t="s">
        <v>803</v>
      </c>
      <c r="VR11" s="474">
        <v>45157</v>
      </c>
      <c r="VS11" s="475"/>
      <c r="VT11" s="475"/>
      <c r="VU11" s="476"/>
      <c r="VV11" s="516" t="s">
        <v>803</v>
      </c>
      <c r="VW11" s="478"/>
      <c r="VX11" s="463"/>
      <c r="VY11" s="485" t="s">
        <v>3</v>
      </c>
      <c r="VZ11" s="485"/>
      <c r="WA11" s="485"/>
      <c r="WB11" s="485"/>
      <c r="WC11" s="486"/>
      <c r="WD11" s="474">
        <v>45158</v>
      </c>
      <c r="WE11" s="475"/>
      <c r="WF11" s="475"/>
      <c r="WG11" s="476"/>
      <c r="WH11" s="516" t="s">
        <v>803</v>
      </c>
      <c r="WI11" s="474">
        <v>45164</v>
      </c>
      <c r="WJ11" s="475"/>
      <c r="WK11" s="475"/>
      <c r="WL11" s="476"/>
      <c r="WM11" s="516" t="s">
        <v>803</v>
      </c>
      <c r="WN11" s="474">
        <v>45165</v>
      </c>
      <c r="WO11" s="475"/>
      <c r="WP11" s="475"/>
      <c r="WQ11" s="476"/>
      <c r="WR11" s="516" t="s">
        <v>803</v>
      </c>
      <c r="WS11" s="474">
        <v>45172</v>
      </c>
      <c r="WT11" s="475"/>
      <c r="WU11" s="475"/>
      <c r="WV11" s="476"/>
      <c r="WW11" s="435">
        <v>45172</v>
      </c>
      <c r="WX11" s="478"/>
      <c r="WY11" s="463"/>
      <c r="WZ11" s="485" t="s">
        <v>3</v>
      </c>
      <c r="XA11" s="485"/>
      <c r="XB11" s="485"/>
      <c r="XC11" s="485"/>
      <c r="XD11" s="486"/>
      <c r="XE11" s="474">
        <v>45176</v>
      </c>
      <c r="XF11" s="475"/>
      <c r="XG11" s="475"/>
      <c r="XH11" s="476"/>
      <c r="XI11" s="516" t="s">
        <v>803</v>
      </c>
      <c r="XJ11" s="474">
        <v>45177</v>
      </c>
      <c r="XK11" s="475"/>
      <c r="XL11" s="475"/>
      <c r="XM11" s="476"/>
      <c r="XN11" s="516" t="s">
        <v>803</v>
      </c>
      <c r="XO11" s="474">
        <v>45178</v>
      </c>
      <c r="XP11" s="475"/>
      <c r="XQ11" s="475"/>
      <c r="XR11" s="476"/>
      <c r="XS11" s="435">
        <v>45178</v>
      </c>
      <c r="XT11" s="474">
        <v>45179</v>
      </c>
      <c r="XU11" s="475"/>
      <c r="XV11" s="475"/>
      <c r="XW11" s="476"/>
      <c r="XX11" s="435">
        <v>45179</v>
      </c>
      <c r="XY11" s="478"/>
      <c r="XZ11" s="463"/>
      <c r="YA11" s="485" t="s">
        <v>3</v>
      </c>
      <c r="YB11" s="485"/>
      <c r="YC11" s="485"/>
      <c r="YD11" s="485"/>
      <c r="YE11" s="486"/>
      <c r="YF11" s="474">
        <v>45185</v>
      </c>
      <c r="YG11" s="475"/>
      <c r="YH11" s="475"/>
      <c r="YI11" s="476"/>
      <c r="YJ11" s="516" t="s">
        <v>803</v>
      </c>
      <c r="YK11" s="474">
        <v>45186</v>
      </c>
      <c r="YL11" s="475"/>
      <c r="YM11" s="475"/>
      <c r="YN11" s="476"/>
      <c r="YO11" s="516" t="s">
        <v>803</v>
      </c>
      <c r="YP11" s="474">
        <v>45192</v>
      </c>
      <c r="YQ11" s="475"/>
      <c r="YR11" s="475"/>
      <c r="YS11" s="476"/>
      <c r="YT11" s="435">
        <v>45192</v>
      </c>
      <c r="YU11" s="474">
        <v>45193</v>
      </c>
      <c r="YV11" s="475"/>
      <c r="YW11" s="475"/>
      <c r="YX11" s="476"/>
      <c r="YY11" s="435">
        <v>45193</v>
      </c>
      <c r="YZ11" s="478"/>
      <c r="ZA11" s="463"/>
      <c r="ZB11" s="485" t="s">
        <v>3</v>
      </c>
      <c r="ZC11" s="485"/>
      <c r="ZD11" s="485"/>
      <c r="ZE11" s="485"/>
      <c r="ZF11" s="486"/>
      <c r="ZG11" s="474">
        <v>45196</v>
      </c>
      <c r="ZH11" s="475"/>
      <c r="ZI11" s="475"/>
      <c r="ZJ11" s="476"/>
      <c r="ZK11" s="489" t="s">
        <v>803</v>
      </c>
      <c r="ZL11" s="474">
        <v>45198</v>
      </c>
      <c r="ZM11" s="475"/>
      <c r="ZN11" s="475"/>
      <c r="ZO11" s="476"/>
      <c r="ZP11" s="489" t="s">
        <v>803</v>
      </c>
      <c r="ZQ11" s="474">
        <v>45199</v>
      </c>
      <c r="ZR11" s="475"/>
      <c r="ZS11" s="475"/>
      <c r="ZT11" s="476"/>
      <c r="ZU11" s="435">
        <v>45199</v>
      </c>
      <c r="ZV11" s="474">
        <v>45200</v>
      </c>
      <c r="ZW11" s="475"/>
      <c r="ZX11" s="475"/>
      <c r="ZY11" s="476"/>
      <c r="ZZ11" s="435">
        <v>45200</v>
      </c>
      <c r="AAA11" s="478"/>
      <c r="AAB11" s="463"/>
      <c r="AAC11" s="485" t="s">
        <v>3</v>
      </c>
      <c r="AAD11" s="485"/>
      <c r="AAE11" s="485"/>
      <c r="AAF11" s="485"/>
      <c r="AAG11" s="486"/>
      <c r="AAH11" s="474">
        <v>45201</v>
      </c>
      <c r="AAI11" s="475"/>
      <c r="AAJ11" s="475"/>
      <c r="AAK11" s="476"/>
      <c r="AAL11" s="435">
        <v>45201</v>
      </c>
      <c r="AAM11" s="474">
        <v>45202</v>
      </c>
      <c r="AAN11" s="475"/>
      <c r="AAO11" s="475"/>
      <c r="AAP11" s="476"/>
      <c r="AAQ11" s="489" t="s">
        <v>688</v>
      </c>
      <c r="AAR11" s="474">
        <v>45203</v>
      </c>
      <c r="AAS11" s="475"/>
      <c r="AAT11" s="475"/>
      <c r="AAU11" s="476"/>
      <c r="AAV11" s="489" t="s">
        <v>688</v>
      </c>
      <c r="AAW11" s="474">
        <v>45204</v>
      </c>
      <c r="AAX11" s="475"/>
      <c r="AAY11" s="475"/>
      <c r="AAZ11" s="476"/>
      <c r="ABA11" s="489" t="s">
        <v>688</v>
      </c>
      <c r="ABB11" s="478"/>
      <c r="ABC11" s="463"/>
      <c r="ABD11" s="485" t="s">
        <v>3</v>
      </c>
      <c r="ABE11" s="485"/>
      <c r="ABF11" s="485"/>
      <c r="ABG11" s="485"/>
      <c r="ABH11" s="486"/>
      <c r="ABI11" s="474">
        <v>45205</v>
      </c>
      <c r="ABJ11" s="475"/>
      <c r="ABK11" s="475"/>
      <c r="ABL11" s="476"/>
      <c r="ABM11" s="435">
        <v>45205</v>
      </c>
      <c r="ABN11" s="474">
        <v>45206</v>
      </c>
      <c r="ABO11" s="475"/>
      <c r="ABP11" s="475"/>
      <c r="ABQ11" s="476"/>
      <c r="ABR11" s="435">
        <v>45206</v>
      </c>
      <c r="ABS11" s="474">
        <v>45208</v>
      </c>
      <c r="ABT11" s="475"/>
      <c r="ABU11" s="475"/>
      <c r="ABV11" s="476"/>
      <c r="ABW11" s="489" t="s">
        <v>688</v>
      </c>
      <c r="ABX11" s="474">
        <v>45209</v>
      </c>
      <c r="ABY11" s="475"/>
      <c r="ABZ11" s="475"/>
      <c r="ACA11" s="476"/>
      <c r="ACB11" s="435">
        <v>45209</v>
      </c>
      <c r="ACC11" s="478"/>
      <c r="ACD11" s="463"/>
      <c r="ACE11" s="485" t="s">
        <v>3</v>
      </c>
      <c r="ACF11" s="485"/>
      <c r="ACG11" s="485"/>
      <c r="ACH11" s="485"/>
      <c r="ACI11" s="486"/>
      <c r="ACJ11" s="474">
        <v>45210</v>
      </c>
      <c r="ACK11" s="475"/>
      <c r="ACL11" s="475"/>
      <c r="ACM11" s="476"/>
      <c r="ACN11" s="435">
        <v>45210</v>
      </c>
      <c r="ACO11" s="474">
        <v>45211</v>
      </c>
      <c r="ACP11" s="475"/>
      <c r="ACQ11" s="475"/>
      <c r="ACR11" s="476"/>
      <c r="ACS11" s="435">
        <v>45211</v>
      </c>
      <c r="ACT11" s="474">
        <v>45212</v>
      </c>
      <c r="ACU11" s="475"/>
      <c r="ACV11" s="475"/>
      <c r="ACW11" s="476"/>
      <c r="ACX11" s="435">
        <v>45212</v>
      </c>
      <c r="ACY11" s="474">
        <v>45213</v>
      </c>
      <c r="ACZ11" s="475"/>
      <c r="ADA11" s="475"/>
      <c r="ADB11" s="476"/>
      <c r="ADC11" s="489" t="s">
        <v>688</v>
      </c>
      <c r="ADD11" s="478"/>
      <c r="ADE11" s="463"/>
      <c r="ADF11" s="485" t="s">
        <v>3</v>
      </c>
      <c r="ADG11" s="485"/>
      <c r="ADH11" s="485"/>
      <c r="ADI11" s="485"/>
      <c r="ADJ11" s="486"/>
      <c r="ADK11" s="474">
        <v>45214</v>
      </c>
      <c r="ADL11" s="475"/>
      <c r="ADM11" s="475"/>
      <c r="ADN11" s="476"/>
      <c r="ADO11" s="435">
        <v>45214</v>
      </c>
      <c r="ADP11" s="474">
        <v>45215</v>
      </c>
      <c r="ADQ11" s="475"/>
      <c r="ADR11" s="475"/>
      <c r="ADS11" s="476"/>
      <c r="ADT11" s="435">
        <v>45215</v>
      </c>
      <c r="ADU11" s="474">
        <v>45216</v>
      </c>
      <c r="ADV11" s="475"/>
      <c r="ADW11" s="475"/>
      <c r="ADX11" s="476"/>
      <c r="ADY11" s="435">
        <v>45216</v>
      </c>
      <c r="ADZ11" s="474">
        <v>45217</v>
      </c>
      <c r="AEA11" s="475"/>
      <c r="AEB11" s="475"/>
      <c r="AEC11" s="476"/>
      <c r="AED11" s="435">
        <v>45217</v>
      </c>
      <c r="AEE11" s="478"/>
      <c r="AEF11" s="463"/>
      <c r="AEG11" s="485" t="s">
        <v>3</v>
      </c>
      <c r="AEH11" s="485"/>
      <c r="AEI11" s="485"/>
      <c r="AEJ11" s="485"/>
      <c r="AEK11" s="486"/>
      <c r="AEL11" s="474">
        <v>45218</v>
      </c>
      <c r="AEM11" s="475"/>
      <c r="AEN11" s="475"/>
      <c r="AEO11" s="476"/>
      <c r="AEP11" s="435">
        <v>45218</v>
      </c>
      <c r="AEQ11" s="474">
        <v>45220</v>
      </c>
      <c r="AER11" s="475"/>
      <c r="AES11" s="475"/>
      <c r="AET11" s="476"/>
      <c r="AEU11" s="435">
        <v>45220</v>
      </c>
      <c r="AEV11" s="474">
        <v>45221</v>
      </c>
      <c r="AEW11" s="475"/>
      <c r="AEX11" s="475"/>
      <c r="AEY11" s="476"/>
      <c r="AEZ11" s="435">
        <v>45221</v>
      </c>
      <c r="AFA11" s="474">
        <v>45222</v>
      </c>
      <c r="AFB11" s="475"/>
      <c r="AFC11" s="475"/>
      <c r="AFD11" s="476"/>
      <c r="AFE11" s="435">
        <v>45222</v>
      </c>
      <c r="AFF11" s="478"/>
      <c r="AFG11" s="463"/>
      <c r="AFH11" s="485" t="s">
        <v>3</v>
      </c>
      <c r="AFI11" s="485"/>
      <c r="AFJ11" s="485"/>
      <c r="AFK11" s="485"/>
      <c r="AFL11" s="486"/>
      <c r="AFM11" s="474">
        <v>45223</v>
      </c>
      <c r="AFN11" s="475"/>
      <c r="AFO11" s="475"/>
      <c r="AFP11" s="476"/>
      <c r="AFQ11" s="435">
        <v>45223</v>
      </c>
      <c r="AFR11" s="474">
        <v>45224</v>
      </c>
      <c r="AFS11" s="475"/>
      <c r="AFT11" s="475"/>
      <c r="AFU11" s="476"/>
      <c r="AFV11" s="435">
        <v>45224</v>
      </c>
      <c r="AFW11" s="474">
        <v>45225</v>
      </c>
      <c r="AFX11" s="475"/>
      <c r="AFY11" s="475"/>
      <c r="AFZ11" s="476"/>
      <c r="AGA11" s="435">
        <v>45225</v>
      </c>
      <c r="AGB11" s="474">
        <v>45226</v>
      </c>
      <c r="AGC11" s="475"/>
      <c r="AGD11" s="475"/>
      <c r="AGE11" s="476"/>
      <c r="AGF11" s="435">
        <v>45226</v>
      </c>
      <c r="AGG11" s="478"/>
      <c r="AGH11" s="463"/>
      <c r="AGI11" s="485" t="s">
        <v>3</v>
      </c>
      <c r="AGJ11" s="485"/>
      <c r="AGK11" s="485"/>
      <c r="AGL11" s="485"/>
      <c r="AGM11" s="486"/>
      <c r="AGN11" s="474">
        <v>45227</v>
      </c>
      <c r="AGO11" s="475"/>
      <c r="AGP11" s="475"/>
      <c r="AGQ11" s="476"/>
      <c r="AGR11" s="435">
        <v>45227</v>
      </c>
      <c r="AGS11" s="474">
        <v>45228</v>
      </c>
      <c r="AGT11" s="475"/>
      <c r="AGU11" s="475"/>
      <c r="AGV11" s="476"/>
      <c r="AGW11" s="435">
        <v>45228</v>
      </c>
      <c r="AGX11" s="474">
        <v>45229</v>
      </c>
      <c r="AGY11" s="475"/>
      <c r="AGZ11" s="475"/>
      <c r="AHA11" s="476"/>
      <c r="AHB11" s="435">
        <v>45229</v>
      </c>
      <c r="AHC11" s="474">
        <v>45230</v>
      </c>
      <c r="AHD11" s="475"/>
      <c r="AHE11" s="475"/>
      <c r="AHF11" s="476"/>
      <c r="AHG11" s="435">
        <v>45230</v>
      </c>
      <c r="AHH11" s="478"/>
      <c r="AHI11" s="463"/>
      <c r="AHJ11" s="485" t="s">
        <v>3</v>
      </c>
      <c r="AHK11" s="485"/>
      <c r="AHL11" s="485"/>
      <c r="AHM11" s="485"/>
      <c r="AHN11" s="486"/>
      <c r="AHO11" s="474">
        <v>45231</v>
      </c>
      <c r="AHP11" s="475"/>
      <c r="AHQ11" s="475"/>
      <c r="AHR11" s="476"/>
      <c r="AHS11" s="435">
        <v>45231</v>
      </c>
      <c r="AHT11" s="474">
        <v>45232</v>
      </c>
      <c r="AHU11" s="475"/>
      <c r="AHV11" s="475"/>
      <c r="AHW11" s="476"/>
      <c r="AHX11" s="435">
        <v>45232</v>
      </c>
      <c r="AHY11" s="474">
        <v>45233</v>
      </c>
      <c r="AHZ11" s="475"/>
      <c r="AIA11" s="475"/>
      <c r="AIB11" s="476"/>
      <c r="AIC11" s="435">
        <v>45233</v>
      </c>
      <c r="AID11" s="474">
        <v>45234</v>
      </c>
      <c r="AIE11" s="475"/>
      <c r="AIF11" s="475"/>
      <c r="AIG11" s="476"/>
      <c r="AIH11" s="435">
        <v>45234</v>
      </c>
      <c r="AII11" s="478"/>
      <c r="AIJ11" s="463"/>
      <c r="AIK11" s="485" t="s">
        <v>3</v>
      </c>
      <c r="AIL11" s="485"/>
      <c r="AIM11" s="485"/>
      <c r="AIN11" s="485"/>
      <c r="AIO11" s="486"/>
      <c r="AIP11" s="474">
        <v>45235</v>
      </c>
      <c r="AIQ11" s="475"/>
      <c r="AIR11" s="475"/>
      <c r="AIS11" s="476"/>
      <c r="AIT11" s="435">
        <v>45235</v>
      </c>
      <c r="AIU11" s="474">
        <v>45237</v>
      </c>
      <c r="AIV11" s="475"/>
      <c r="AIW11" s="475"/>
      <c r="AIX11" s="476"/>
      <c r="AIY11" s="435">
        <v>45237</v>
      </c>
      <c r="AIZ11" s="474">
        <v>45238</v>
      </c>
      <c r="AJA11" s="475"/>
      <c r="AJB11" s="475"/>
      <c r="AJC11" s="476"/>
      <c r="AJD11" s="435">
        <v>45238</v>
      </c>
      <c r="AJE11" s="474">
        <v>45239</v>
      </c>
      <c r="AJF11" s="475"/>
      <c r="AJG11" s="475"/>
      <c r="AJH11" s="476"/>
      <c r="AJI11" s="489" t="s">
        <v>803</v>
      </c>
      <c r="AJJ11" s="478"/>
      <c r="AJK11" s="463"/>
      <c r="AJL11" s="485" t="s">
        <v>3</v>
      </c>
      <c r="AJM11" s="485"/>
      <c r="AJN11" s="485"/>
      <c r="AJO11" s="485"/>
      <c r="AJP11" s="486"/>
      <c r="AJQ11" s="474">
        <v>45241</v>
      </c>
      <c r="AJR11" s="475"/>
      <c r="AJS11" s="475"/>
      <c r="AJT11" s="476"/>
      <c r="AJU11" s="435">
        <v>45241</v>
      </c>
      <c r="AJV11" s="474">
        <v>45242</v>
      </c>
      <c r="AJW11" s="475"/>
      <c r="AJX11" s="475"/>
      <c r="AJY11" s="476"/>
      <c r="AJZ11" s="489" t="s">
        <v>688</v>
      </c>
      <c r="AKA11" s="474">
        <v>45243</v>
      </c>
      <c r="AKB11" s="475"/>
      <c r="AKC11" s="475"/>
      <c r="AKD11" s="476"/>
      <c r="AKE11" s="489" t="s">
        <v>688</v>
      </c>
      <c r="AKF11" s="474">
        <v>45244</v>
      </c>
      <c r="AKG11" s="475"/>
      <c r="AKH11" s="475"/>
      <c r="AKI11" s="476"/>
      <c r="AKJ11" s="489" t="s">
        <v>688</v>
      </c>
      <c r="AKK11" s="478"/>
      <c r="AKL11" s="463"/>
      <c r="AKM11" s="485" t="s">
        <v>3</v>
      </c>
      <c r="AKN11" s="485"/>
      <c r="AKO11" s="485"/>
      <c r="AKP11" s="485"/>
      <c r="AKQ11" s="486"/>
      <c r="AKR11" s="474">
        <v>45245</v>
      </c>
      <c r="AKS11" s="475"/>
      <c r="AKT11" s="475"/>
      <c r="AKU11" s="476"/>
      <c r="AKV11" s="489" t="s">
        <v>688</v>
      </c>
      <c r="AKW11" s="474">
        <v>45248</v>
      </c>
      <c r="AKX11" s="475"/>
      <c r="AKY11" s="475"/>
      <c r="AKZ11" s="476"/>
      <c r="ALA11" s="489" t="s">
        <v>688</v>
      </c>
      <c r="ALB11" s="474">
        <v>45249</v>
      </c>
      <c r="ALC11" s="475"/>
      <c r="ALD11" s="475"/>
      <c r="ALE11" s="476"/>
      <c r="ALF11" s="435">
        <v>45249</v>
      </c>
      <c r="ALG11" s="474">
        <v>45250</v>
      </c>
      <c r="ALH11" s="475"/>
      <c r="ALI11" s="475"/>
      <c r="ALJ11" s="476"/>
      <c r="ALK11" s="435">
        <v>45250</v>
      </c>
      <c r="ALL11" s="478"/>
      <c r="ALM11" s="463"/>
      <c r="ALN11" s="485" t="s">
        <v>3</v>
      </c>
      <c r="ALO11" s="485"/>
      <c r="ALP11" s="485"/>
      <c r="ALQ11" s="485"/>
      <c r="ALR11" s="486"/>
      <c r="ALS11" s="474">
        <v>45251</v>
      </c>
      <c r="ALT11" s="475"/>
      <c r="ALU11" s="475"/>
      <c r="ALV11" s="476"/>
      <c r="ALW11" s="435">
        <v>45251</v>
      </c>
      <c r="ALX11" s="474">
        <v>45252</v>
      </c>
      <c r="ALY11" s="475"/>
      <c r="ALZ11" s="475"/>
      <c r="AMA11" s="476"/>
      <c r="AMB11" s="435">
        <v>45252</v>
      </c>
      <c r="AMC11" s="474">
        <v>45253</v>
      </c>
      <c r="AMD11" s="475"/>
      <c r="AME11" s="475"/>
      <c r="AMF11" s="476"/>
      <c r="AMG11" s="435">
        <v>45253</v>
      </c>
      <c r="AMH11" s="474">
        <v>45254</v>
      </c>
      <c r="AMI11" s="475"/>
      <c r="AMJ11" s="475"/>
      <c r="AMK11" s="476"/>
      <c r="AML11" s="489" t="s">
        <v>688</v>
      </c>
      <c r="AMM11" s="478"/>
      <c r="AMN11" s="463"/>
      <c r="AMO11" s="485" t="s">
        <v>3</v>
      </c>
      <c r="AMP11" s="485"/>
      <c r="AMQ11" s="485"/>
      <c r="AMR11" s="485"/>
      <c r="AMS11" s="486"/>
      <c r="AMT11" s="474">
        <v>45255</v>
      </c>
      <c r="AMU11" s="475"/>
      <c r="AMV11" s="475"/>
      <c r="AMW11" s="476"/>
      <c r="AMX11" s="435">
        <v>45255</v>
      </c>
      <c r="AMY11" s="474">
        <v>45256</v>
      </c>
      <c r="AMZ11" s="475"/>
      <c r="ANA11" s="475"/>
      <c r="ANB11" s="476"/>
      <c r="ANC11" s="435">
        <v>45256</v>
      </c>
      <c r="AND11" s="474">
        <v>45257</v>
      </c>
      <c r="ANE11" s="475"/>
      <c r="ANF11" s="475"/>
      <c r="ANG11" s="476"/>
      <c r="ANH11" s="489" t="s">
        <v>688</v>
      </c>
      <c r="ANI11" s="474">
        <v>45258</v>
      </c>
      <c r="ANJ11" s="475"/>
      <c r="ANK11" s="475"/>
      <c r="ANL11" s="476"/>
      <c r="ANM11" s="489" t="s">
        <v>688</v>
      </c>
      <c r="ANN11" s="478"/>
      <c r="ANO11" s="463"/>
      <c r="ANP11" s="485" t="s">
        <v>3</v>
      </c>
      <c r="ANQ11" s="485"/>
      <c r="ANR11" s="485"/>
      <c r="ANS11" s="485"/>
      <c r="ANT11" s="486"/>
      <c r="ANU11" s="474">
        <v>45262</v>
      </c>
      <c r="ANV11" s="475"/>
      <c r="ANW11" s="475"/>
      <c r="ANX11" s="476"/>
      <c r="ANY11" s="435">
        <v>45262</v>
      </c>
      <c r="ANZ11" s="474">
        <v>45263</v>
      </c>
      <c r="AOA11" s="475"/>
      <c r="AOB11" s="475"/>
      <c r="AOC11" s="476"/>
      <c r="AOD11" s="489" t="s">
        <v>688</v>
      </c>
      <c r="AOE11" s="474">
        <v>45264</v>
      </c>
      <c r="AOF11" s="475"/>
      <c r="AOG11" s="475"/>
      <c r="AOH11" s="476"/>
      <c r="AOI11" s="474" t="s">
        <v>803</v>
      </c>
      <c r="AOJ11" s="476"/>
      <c r="AOK11" s="474">
        <v>45266</v>
      </c>
      <c r="AOL11" s="475"/>
      <c r="AOM11" s="475"/>
      <c r="AON11" s="476"/>
      <c r="AOO11" s="489" t="s">
        <v>688</v>
      </c>
      <c r="AOP11" s="478"/>
      <c r="AOQ11" s="463"/>
      <c r="AOR11" s="485" t="s">
        <v>3</v>
      </c>
      <c r="AOS11" s="485"/>
      <c r="AOT11" s="485"/>
      <c r="AOU11" s="485"/>
      <c r="AOV11" s="486"/>
      <c r="AOW11" s="474">
        <v>45267</v>
      </c>
      <c r="AOX11" s="475"/>
      <c r="AOY11" s="475"/>
      <c r="AOZ11" s="476"/>
      <c r="APA11" s="489" t="s">
        <v>754</v>
      </c>
      <c r="APB11" s="474">
        <v>45268</v>
      </c>
      <c r="APC11" s="475"/>
      <c r="APD11" s="475"/>
      <c r="APE11" s="476"/>
      <c r="APF11" s="489" t="s">
        <v>754</v>
      </c>
      <c r="APG11" s="474">
        <v>45269</v>
      </c>
      <c r="APH11" s="475"/>
      <c r="API11" s="475"/>
      <c r="APJ11" s="476"/>
      <c r="APK11" s="489" t="s">
        <v>688</v>
      </c>
      <c r="APL11" s="474">
        <v>45270</v>
      </c>
      <c r="APM11" s="475"/>
      <c r="APN11" s="475"/>
      <c r="APO11" s="476"/>
      <c r="APP11" s="435">
        <v>45270</v>
      </c>
      <c r="APQ11" s="478"/>
      <c r="APR11" s="463"/>
      <c r="APS11" s="485" t="s">
        <v>3</v>
      </c>
      <c r="APT11" s="485"/>
      <c r="APU11" s="485"/>
      <c r="APV11" s="485"/>
      <c r="APW11" s="486"/>
      <c r="APX11" s="474">
        <v>45273</v>
      </c>
      <c r="APY11" s="475"/>
      <c r="APZ11" s="475"/>
      <c r="AQA11" s="476"/>
      <c r="AQB11" s="435">
        <v>45273</v>
      </c>
      <c r="AQC11" s="474">
        <v>45288</v>
      </c>
      <c r="AQD11" s="475"/>
      <c r="AQE11" s="475"/>
      <c r="AQF11" s="476"/>
      <c r="AQG11" s="489" t="s">
        <v>754</v>
      </c>
      <c r="AQH11" s="474">
        <v>45289</v>
      </c>
      <c r="AQI11" s="475"/>
      <c r="AQJ11" s="475"/>
      <c r="AQK11" s="476"/>
      <c r="AQL11" s="489" t="s">
        <v>688</v>
      </c>
      <c r="AQM11" s="474">
        <v>45290</v>
      </c>
      <c r="AQN11" s="475"/>
      <c r="AQO11" s="475"/>
      <c r="AQP11" s="476"/>
      <c r="AQQ11" s="489" t="s">
        <v>688</v>
      </c>
      <c r="AQR11" s="478"/>
      <c r="AQS11" s="463"/>
      <c r="AQT11" s="485" t="s">
        <v>3</v>
      </c>
      <c r="AQU11" s="485"/>
      <c r="AQV11" s="485"/>
      <c r="AQW11" s="485"/>
      <c r="AQX11" s="486"/>
      <c r="AQY11" s="474">
        <v>45291</v>
      </c>
      <c r="AQZ11" s="475"/>
      <c r="ARA11" s="475"/>
      <c r="ARB11" s="476"/>
      <c r="ARC11" s="489" t="s">
        <v>754</v>
      </c>
      <c r="ARD11" s="474">
        <v>45292</v>
      </c>
      <c r="ARE11" s="475"/>
      <c r="ARF11" s="475"/>
      <c r="ARG11" s="476"/>
      <c r="ARH11" s="435">
        <v>45292</v>
      </c>
      <c r="ARI11" s="474">
        <v>45293</v>
      </c>
      <c r="ARJ11" s="475"/>
      <c r="ARK11" s="475"/>
      <c r="ARL11" s="476"/>
      <c r="ARM11" s="435">
        <v>45293</v>
      </c>
      <c r="ARN11" s="474">
        <v>45295</v>
      </c>
      <c r="ARO11" s="475"/>
      <c r="ARP11" s="475"/>
      <c r="ARQ11" s="476"/>
      <c r="ARR11" s="489" t="s">
        <v>754</v>
      </c>
      <c r="ARS11" s="478"/>
      <c r="ART11" s="463"/>
      <c r="ARU11" s="485" t="s">
        <v>3</v>
      </c>
      <c r="ARV11" s="485"/>
      <c r="ARW11" s="485"/>
      <c r="ARX11" s="485"/>
      <c r="ARY11" s="486"/>
      <c r="ARZ11" s="474">
        <v>45296</v>
      </c>
      <c r="ASA11" s="475"/>
      <c r="ASB11" s="475"/>
      <c r="ASC11" s="476"/>
      <c r="ASD11" s="489" t="s">
        <v>754</v>
      </c>
      <c r="ASE11" s="474">
        <v>45297</v>
      </c>
      <c r="ASF11" s="475"/>
      <c r="ASG11" s="475"/>
      <c r="ASH11" s="476"/>
      <c r="ASI11" s="489" t="s">
        <v>754</v>
      </c>
      <c r="ASJ11" s="474">
        <v>45298</v>
      </c>
      <c r="ASK11" s="475"/>
      <c r="ASL11" s="475"/>
      <c r="ASM11" s="476"/>
      <c r="ASN11" s="489" t="s">
        <v>754</v>
      </c>
      <c r="ASO11" s="474">
        <v>45299</v>
      </c>
      <c r="ASP11" s="475"/>
      <c r="ASQ11" s="475"/>
      <c r="ASR11" s="476"/>
      <c r="ASS11" s="489" t="s">
        <v>754</v>
      </c>
      <c r="AST11" s="478"/>
      <c r="ASU11" s="463"/>
      <c r="ASV11" s="485" t="s">
        <v>3</v>
      </c>
      <c r="ASW11" s="485"/>
      <c r="ASX11" s="485"/>
      <c r="ASY11" s="485"/>
      <c r="ASZ11" s="486"/>
      <c r="ATA11" s="474">
        <v>45302</v>
      </c>
      <c r="ATB11" s="475"/>
      <c r="ATC11" s="475"/>
      <c r="ATD11" s="476"/>
      <c r="ATE11" s="489" t="s">
        <v>754</v>
      </c>
      <c r="ATF11" s="474">
        <v>45304</v>
      </c>
      <c r="ATG11" s="475"/>
      <c r="ATH11" s="475"/>
      <c r="ATI11" s="476"/>
      <c r="ATJ11" s="435">
        <v>45304</v>
      </c>
      <c r="ATK11" s="474">
        <v>45305</v>
      </c>
      <c r="ATL11" s="475"/>
      <c r="ATM11" s="475"/>
      <c r="ATN11" s="476"/>
      <c r="ATO11" s="435">
        <v>45305</v>
      </c>
      <c r="ATP11" s="474">
        <v>45306</v>
      </c>
      <c r="ATQ11" s="475"/>
      <c r="ATR11" s="475"/>
      <c r="ATS11" s="476"/>
      <c r="ATT11" s="489" t="s">
        <v>688</v>
      </c>
      <c r="ATU11" s="478"/>
      <c r="ATV11" s="463"/>
      <c r="ATW11" s="485" t="s">
        <v>3</v>
      </c>
      <c r="ATX11" s="485"/>
      <c r="ATY11" s="485"/>
      <c r="ATZ11" s="485"/>
      <c r="AUA11" s="486"/>
      <c r="AUB11" s="474">
        <v>45307</v>
      </c>
      <c r="AUC11" s="475"/>
      <c r="AUD11" s="475"/>
      <c r="AUE11" s="476"/>
      <c r="AUF11" s="489" t="s">
        <v>688</v>
      </c>
      <c r="AUG11" s="474">
        <v>45312</v>
      </c>
      <c r="AUH11" s="475"/>
      <c r="AUI11" s="475"/>
      <c r="AUJ11" s="476"/>
      <c r="AUK11" s="489" t="s">
        <v>688</v>
      </c>
      <c r="AUL11" s="474">
        <v>45318</v>
      </c>
      <c r="AUM11" s="475"/>
      <c r="AUN11" s="475"/>
      <c r="AUO11" s="476"/>
      <c r="AUP11" s="489" t="s">
        <v>688</v>
      </c>
      <c r="AUQ11" s="474">
        <v>45319</v>
      </c>
      <c r="AUR11" s="475"/>
      <c r="AUS11" s="475"/>
      <c r="AUT11" s="476"/>
      <c r="AUU11" s="489" t="s">
        <v>688</v>
      </c>
      <c r="AUV11" s="478"/>
      <c r="AUW11" s="463"/>
      <c r="AUX11" s="485" t="s">
        <v>3</v>
      </c>
      <c r="AUY11" s="485"/>
      <c r="AUZ11" s="485"/>
      <c r="AVA11" s="485"/>
      <c r="AVB11" s="486"/>
      <c r="AVC11" s="474">
        <v>45328</v>
      </c>
      <c r="AVD11" s="475"/>
      <c r="AVE11" s="475"/>
      <c r="AVF11" s="476"/>
      <c r="AVG11" s="489" t="s">
        <v>688</v>
      </c>
      <c r="AVH11" s="474">
        <v>45330</v>
      </c>
      <c r="AVI11" s="475"/>
      <c r="AVJ11" s="475"/>
      <c r="AVK11" s="476"/>
      <c r="AVL11" s="489" t="s">
        <v>688</v>
      </c>
      <c r="AVM11" s="474">
        <v>45331</v>
      </c>
      <c r="AVN11" s="475"/>
      <c r="AVO11" s="475"/>
      <c r="AVP11" s="476"/>
      <c r="AVQ11" s="489" t="s">
        <v>688</v>
      </c>
      <c r="AVR11" s="474">
        <v>45332</v>
      </c>
      <c r="AVS11" s="475"/>
      <c r="AVT11" s="475"/>
      <c r="AVU11" s="476"/>
      <c r="AVV11" s="435">
        <v>45332</v>
      </c>
      <c r="AVW11" s="478"/>
      <c r="AVX11" s="463"/>
      <c r="AVY11" s="485" t="s">
        <v>3</v>
      </c>
      <c r="AVZ11" s="485"/>
      <c r="AWA11" s="485"/>
      <c r="AWB11" s="485"/>
      <c r="AWC11" s="486"/>
      <c r="AWD11" s="474">
        <v>45333</v>
      </c>
      <c r="AWE11" s="475"/>
      <c r="AWF11" s="475"/>
      <c r="AWG11" s="476"/>
      <c r="AWH11" s="435">
        <v>45333</v>
      </c>
      <c r="AWI11" s="474">
        <v>45334</v>
      </c>
      <c r="AWJ11" s="475"/>
      <c r="AWK11" s="475"/>
      <c r="AWL11" s="476"/>
      <c r="AWM11" s="435">
        <v>45334</v>
      </c>
      <c r="AWN11" s="474">
        <v>45335</v>
      </c>
      <c r="AWO11" s="475"/>
      <c r="AWP11" s="475"/>
      <c r="AWQ11" s="476"/>
      <c r="AWR11" s="435">
        <v>45335</v>
      </c>
      <c r="AWS11" s="474">
        <v>45336</v>
      </c>
      <c r="AWT11" s="475"/>
      <c r="AWU11" s="475"/>
      <c r="AWV11" s="476"/>
      <c r="AWW11" s="489" t="s">
        <v>688</v>
      </c>
      <c r="AWX11" s="478"/>
      <c r="AWY11" s="463"/>
      <c r="AWZ11" s="485" t="s">
        <v>3</v>
      </c>
      <c r="AXA11" s="485"/>
      <c r="AXB11" s="485"/>
      <c r="AXC11" s="485"/>
      <c r="AXD11" s="486"/>
      <c r="AXE11" s="474">
        <v>45337</v>
      </c>
      <c r="AXF11" s="475"/>
      <c r="AXG11" s="475"/>
      <c r="AXH11" s="476"/>
      <c r="AXI11" s="489" t="s">
        <v>688</v>
      </c>
      <c r="AXJ11" s="474">
        <v>45338</v>
      </c>
      <c r="AXK11" s="475"/>
      <c r="AXL11" s="475"/>
      <c r="AXM11" s="476"/>
      <c r="AXN11" s="489" t="s">
        <v>688</v>
      </c>
      <c r="AXO11" s="474">
        <v>45339</v>
      </c>
      <c r="AXP11" s="475"/>
      <c r="AXQ11" s="475"/>
      <c r="AXR11" s="476"/>
      <c r="AXS11" s="435">
        <v>45339</v>
      </c>
      <c r="AXT11" s="474">
        <v>45340</v>
      </c>
      <c r="AXU11" s="475"/>
      <c r="AXV11" s="475"/>
      <c r="AXW11" s="476"/>
      <c r="AXX11" s="435">
        <v>45340</v>
      </c>
      <c r="AXY11" s="478"/>
      <c r="AXZ11" s="463"/>
      <c r="AYA11" s="485" t="s">
        <v>3</v>
      </c>
      <c r="AYB11" s="485"/>
      <c r="AYC11" s="485"/>
      <c r="AYD11" s="485"/>
      <c r="AYE11" s="486"/>
      <c r="AYF11" s="474">
        <v>45345</v>
      </c>
      <c r="AYG11" s="475"/>
      <c r="AYH11" s="475"/>
      <c r="AYI11" s="476"/>
      <c r="AYJ11" s="489" t="s">
        <v>688</v>
      </c>
      <c r="AYK11" s="474">
        <v>45346</v>
      </c>
      <c r="AYL11" s="475"/>
      <c r="AYM11" s="475"/>
      <c r="AYN11" s="476"/>
      <c r="AYO11" s="489" t="s">
        <v>688</v>
      </c>
      <c r="AYP11" s="474">
        <v>45347</v>
      </c>
      <c r="AYQ11" s="475"/>
      <c r="AYR11" s="475"/>
      <c r="AYS11" s="476"/>
      <c r="AYT11" s="435">
        <v>45347</v>
      </c>
      <c r="AYU11" s="474">
        <v>45348</v>
      </c>
      <c r="AYV11" s="475"/>
      <c r="AYW11" s="475"/>
      <c r="AYX11" s="476"/>
      <c r="AYY11" s="489" t="s">
        <v>688</v>
      </c>
      <c r="AYZ11" s="478"/>
      <c r="AZA11" s="463"/>
      <c r="AZB11" s="485" t="s">
        <v>3</v>
      </c>
      <c r="AZC11" s="485"/>
      <c r="AZD11" s="485"/>
      <c r="AZE11" s="485"/>
      <c r="AZF11" s="486"/>
      <c r="AZG11" s="474">
        <v>45349</v>
      </c>
      <c r="AZH11" s="475"/>
      <c r="AZI11" s="475"/>
      <c r="AZJ11" s="476"/>
      <c r="AZK11" s="489" t="s">
        <v>688</v>
      </c>
      <c r="AZL11" s="474">
        <v>45350</v>
      </c>
      <c r="AZM11" s="475"/>
      <c r="AZN11" s="475"/>
      <c r="AZO11" s="476"/>
      <c r="AZP11" s="435">
        <v>45350</v>
      </c>
      <c r="AZQ11" s="474">
        <v>45352</v>
      </c>
      <c r="AZR11" s="475"/>
      <c r="AZS11" s="475"/>
      <c r="AZT11" s="476"/>
      <c r="AZU11" s="435">
        <v>45352</v>
      </c>
      <c r="AZV11" s="474">
        <v>45353</v>
      </c>
      <c r="AZW11" s="475"/>
      <c r="AZX11" s="475"/>
      <c r="AZY11" s="476"/>
      <c r="AZZ11" s="435">
        <v>45353</v>
      </c>
      <c r="BAA11" s="478"/>
      <c r="BAB11" s="463"/>
      <c r="BAC11" s="485" t="s">
        <v>3</v>
      </c>
      <c r="BAD11" s="485"/>
      <c r="BAE11" s="485"/>
      <c r="BAF11" s="485"/>
      <c r="BAG11" s="486"/>
      <c r="BAH11" s="474">
        <v>45354</v>
      </c>
      <c r="BAI11" s="475"/>
      <c r="BAJ11" s="475"/>
      <c r="BAK11" s="476"/>
      <c r="BAL11" s="435">
        <v>45354</v>
      </c>
      <c r="BAM11" s="474">
        <v>45355</v>
      </c>
      <c r="BAN11" s="475"/>
      <c r="BAO11" s="475"/>
      <c r="BAP11" s="476"/>
      <c r="BAQ11" s="435">
        <v>45355</v>
      </c>
      <c r="BAR11" s="474">
        <v>45357</v>
      </c>
      <c r="BAS11" s="475"/>
      <c r="BAT11" s="475"/>
      <c r="BAU11" s="476"/>
      <c r="BAV11" s="489" t="s">
        <v>688</v>
      </c>
      <c r="BAW11" s="474">
        <v>45358</v>
      </c>
      <c r="BAX11" s="475"/>
      <c r="BAY11" s="475"/>
      <c r="BAZ11" s="476"/>
      <c r="BBA11" s="435">
        <v>45358</v>
      </c>
      <c r="BBB11" s="478"/>
      <c r="BBC11" s="463"/>
      <c r="BBD11" s="485" t="s">
        <v>3</v>
      </c>
      <c r="BBE11" s="485"/>
      <c r="BBF11" s="485"/>
      <c r="BBG11" s="485"/>
      <c r="BBH11" s="486"/>
      <c r="BBI11" s="474">
        <v>45359</v>
      </c>
      <c r="BBJ11" s="475"/>
      <c r="BBK11" s="475"/>
      <c r="BBL11" s="476"/>
      <c r="BBM11" s="435">
        <v>45359</v>
      </c>
      <c r="BBN11" s="474">
        <v>45360</v>
      </c>
      <c r="BBO11" s="475"/>
      <c r="BBP11" s="475"/>
      <c r="BBQ11" s="476"/>
      <c r="BBR11" s="435">
        <v>45360</v>
      </c>
      <c r="BBS11" s="474">
        <v>45361</v>
      </c>
      <c r="BBT11" s="475"/>
      <c r="BBU11" s="475"/>
      <c r="BBV11" s="476"/>
      <c r="BBW11" s="435">
        <v>45361</v>
      </c>
      <c r="BBX11" s="474">
        <v>45362</v>
      </c>
      <c r="BBY11" s="475"/>
      <c r="BBZ11" s="475"/>
      <c r="BCA11" s="476"/>
      <c r="BCB11" s="435">
        <v>45362</v>
      </c>
      <c r="BCC11" s="478"/>
      <c r="BCD11" s="463"/>
      <c r="BCE11" s="485" t="s">
        <v>3</v>
      </c>
      <c r="BCF11" s="485"/>
      <c r="BCG11" s="485"/>
      <c r="BCH11" s="485"/>
      <c r="BCI11" s="486"/>
      <c r="BCJ11" s="474">
        <v>45363</v>
      </c>
      <c r="BCK11" s="475"/>
      <c r="BCL11" s="475"/>
      <c r="BCM11" s="476"/>
      <c r="BCN11" s="435">
        <v>45363</v>
      </c>
      <c r="BCO11" s="474">
        <v>45364</v>
      </c>
      <c r="BCP11" s="475"/>
      <c r="BCQ11" s="475"/>
      <c r="BCR11" s="476"/>
      <c r="BCS11" s="435">
        <v>45364</v>
      </c>
      <c r="BCT11" s="474">
        <v>45365</v>
      </c>
      <c r="BCU11" s="475"/>
      <c r="BCV11" s="475"/>
      <c r="BCW11" s="476"/>
      <c r="BCX11" s="435">
        <v>45365</v>
      </c>
      <c r="BCY11" s="474">
        <v>45366</v>
      </c>
      <c r="BCZ11" s="475"/>
      <c r="BDA11" s="475"/>
      <c r="BDB11" s="476"/>
      <c r="BDC11" s="435">
        <v>45366</v>
      </c>
      <c r="BDD11" s="478"/>
      <c r="BDE11" s="463"/>
      <c r="BDF11" s="485" t="s">
        <v>3</v>
      </c>
      <c r="BDG11" s="485"/>
      <c r="BDH11" s="485"/>
      <c r="BDI11" s="485"/>
      <c r="BDJ11" s="486"/>
      <c r="BDK11" s="474">
        <v>45367</v>
      </c>
      <c r="BDL11" s="475"/>
      <c r="BDM11" s="475"/>
      <c r="BDN11" s="476"/>
      <c r="BDO11" s="435">
        <v>45367</v>
      </c>
      <c r="BDP11" s="474">
        <v>45369</v>
      </c>
      <c r="BDQ11" s="475"/>
      <c r="BDR11" s="475"/>
      <c r="BDS11" s="476"/>
      <c r="BDT11" s="435">
        <v>45369</v>
      </c>
      <c r="BDU11" s="474">
        <v>45371</v>
      </c>
      <c r="BDV11" s="475"/>
      <c r="BDW11" s="475"/>
      <c r="BDX11" s="476"/>
      <c r="BDY11" s="435">
        <v>45371</v>
      </c>
      <c r="BDZ11" s="474">
        <v>45372</v>
      </c>
      <c r="BEA11" s="475"/>
      <c r="BEB11" s="475"/>
      <c r="BEC11" s="476"/>
      <c r="BED11" s="435">
        <v>45372</v>
      </c>
      <c r="BEE11" s="478"/>
      <c r="BEF11" s="463"/>
      <c r="BEG11" s="485" t="s">
        <v>3</v>
      </c>
      <c r="BEH11" s="485"/>
      <c r="BEI11" s="485"/>
      <c r="BEJ11" s="485"/>
      <c r="BEK11" s="486"/>
      <c r="BEL11" s="474">
        <v>45373</v>
      </c>
      <c r="BEM11" s="475"/>
      <c r="BEN11" s="475"/>
      <c r="BEO11" s="476"/>
      <c r="BEP11" s="435">
        <v>45373</v>
      </c>
      <c r="BEQ11" s="474">
        <v>45377</v>
      </c>
      <c r="BER11" s="475"/>
      <c r="BES11" s="475"/>
      <c r="BET11" s="476"/>
      <c r="BEU11" s="489" t="s">
        <v>688</v>
      </c>
      <c r="BEV11" s="474">
        <v>45378</v>
      </c>
      <c r="BEW11" s="475"/>
      <c r="BEX11" s="475"/>
      <c r="BEY11" s="476"/>
      <c r="BEZ11" s="435">
        <v>45378</v>
      </c>
      <c r="BFA11" s="474">
        <v>45380</v>
      </c>
      <c r="BFB11" s="475"/>
      <c r="BFC11" s="475"/>
      <c r="BFD11" s="476"/>
      <c r="BFE11" s="435">
        <v>45380</v>
      </c>
      <c r="BFF11" s="478"/>
      <c r="BFG11" s="463"/>
      <c r="BFH11" s="485" t="s">
        <v>3</v>
      </c>
      <c r="BFI11" s="485"/>
      <c r="BFJ11" s="485"/>
      <c r="BFK11" s="485"/>
      <c r="BFL11" s="486"/>
      <c r="BFM11" s="474">
        <v>45381</v>
      </c>
      <c r="BFN11" s="475"/>
      <c r="BFO11" s="475"/>
      <c r="BFP11" s="476"/>
      <c r="BFQ11" s="435">
        <v>45381</v>
      </c>
      <c r="BFR11" s="474">
        <v>45382</v>
      </c>
      <c r="BFS11" s="475"/>
      <c r="BFT11" s="475"/>
      <c r="BFU11" s="476"/>
      <c r="BFV11" s="435">
        <v>45382</v>
      </c>
      <c r="BFW11" s="474"/>
      <c r="BFX11" s="475"/>
      <c r="BFY11" s="475"/>
      <c r="BFZ11" s="476"/>
      <c r="BGA11" s="435"/>
      <c r="BGB11" s="474"/>
      <c r="BGC11" s="475"/>
      <c r="BGD11" s="475"/>
      <c r="BGE11" s="476"/>
      <c r="BGF11" s="435"/>
    </row>
    <row r="12" spans="1:1540" ht="45" customHeight="1" x14ac:dyDescent="0.4">
      <c r="A12" s="478"/>
      <c r="B12" s="464"/>
      <c r="C12" s="487"/>
      <c r="D12" s="487"/>
      <c r="E12" s="487"/>
      <c r="F12" s="487"/>
      <c r="G12" s="488"/>
      <c r="H12" s="496" t="s">
        <v>694</v>
      </c>
      <c r="I12" s="497"/>
      <c r="J12" s="497"/>
      <c r="K12" s="498"/>
      <c r="L12" s="81" t="s">
        <v>842</v>
      </c>
      <c r="M12" s="496" t="s">
        <v>842</v>
      </c>
      <c r="N12" s="497"/>
      <c r="O12" s="497"/>
      <c r="P12" s="498"/>
      <c r="Q12" s="81" t="s">
        <v>842</v>
      </c>
      <c r="R12" s="496" t="s">
        <v>842</v>
      </c>
      <c r="S12" s="497"/>
      <c r="T12" s="497"/>
      <c r="U12" s="498"/>
      <c r="V12" s="81" t="s">
        <v>787</v>
      </c>
      <c r="W12" s="496" t="s">
        <v>842</v>
      </c>
      <c r="X12" s="497"/>
      <c r="Y12" s="497"/>
      <c r="Z12" s="498"/>
      <c r="AA12" s="81" t="s">
        <v>692</v>
      </c>
      <c r="AB12" s="478"/>
      <c r="AC12" s="464"/>
      <c r="AD12" s="487"/>
      <c r="AE12" s="487"/>
      <c r="AF12" s="487"/>
      <c r="AG12" s="487"/>
      <c r="AH12" s="488"/>
      <c r="AI12" s="496" t="s">
        <v>842</v>
      </c>
      <c r="AJ12" s="497"/>
      <c r="AK12" s="497"/>
      <c r="AL12" s="498"/>
      <c r="AM12" s="517"/>
      <c r="AN12" s="496" t="s">
        <v>842</v>
      </c>
      <c r="AO12" s="497"/>
      <c r="AP12" s="497"/>
      <c r="AQ12" s="498"/>
      <c r="AR12" s="81" t="s">
        <v>856</v>
      </c>
      <c r="AS12" s="496" t="s">
        <v>842</v>
      </c>
      <c r="AT12" s="497"/>
      <c r="AU12" s="497"/>
      <c r="AV12" s="498"/>
      <c r="AW12" s="81" t="s">
        <v>701</v>
      </c>
      <c r="AX12" s="496" t="s">
        <v>842</v>
      </c>
      <c r="AY12" s="497"/>
      <c r="AZ12" s="497"/>
      <c r="BA12" s="498"/>
      <c r="BB12" s="81" t="s">
        <v>704</v>
      </c>
      <c r="BC12" s="478"/>
      <c r="BD12" s="464"/>
      <c r="BE12" s="487"/>
      <c r="BF12" s="487"/>
      <c r="BG12" s="487"/>
      <c r="BH12" s="487"/>
      <c r="BI12" s="488"/>
      <c r="BJ12" s="496" t="s">
        <v>842</v>
      </c>
      <c r="BK12" s="497"/>
      <c r="BL12" s="497"/>
      <c r="BM12" s="498"/>
      <c r="BN12" s="81" t="s">
        <v>704</v>
      </c>
      <c r="BO12" s="496" t="s">
        <v>842</v>
      </c>
      <c r="BP12" s="497"/>
      <c r="BQ12" s="497"/>
      <c r="BR12" s="498"/>
      <c r="BS12" s="81" t="s">
        <v>808</v>
      </c>
      <c r="BT12" s="496" t="s">
        <v>842</v>
      </c>
      <c r="BU12" s="497"/>
      <c r="BV12" s="497"/>
      <c r="BW12" s="498"/>
      <c r="BX12" s="81" t="s">
        <v>698</v>
      </c>
      <c r="BY12" s="496" t="s">
        <v>842</v>
      </c>
      <c r="BZ12" s="497"/>
      <c r="CA12" s="497"/>
      <c r="CB12" s="498"/>
      <c r="CC12" s="81" t="s">
        <v>845</v>
      </c>
      <c r="CD12" s="478"/>
      <c r="CE12" s="464"/>
      <c r="CF12" s="487"/>
      <c r="CG12" s="487"/>
      <c r="CH12" s="487"/>
      <c r="CI12" s="487"/>
      <c r="CJ12" s="488"/>
      <c r="CK12" s="496" t="s">
        <v>842</v>
      </c>
      <c r="CL12" s="497"/>
      <c r="CM12" s="497"/>
      <c r="CN12" s="498"/>
      <c r="CO12" s="81" t="s">
        <v>694</v>
      </c>
      <c r="CP12" s="496" t="s">
        <v>842</v>
      </c>
      <c r="CQ12" s="497"/>
      <c r="CR12" s="497"/>
      <c r="CS12" s="498"/>
      <c r="CT12" s="81" t="s">
        <v>842</v>
      </c>
      <c r="CU12" s="496" t="s">
        <v>842</v>
      </c>
      <c r="CV12" s="497"/>
      <c r="CW12" s="497"/>
      <c r="CX12" s="498"/>
      <c r="CY12" s="517"/>
      <c r="CZ12" s="496" t="s">
        <v>842</v>
      </c>
      <c r="DA12" s="497"/>
      <c r="DB12" s="497"/>
      <c r="DC12" s="498"/>
      <c r="DD12" s="81" t="s">
        <v>820</v>
      </c>
      <c r="DE12" s="478"/>
      <c r="DF12" s="464"/>
      <c r="DG12" s="487"/>
      <c r="DH12" s="487"/>
      <c r="DI12" s="487"/>
      <c r="DJ12" s="487"/>
      <c r="DK12" s="488"/>
      <c r="DL12" s="496" t="s">
        <v>842</v>
      </c>
      <c r="DM12" s="497"/>
      <c r="DN12" s="497"/>
      <c r="DO12" s="498"/>
      <c r="DP12" s="517"/>
      <c r="DQ12" s="496" t="s">
        <v>842</v>
      </c>
      <c r="DR12" s="497"/>
      <c r="DS12" s="497"/>
      <c r="DT12" s="498"/>
      <c r="DU12" s="81" t="s">
        <v>701</v>
      </c>
      <c r="DV12" s="496" t="s">
        <v>842</v>
      </c>
      <c r="DW12" s="497"/>
      <c r="DX12" s="497"/>
      <c r="DY12" s="498"/>
      <c r="DZ12" s="81" t="s">
        <v>852</v>
      </c>
      <c r="EA12" s="496" t="s">
        <v>842</v>
      </c>
      <c r="EB12" s="497"/>
      <c r="EC12" s="497"/>
      <c r="ED12" s="498"/>
      <c r="EE12" s="81" t="s">
        <v>694</v>
      </c>
      <c r="EF12" s="478"/>
      <c r="EG12" s="464"/>
      <c r="EH12" s="487"/>
      <c r="EI12" s="487"/>
      <c r="EJ12" s="487"/>
      <c r="EK12" s="487"/>
      <c r="EL12" s="488"/>
      <c r="EM12" s="496" t="s">
        <v>842</v>
      </c>
      <c r="EN12" s="497"/>
      <c r="EO12" s="497"/>
      <c r="EP12" s="498"/>
      <c r="EQ12" s="81" t="s">
        <v>701</v>
      </c>
      <c r="ER12" s="496" t="s">
        <v>842</v>
      </c>
      <c r="ES12" s="497"/>
      <c r="ET12" s="497"/>
      <c r="EU12" s="498"/>
      <c r="EV12" s="81" t="s">
        <v>694</v>
      </c>
      <c r="EW12" s="496" t="s">
        <v>842</v>
      </c>
      <c r="EX12" s="497"/>
      <c r="EY12" s="497"/>
      <c r="EZ12" s="498"/>
      <c r="FA12" s="517"/>
      <c r="FB12" s="496" t="s">
        <v>855</v>
      </c>
      <c r="FC12" s="497"/>
      <c r="FD12" s="497"/>
      <c r="FE12" s="498"/>
      <c r="FF12" s="81" t="s">
        <v>853</v>
      </c>
      <c r="FG12" s="478"/>
      <c r="FH12" s="464"/>
      <c r="FI12" s="487"/>
      <c r="FJ12" s="487"/>
      <c r="FK12" s="487"/>
      <c r="FL12" s="487"/>
      <c r="FM12" s="488"/>
      <c r="FN12" s="496" t="s">
        <v>853</v>
      </c>
      <c r="FO12" s="497"/>
      <c r="FP12" s="497"/>
      <c r="FQ12" s="498"/>
      <c r="FR12" s="81" t="s">
        <v>854</v>
      </c>
      <c r="FS12" s="496" t="s">
        <v>701</v>
      </c>
      <c r="FT12" s="497"/>
      <c r="FU12" s="497"/>
      <c r="FV12" s="498"/>
      <c r="FW12" s="81" t="s">
        <v>701</v>
      </c>
      <c r="FX12" s="496" t="s">
        <v>701</v>
      </c>
      <c r="FY12" s="497"/>
      <c r="FZ12" s="497"/>
      <c r="GA12" s="498"/>
      <c r="GB12" s="81" t="s">
        <v>701</v>
      </c>
      <c r="GC12" s="496" t="s">
        <v>842</v>
      </c>
      <c r="GD12" s="497"/>
      <c r="GE12" s="497"/>
      <c r="GF12" s="498"/>
      <c r="GG12" s="81" t="s">
        <v>694</v>
      </c>
      <c r="GH12" s="478"/>
      <c r="GI12" s="464"/>
      <c r="GJ12" s="487"/>
      <c r="GK12" s="487"/>
      <c r="GL12" s="487"/>
      <c r="GM12" s="487"/>
      <c r="GN12" s="488"/>
      <c r="GO12" s="496" t="s">
        <v>842</v>
      </c>
      <c r="GP12" s="497"/>
      <c r="GQ12" s="497"/>
      <c r="GR12" s="498"/>
      <c r="GS12" s="81" t="s">
        <v>695</v>
      </c>
      <c r="GT12" s="496" t="s">
        <v>842</v>
      </c>
      <c r="GU12" s="497"/>
      <c r="GV12" s="497"/>
      <c r="GW12" s="498"/>
      <c r="GX12" s="81" t="s">
        <v>701</v>
      </c>
      <c r="GY12" s="496" t="s">
        <v>701</v>
      </c>
      <c r="GZ12" s="497"/>
      <c r="HA12" s="497"/>
      <c r="HB12" s="498"/>
      <c r="HC12" s="81" t="s">
        <v>852</v>
      </c>
      <c r="HD12" s="496" t="s">
        <v>694</v>
      </c>
      <c r="HE12" s="497"/>
      <c r="HF12" s="497"/>
      <c r="HG12" s="498"/>
      <c r="HH12" s="81" t="s">
        <v>698</v>
      </c>
      <c r="HI12" s="478"/>
      <c r="HJ12" s="464"/>
      <c r="HK12" s="487"/>
      <c r="HL12" s="487"/>
      <c r="HM12" s="487"/>
      <c r="HN12" s="487"/>
      <c r="HO12" s="488"/>
      <c r="HP12" s="496" t="s">
        <v>842</v>
      </c>
      <c r="HQ12" s="497"/>
      <c r="HR12" s="497"/>
      <c r="HS12" s="498"/>
      <c r="HT12" s="81" t="s">
        <v>521</v>
      </c>
      <c r="HU12" s="496" t="s">
        <v>842</v>
      </c>
      <c r="HV12" s="497"/>
      <c r="HW12" s="497"/>
      <c r="HX12" s="498"/>
      <c r="HY12" s="81" t="s">
        <v>851</v>
      </c>
      <c r="HZ12" s="496" t="s">
        <v>842</v>
      </c>
      <c r="IA12" s="497"/>
      <c r="IB12" s="497"/>
      <c r="IC12" s="498"/>
      <c r="ID12" s="81" t="s">
        <v>694</v>
      </c>
      <c r="IE12" s="496" t="s">
        <v>842</v>
      </c>
      <c r="IF12" s="497"/>
      <c r="IG12" s="497"/>
      <c r="IH12" s="498"/>
      <c r="II12" s="81" t="s">
        <v>698</v>
      </c>
      <c r="IJ12" s="478"/>
      <c r="IK12" s="464"/>
      <c r="IL12" s="487"/>
      <c r="IM12" s="487"/>
      <c r="IN12" s="487"/>
      <c r="IO12" s="487"/>
      <c r="IP12" s="488"/>
      <c r="IQ12" s="496" t="s">
        <v>842</v>
      </c>
      <c r="IR12" s="497"/>
      <c r="IS12" s="497"/>
      <c r="IT12" s="498"/>
      <c r="IU12" s="81" t="s">
        <v>694</v>
      </c>
      <c r="IV12" s="496" t="s">
        <v>842</v>
      </c>
      <c r="IW12" s="497"/>
      <c r="IX12" s="497"/>
      <c r="IY12" s="498"/>
      <c r="IZ12" s="81" t="s">
        <v>846</v>
      </c>
      <c r="JA12" s="496" t="s">
        <v>842</v>
      </c>
      <c r="JB12" s="497"/>
      <c r="JC12" s="497"/>
      <c r="JD12" s="498"/>
      <c r="JE12" s="517"/>
      <c r="JF12" s="496" t="s">
        <v>842</v>
      </c>
      <c r="JG12" s="497"/>
      <c r="JH12" s="497"/>
      <c r="JI12" s="498"/>
      <c r="JJ12" s="81" t="s">
        <v>850</v>
      </c>
      <c r="JK12" s="478"/>
      <c r="JL12" s="464"/>
      <c r="JM12" s="487"/>
      <c r="JN12" s="487"/>
      <c r="JO12" s="487"/>
      <c r="JP12" s="487"/>
      <c r="JQ12" s="488"/>
      <c r="JR12" s="496" t="s">
        <v>842</v>
      </c>
      <c r="JS12" s="497"/>
      <c r="JT12" s="497"/>
      <c r="JU12" s="498"/>
      <c r="JV12" s="81" t="s">
        <v>701</v>
      </c>
      <c r="JW12" s="496" t="s">
        <v>842</v>
      </c>
      <c r="JX12" s="497"/>
      <c r="JY12" s="497"/>
      <c r="JZ12" s="498"/>
      <c r="KA12" s="81" t="s">
        <v>786</v>
      </c>
      <c r="KB12" s="496" t="s">
        <v>694</v>
      </c>
      <c r="KC12" s="497"/>
      <c r="KD12" s="497"/>
      <c r="KE12" s="498"/>
      <c r="KF12" s="81" t="s">
        <v>832</v>
      </c>
      <c r="KG12" s="496" t="s">
        <v>842</v>
      </c>
      <c r="KH12" s="497"/>
      <c r="KI12" s="497"/>
      <c r="KJ12" s="498"/>
      <c r="KK12" s="81" t="s">
        <v>849</v>
      </c>
      <c r="KL12" s="478"/>
      <c r="KM12" s="464"/>
      <c r="KN12" s="487"/>
      <c r="KO12" s="487"/>
      <c r="KP12" s="487"/>
      <c r="KQ12" s="487"/>
      <c r="KR12" s="488"/>
      <c r="KS12" s="496" t="s">
        <v>842</v>
      </c>
      <c r="KT12" s="497"/>
      <c r="KU12" s="497"/>
      <c r="KV12" s="498"/>
      <c r="KW12" s="81" t="s">
        <v>848</v>
      </c>
      <c r="KX12" s="496" t="s">
        <v>842</v>
      </c>
      <c r="KY12" s="497"/>
      <c r="KZ12" s="497"/>
      <c r="LA12" s="498"/>
      <c r="LB12" s="81" t="s">
        <v>715</v>
      </c>
      <c r="LC12" s="496" t="s">
        <v>694</v>
      </c>
      <c r="LD12" s="497"/>
      <c r="LE12" s="497"/>
      <c r="LF12" s="498"/>
      <c r="LG12" s="81" t="s">
        <v>842</v>
      </c>
      <c r="LH12" s="496" t="s">
        <v>842</v>
      </c>
      <c r="LI12" s="497"/>
      <c r="LJ12" s="497"/>
      <c r="LK12" s="498"/>
      <c r="LL12" s="81" t="s">
        <v>786</v>
      </c>
      <c r="LM12" s="478"/>
      <c r="LN12" s="464"/>
      <c r="LO12" s="487"/>
      <c r="LP12" s="487"/>
      <c r="LQ12" s="487"/>
      <c r="LR12" s="487"/>
      <c r="LS12" s="488"/>
      <c r="LT12" s="496" t="s">
        <v>842</v>
      </c>
      <c r="LU12" s="497"/>
      <c r="LV12" s="497"/>
      <c r="LW12" s="498"/>
      <c r="LX12" s="517"/>
      <c r="LY12" s="496" t="s">
        <v>842</v>
      </c>
      <c r="LZ12" s="497"/>
      <c r="MA12" s="497"/>
      <c r="MB12" s="498"/>
      <c r="MC12" s="81" t="s">
        <v>847</v>
      </c>
      <c r="MD12" s="496" t="s">
        <v>842</v>
      </c>
      <c r="ME12" s="497"/>
      <c r="MF12" s="497"/>
      <c r="MG12" s="498"/>
      <c r="MH12" s="517"/>
      <c r="MI12" s="496" t="s">
        <v>842</v>
      </c>
      <c r="MJ12" s="497"/>
      <c r="MK12" s="497"/>
      <c r="ML12" s="498"/>
      <c r="MM12" s="81" t="s">
        <v>701</v>
      </c>
      <c r="MN12" s="478"/>
      <c r="MO12" s="464"/>
      <c r="MP12" s="487"/>
      <c r="MQ12" s="487"/>
      <c r="MR12" s="487"/>
      <c r="MS12" s="487"/>
      <c r="MT12" s="488"/>
      <c r="MU12" s="496" t="s">
        <v>842</v>
      </c>
      <c r="MV12" s="497"/>
      <c r="MW12" s="497"/>
      <c r="MX12" s="498"/>
      <c r="MY12" s="81" t="s">
        <v>845</v>
      </c>
      <c r="MZ12" s="496" t="s">
        <v>694</v>
      </c>
      <c r="NA12" s="497"/>
      <c r="NB12" s="497"/>
      <c r="NC12" s="498"/>
      <c r="ND12" s="517"/>
      <c r="NE12" s="496" t="s">
        <v>842</v>
      </c>
      <c r="NF12" s="497"/>
      <c r="NG12" s="497"/>
      <c r="NH12" s="498"/>
      <c r="NI12" s="81" t="s">
        <v>846</v>
      </c>
      <c r="NJ12" s="496" t="s">
        <v>842</v>
      </c>
      <c r="NK12" s="497"/>
      <c r="NL12" s="497"/>
      <c r="NM12" s="498"/>
      <c r="NN12" s="81" t="s">
        <v>708</v>
      </c>
      <c r="NO12" s="478"/>
      <c r="NP12" s="464"/>
      <c r="NQ12" s="487"/>
      <c r="NR12" s="487"/>
      <c r="NS12" s="487"/>
      <c r="NT12" s="487"/>
      <c r="NU12" s="488"/>
      <c r="NV12" s="496" t="s">
        <v>842</v>
      </c>
      <c r="NW12" s="497"/>
      <c r="NX12" s="497"/>
      <c r="NY12" s="498"/>
      <c r="NZ12" s="517"/>
      <c r="OA12" s="496" t="s">
        <v>842</v>
      </c>
      <c r="OB12" s="497"/>
      <c r="OC12" s="497"/>
      <c r="OD12" s="498"/>
      <c r="OE12" s="81" t="s">
        <v>844</v>
      </c>
      <c r="OF12" s="496" t="s">
        <v>842</v>
      </c>
      <c r="OG12" s="497"/>
      <c r="OH12" s="497"/>
      <c r="OI12" s="498"/>
      <c r="OJ12" s="517"/>
      <c r="OK12" s="496" t="s">
        <v>842</v>
      </c>
      <c r="OL12" s="497"/>
      <c r="OM12" s="497"/>
      <c r="ON12" s="498"/>
      <c r="OO12" s="517"/>
      <c r="OP12" s="478"/>
      <c r="OQ12" s="464"/>
      <c r="OR12" s="487"/>
      <c r="OS12" s="487"/>
      <c r="OT12" s="487"/>
      <c r="OU12" s="487"/>
      <c r="OV12" s="488"/>
      <c r="OW12" s="496" t="s">
        <v>842</v>
      </c>
      <c r="OX12" s="497"/>
      <c r="OY12" s="497"/>
      <c r="OZ12" s="498"/>
      <c r="PA12" s="517"/>
      <c r="PB12" s="496" t="s">
        <v>842</v>
      </c>
      <c r="PC12" s="497"/>
      <c r="PD12" s="497"/>
      <c r="PE12" s="498"/>
      <c r="PF12" s="81" t="s">
        <v>788</v>
      </c>
      <c r="PG12" s="496" t="s">
        <v>842</v>
      </c>
      <c r="PH12" s="497"/>
      <c r="PI12" s="497"/>
      <c r="PJ12" s="498"/>
      <c r="PK12" s="81" t="s">
        <v>843</v>
      </c>
      <c r="PL12" s="496" t="s">
        <v>694</v>
      </c>
      <c r="PM12" s="497"/>
      <c r="PN12" s="497"/>
      <c r="PO12" s="498"/>
      <c r="PP12" s="81" t="s">
        <v>633</v>
      </c>
      <c r="PQ12" s="478"/>
      <c r="PR12" s="464"/>
      <c r="PS12" s="487"/>
      <c r="PT12" s="487"/>
      <c r="PU12" s="487"/>
      <c r="PV12" s="487"/>
      <c r="PW12" s="488"/>
      <c r="PX12" s="496" t="s">
        <v>842</v>
      </c>
      <c r="PY12" s="497"/>
      <c r="PZ12" s="497"/>
      <c r="QA12" s="498"/>
      <c r="QB12" s="517"/>
      <c r="QC12" s="496" t="s">
        <v>694</v>
      </c>
      <c r="QD12" s="497"/>
      <c r="QE12" s="497"/>
      <c r="QF12" s="498"/>
      <c r="QG12" s="81" t="s">
        <v>694</v>
      </c>
      <c r="QH12" s="496" t="s">
        <v>842</v>
      </c>
      <c r="QI12" s="497"/>
      <c r="QJ12" s="497"/>
      <c r="QK12" s="498"/>
      <c r="QL12" s="517"/>
      <c r="QM12" s="496" t="s">
        <v>842</v>
      </c>
      <c r="QN12" s="497"/>
      <c r="QO12" s="497"/>
      <c r="QP12" s="498"/>
      <c r="QQ12" s="517"/>
      <c r="QR12" s="478"/>
      <c r="QS12" s="464"/>
      <c r="QT12" s="487"/>
      <c r="QU12" s="487"/>
      <c r="QV12" s="487"/>
      <c r="QW12" s="487"/>
      <c r="QX12" s="488"/>
      <c r="QY12" s="496" t="s">
        <v>842</v>
      </c>
      <c r="QZ12" s="497"/>
      <c r="RA12" s="497"/>
      <c r="RB12" s="498"/>
      <c r="RC12" s="517"/>
      <c r="RD12" s="496" t="s">
        <v>842</v>
      </c>
      <c r="RE12" s="497"/>
      <c r="RF12" s="497"/>
      <c r="RG12" s="498"/>
      <c r="RH12" s="517"/>
      <c r="RI12" s="496" t="s">
        <v>842</v>
      </c>
      <c r="RJ12" s="497"/>
      <c r="RK12" s="497"/>
      <c r="RL12" s="498"/>
      <c r="RM12" s="517"/>
      <c r="RN12" s="496" t="s">
        <v>842</v>
      </c>
      <c r="RO12" s="497"/>
      <c r="RP12" s="497"/>
      <c r="RQ12" s="498"/>
      <c r="RR12" s="517"/>
      <c r="RS12" s="478"/>
      <c r="RT12" s="464"/>
      <c r="RU12" s="487"/>
      <c r="RV12" s="487"/>
      <c r="RW12" s="487"/>
      <c r="RX12" s="487"/>
      <c r="RY12" s="488"/>
      <c r="RZ12" s="496" t="s">
        <v>842</v>
      </c>
      <c r="SA12" s="497"/>
      <c r="SB12" s="497"/>
      <c r="SC12" s="498"/>
      <c r="SD12" s="517"/>
      <c r="SE12" s="496" t="s">
        <v>521</v>
      </c>
      <c r="SF12" s="497"/>
      <c r="SG12" s="497"/>
      <c r="SH12" s="498"/>
      <c r="SI12" s="517"/>
      <c r="SJ12" s="496" t="s">
        <v>521</v>
      </c>
      <c r="SK12" s="497"/>
      <c r="SL12" s="497"/>
      <c r="SM12" s="498"/>
      <c r="SN12" s="517"/>
      <c r="SO12" s="496" t="s">
        <v>521</v>
      </c>
      <c r="SP12" s="497"/>
      <c r="SQ12" s="497"/>
      <c r="SR12" s="498"/>
      <c r="SS12" s="517"/>
      <c r="ST12" s="478"/>
      <c r="SU12" s="464"/>
      <c r="SV12" s="487"/>
      <c r="SW12" s="487"/>
      <c r="SX12" s="487"/>
      <c r="SY12" s="487"/>
      <c r="SZ12" s="488"/>
      <c r="TA12" s="496" t="s">
        <v>159</v>
      </c>
      <c r="TB12" s="497"/>
      <c r="TC12" s="497"/>
      <c r="TD12" s="498"/>
      <c r="TE12" s="517"/>
      <c r="TF12" s="496" t="s">
        <v>159</v>
      </c>
      <c r="TG12" s="497"/>
      <c r="TH12" s="497"/>
      <c r="TI12" s="498"/>
      <c r="TJ12" s="517"/>
      <c r="TK12" s="496" t="s">
        <v>159</v>
      </c>
      <c r="TL12" s="497"/>
      <c r="TM12" s="497"/>
      <c r="TN12" s="498"/>
      <c r="TO12" s="517"/>
      <c r="TP12" s="496" t="s">
        <v>159</v>
      </c>
      <c r="TQ12" s="497"/>
      <c r="TR12" s="497"/>
      <c r="TS12" s="498"/>
      <c r="TT12" s="517"/>
      <c r="TU12" s="478"/>
      <c r="TV12" s="464"/>
      <c r="TW12" s="487"/>
      <c r="TX12" s="487"/>
      <c r="TY12" s="487"/>
      <c r="TZ12" s="487"/>
      <c r="UA12" s="488"/>
      <c r="UB12" s="496" t="s">
        <v>159</v>
      </c>
      <c r="UC12" s="497"/>
      <c r="UD12" s="497"/>
      <c r="UE12" s="498"/>
      <c r="UF12" s="517"/>
      <c r="UG12" s="496" t="s">
        <v>159</v>
      </c>
      <c r="UH12" s="497"/>
      <c r="UI12" s="497"/>
      <c r="UJ12" s="498"/>
      <c r="UK12" s="517"/>
      <c r="UL12" s="496" t="s">
        <v>159</v>
      </c>
      <c r="UM12" s="497"/>
      <c r="UN12" s="497"/>
      <c r="UO12" s="498"/>
      <c r="UP12" s="517"/>
      <c r="UQ12" s="496" t="s">
        <v>159</v>
      </c>
      <c r="UR12" s="497"/>
      <c r="US12" s="497"/>
      <c r="UT12" s="498"/>
      <c r="UU12" s="81" t="s">
        <v>702</v>
      </c>
      <c r="UV12" s="478"/>
      <c r="UW12" s="464"/>
      <c r="UX12" s="487"/>
      <c r="UY12" s="487"/>
      <c r="UZ12" s="487"/>
      <c r="VA12" s="487"/>
      <c r="VB12" s="488"/>
      <c r="VC12" s="496" t="s">
        <v>159</v>
      </c>
      <c r="VD12" s="497"/>
      <c r="VE12" s="497"/>
      <c r="VF12" s="498"/>
      <c r="VG12" s="517"/>
      <c r="VH12" s="496" t="s">
        <v>159</v>
      </c>
      <c r="VI12" s="497"/>
      <c r="VJ12" s="497"/>
      <c r="VK12" s="498"/>
      <c r="VL12" s="517"/>
      <c r="VM12" s="496" t="s">
        <v>159</v>
      </c>
      <c r="VN12" s="497"/>
      <c r="VO12" s="497"/>
      <c r="VP12" s="498"/>
      <c r="VQ12" s="517"/>
      <c r="VR12" s="496" t="s">
        <v>159</v>
      </c>
      <c r="VS12" s="497"/>
      <c r="VT12" s="497"/>
      <c r="VU12" s="498"/>
      <c r="VV12" s="517"/>
      <c r="VW12" s="478"/>
      <c r="VX12" s="464"/>
      <c r="VY12" s="487"/>
      <c r="VZ12" s="487"/>
      <c r="WA12" s="487"/>
      <c r="WB12" s="487"/>
      <c r="WC12" s="488"/>
      <c r="WD12" s="496" t="s">
        <v>159</v>
      </c>
      <c r="WE12" s="497"/>
      <c r="WF12" s="497"/>
      <c r="WG12" s="498"/>
      <c r="WH12" s="517"/>
      <c r="WI12" s="496" t="s">
        <v>159</v>
      </c>
      <c r="WJ12" s="497"/>
      <c r="WK12" s="497"/>
      <c r="WL12" s="498"/>
      <c r="WM12" s="517"/>
      <c r="WN12" s="496" t="s">
        <v>159</v>
      </c>
      <c r="WO12" s="497"/>
      <c r="WP12" s="497"/>
      <c r="WQ12" s="498"/>
      <c r="WR12" s="517"/>
      <c r="WS12" s="496" t="s">
        <v>159</v>
      </c>
      <c r="WT12" s="497"/>
      <c r="WU12" s="497"/>
      <c r="WV12" s="498"/>
      <c r="WW12" s="81" t="s">
        <v>841</v>
      </c>
      <c r="WX12" s="478"/>
      <c r="WY12" s="464"/>
      <c r="WZ12" s="487"/>
      <c r="XA12" s="487"/>
      <c r="XB12" s="487"/>
      <c r="XC12" s="487"/>
      <c r="XD12" s="488"/>
      <c r="XE12" s="496" t="s">
        <v>159</v>
      </c>
      <c r="XF12" s="497"/>
      <c r="XG12" s="497"/>
      <c r="XH12" s="498"/>
      <c r="XI12" s="517"/>
      <c r="XJ12" s="496" t="s">
        <v>159</v>
      </c>
      <c r="XK12" s="497"/>
      <c r="XL12" s="497"/>
      <c r="XM12" s="498"/>
      <c r="XN12" s="517"/>
      <c r="XO12" s="496" t="s">
        <v>159</v>
      </c>
      <c r="XP12" s="497"/>
      <c r="XQ12" s="497"/>
      <c r="XR12" s="498"/>
      <c r="XS12" s="81" t="s">
        <v>839</v>
      </c>
      <c r="XT12" s="496" t="s">
        <v>159</v>
      </c>
      <c r="XU12" s="497"/>
      <c r="XV12" s="497"/>
      <c r="XW12" s="498"/>
      <c r="XX12" s="81" t="s">
        <v>840</v>
      </c>
      <c r="XY12" s="478"/>
      <c r="XZ12" s="464"/>
      <c r="YA12" s="487"/>
      <c r="YB12" s="487"/>
      <c r="YC12" s="487"/>
      <c r="YD12" s="487"/>
      <c r="YE12" s="488"/>
      <c r="YF12" s="496" t="s">
        <v>159</v>
      </c>
      <c r="YG12" s="497"/>
      <c r="YH12" s="497"/>
      <c r="YI12" s="498"/>
      <c r="YJ12" s="517"/>
      <c r="YK12" s="496" t="s">
        <v>159</v>
      </c>
      <c r="YL12" s="497"/>
      <c r="YM12" s="497"/>
      <c r="YN12" s="498"/>
      <c r="YO12" s="517"/>
      <c r="YP12" s="496" t="s">
        <v>159</v>
      </c>
      <c r="YQ12" s="497"/>
      <c r="YR12" s="497"/>
      <c r="YS12" s="498"/>
      <c r="YT12" s="81" t="s">
        <v>838</v>
      </c>
      <c r="YU12" s="496" t="s">
        <v>521</v>
      </c>
      <c r="YV12" s="497"/>
      <c r="YW12" s="497"/>
      <c r="YX12" s="498"/>
      <c r="YY12" s="81" t="s">
        <v>832</v>
      </c>
      <c r="YZ12" s="478"/>
      <c r="ZA12" s="464"/>
      <c r="ZB12" s="487"/>
      <c r="ZC12" s="487"/>
      <c r="ZD12" s="487"/>
      <c r="ZE12" s="487"/>
      <c r="ZF12" s="488"/>
      <c r="ZG12" s="496" t="s">
        <v>159</v>
      </c>
      <c r="ZH12" s="497"/>
      <c r="ZI12" s="497"/>
      <c r="ZJ12" s="498"/>
      <c r="ZK12" s="493"/>
      <c r="ZL12" s="496" t="s">
        <v>159</v>
      </c>
      <c r="ZM12" s="497"/>
      <c r="ZN12" s="497"/>
      <c r="ZO12" s="498"/>
      <c r="ZP12" s="493"/>
      <c r="ZQ12" s="496" t="s">
        <v>159</v>
      </c>
      <c r="ZR12" s="497"/>
      <c r="ZS12" s="497"/>
      <c r="ZT12" s="498"/>
      <c r="ZU12" s="81" t="s">
        <v>837</v>
      </c>
      <c r="ZV12" s="496" t="s">
        <v>159</v>
      </c>
      <c r="ZW12" s="497"/>
      <c r="ZX12" s="497"/>
      <c r="ZY12" s="498"/>
      <c r="ZZ12" s="81" t="s">
        <v>832</v>
      </c>
      <c r="AAA12" s="478"/>
      <c r="AAB12" s="464"/>
      <c r="AAC12" s="487"/>
      <c r="AAD12" s="487"/>
      <c r="AAE12" s="487"/>
      <c r="AAF12" s="487"/>
      <c r="AAG12" s="488"/>
      <c r="AAH12" s="496" t="s">
        <v>159</v>
      </c>
      <c r="AAI12" s="497"/>
      <c r="AAJ12" s="497"/>
      <c r="AAK12" s="498"/>
      <c r="AAL12" s="81" t="s">
        <v>831</v>
      </c>
      <c r="AAM12" s="496" t="s">
        <v>159</v>
      </c>
      <c r="AAN12" s="497"/>
      <c r="AAO12" s="497"/>
      <c r="AAP12" s="498"/>
      <c r="AAQ12" s="493"/>
      <c r="AAR12" s="496" t="s">
        <v>159</v>
      </c>
      <c r="AAS12" s="497"/>
      <c r="AAT12" s="497"/>
      <c r="AAU12" s="498"/>
      <c r="AAV12" s="493"/>
      <c r="AAW12" s="496" t="s">
        <v>159</v>
      </c>
      <c r="AAX12" s="497"/>
      <c r="AAY12" s="497"/>
      <c r="AAZ12" s="498"/>
      <c r="ABA12" s="493"/>
      <c r="ABB12" s="478"/>
      <c r="ABC12" s="464"/>
      <c r="ABD12" s="487"/>
      <c r="ABE12" s="487"/>
      <c r="ABF12" s="487"/>
      <c r="ABG12" s="487"/>
      <c r="ABH12" s="488"/>
      <c r="ABI12" s="496" t="s">
        <v>159</v>
      </c>
      <c r="ABJ12" s="497"/>
      <c r="ABK12" s="497"/>
      <c r="ABL12" s="498"/>
      <c r="ABM12" s="81" t="s">
        <v>835</v>
      </c>
      <c r="ABN12" s="496" t="s">
        <v>159</v>
      </c>
      <c r="ABO12" s="497"/>
      <c r="ABP12" s="497"/>
      <c r="ABQ12" s="498"/>
      <c r="ABR12" s="81" t="s">
        <v>836</v>
      </c>
      <c r="ABS12" s="496" t="s">
        <v>159</v>
      </c>
      <c r="ABT12" s="497"/>
      <c r="ABU12" s="497"/>
      <c r="ABV12" s="498"/>
      <c r="ABW12" s="493"/>
      <c r="ABX12" s="496" t="s">
        <v>159</v>
      </c>
      <c r="ABY12" s="497"/>
      <c r="ABZ12" s="497"/>
      <c r="ACA12" s="498"/>
      <c r="ACB12" s="81" t="s">
        <v>828</v>
      </c>
      <c r="ACC12" s="478"/>
      <c r="ACD12" s="464"/>
      <c r="ACE12" s="487"/>
      <c r="ACF12" s="487"/>
      <c r="ACG12" s="487"/>
      <c r="ACH12" s="487"/>
      <c r="ACI12" s="488"/>
      <c r="ACJ12" s="496" t="s">
        <v>159</v>
      </c>
      <c r="ACK12" s="497"/>
      <c r="ACL12" s="497"/>
      <c r="ACM12" s="498"/>
      <c r="ACN12" s="81" t="s">
        <v>833</v>
      </c>
      <c r="ACO12" s="496" t="s">
        <v>159</v>
      </c>
      <c r="ACP12" s="497"/>
      <c r="ACQ12" s="497"/>
      <c r="ACR12" s="498"/>
      <c r="ACS12" s="81" t="s">
        <v>834</v>
      </c>
      <c r="ACT12" s="496" t="s">
        <v>159</v>
      </c>
      <c r="ACU12" s="497"/>
      <c r="ACV12" s="497"/>
      <c r="ACW12" s="498"/>
      <c r="ACX12" s="81" t="s">
        <v>822</v>
      </c>
      <c r="ACY12" s="496" t="s">
        <v>159</v>
      </c>
      <c r="ACZ12" s="497"/>
      <c r="ADA12" s="497"/>
      <c r="ADB12" s="498"/>
      <c r="ADC12" s="493"/>
      <c r="ADD12" s="478"/>
      <c r="ADE12" s="464"/>
      <c r="ADF12" s="487"/>
      <c r="ADG12" s="487"/>
      <c r="ADH12" s="487"/>
      <c r="ADI12" s="487"/>
      <c r="ADJ12" s="488"/>
      <c r="ADK12" s="496" t="s">
        <v>159</v>
      </c>
      <c r="ADL12" s="497"/>
      <c r="ADM12" s="497"/>
      <c r="ADN12" s="498"/>
      <c r="ADO12" s="81" t="s">
        <v>832</v>
      </c>
      <c r="ADP12" s="496" t="s">
        <v>159</v>
      </c>
      <c r="ADQ12" s="497"/>
      <c r="ADR12" s="497"/>
      <c r="ADS12" s="498"/>
      <c r="ADT12" s="81" t="s">
        <v>828</v>
      </c>
      <c r="ADU12" s="496" t="s">
        <v>159</v>
      </c>
      <c r="ADV12" s="497"/>
      <c r="ADW12" s="497"/>
      <c r="ADX12" s="498"/>
      <c r="ADY12" s="81" t="s">
        <v>825</v>
      </c>
      <c r="ADZ12" s="496" t="s">
        <v>159</v>
      </c>
      <c r="AEA12" s="497"/>
      <c r="AEB12" s="497"/>
      <c r="AEC12" s="498"/>
      <c r="AED12" s="81" t="s">
        <v>828</v>
      </c>
      <c r="AEE12" s="478"/>
      <c r="AEF12" s="464"/>
      <c r="AEG12" s="487"/>
      <c r="AEH12" s="487"/>
      <c r="AEI12" s="487"/>
      <c r="AEJ12" s="487"/>
      <c r="AEK12" s="488"/>
      <c r="AEL12" s="496" t="s">
        <v>159</v>
      </c>
      <c r="AEM12" s="497"/>
      <c r="AEN12" s="497"/>
      <c r="AEO12" s="498"/>
      <c r="AEP12" s="81" t="s">
        <v>828</v>
      </c>
      <c r="AEQ12" s="496" t="s">
        <v>159</v>
      </c>
      <c r="AER12" s="497"/>
      <c r="AES12" s="497"/>
      <c r="AET12" s="498"/>
      <c r="AEU12" s="81" t="s">
        <v>829</v>
      </c>
      <c r="AEV12" s="496" t="s">
        <v>159</v>
      </c>
      <c r="AEW12" s="497"/>
      <c r="AEX12" s="497"/>
      <c r="AEY12" s="498"/>
      <c r="AEZ12" s="81" t="s">
        <v>830</v>
      </c>
      <c r="AFA12" s="496" t="s">
        <v>159</v>
      </c>
      <c r="AFB12" s="497"/>
      <c r="AFC12" s="497"/>
      <c r="AFD12" s="498"/>
      <c r="AFE12" s="81" t="s">
        <v>831</v>
      </c>
      <c r="AFF12" s="478"/>
      <c r="AFG12" s="464"/>
      <c r="AFH12" s="487"/>
      <c r="AFI12" s="487"/>
      <c r="AFJ12" s="487"/>
      <c r="AFK12" s="487"/>
      <c r="AFL12" s="488"/>
      <c r="AFM12" s="496" t="s">
        <v>159</v>
      </c>
      <c r="AFN12" s="497"/>
      <c r="AFO12" s="497"/>
      <c r="AFP12" s="498"/>
      <c r="AFQ12" s="81" t="s">
        <v>824</v>
      </c>
      <c r="AFR12" s="496" t="s">
        <v>159</v>
      </c>
      <c r="AFS12" s="497"/>
      <c r="AFT12" s="497"/>
      <c r="AFU12" s="498"/>
      <c r="AFV12" s="81" t="s">
        <v>825</v>
      </c>
      <c r="AFW12" s="496" t="s">
        <v>159</v>
      </c>
      <c r="AFX12" s="497"/>
      <c r="AFY12" s="497"/>
      <c r="AFZ12" s="498"/>
      <c r="AGA12" s="81" t="s">
        <v>826</v>
      </c>
      <c r="AGB12" s="496" t="s">
        <v>159</v>
      </c>
      <c r="AGC12" s="497"/>
      <c r="AGD12" s="497"/>
      <c r="AGE12" s="498"/>
      <c r="AGF12" s="81" t="s">
        <v>827</v>
      </c>
      <c r="AGG12" s="478"/>
      <c r="AGH12" s="464"/>
      <c r="AGI12" s="487"/>
      <c r="AGJ12" s="487"/>
      <c r="AGK12" s="487"/>
      <c r="AGL12" s="487"/>
      <c r="AGM12" s="488"/>
      <c r="AGN12" s="496" t="s">
        <v>159</v>
      </c>
      <c r="AGO12" s="497"/>
      <c r="AGP12" s="497"/>
      <c r="AGQ12" s="498"/>
      <c r="AGR12" s="81" t="s">
        <v>702</v>
      </c>
      <c r="AGS12" s="496" t="s">
        <v>159</v>
      </c>
      <c r="AGT12" s="497"/>
      <c r="AGU12" s="497"/>
      <c r="AGV12" s="498"/>
      <c r="AGW12" s="81" t="s">
        <v>823</v>
      </c>
      <c r="AGX12" s="496" t="s">
        <v>159</v>
      </c>
      <c r="AGY12" s="497"/>
      <c r="AGZ12" s="497"/>
      <c r="AHA12" s="498"/>
      <c r="AHB12" s="81" t="s">
        <v>692</v>
      </c>
      <c r="AHC12" s="496" t="s">
        <v>159</v>
      </c>
      <c r="AHD12" s="497"/>
      <c r="AHE12" s="497"/>
      <c r="AHF12" s="498"/>
      <c r="AHG12" s="81" t="s">
        <v>692</v>
      </c>
      <c r="AHH12" s="478"/>
      <c r="AHI12" s="464"/>
      <c r="AHJ12" s="487"/>
      <c r="AHK12" s="487"/>
      <c r="AHL12" s="487"/>
      <c r="AHM12" s="487"/>
      <c r="AHN12" s="488"/>
      <c r="AHO12" s="496" t="s">
        <v>159</v>
      </c>
      <c r="AHP12" s="497"/>
      <c r="AHQ12" s="497"/>
      <c r="AHR12" s="498"/>
      <c r="AHS12" s="81" t="s">
        <v>702</v>
      </c>
      <c r="AHT12" s="496" t="s">
        <v>159</v>
      </c>
      <c r="AHU12" s="497"/>
      <c r="AHV12" s="497"/>
      <c r="AHW12" s="498"/>
      <c r="AHX12" s="81" t="s">
        <v>820</v>
      </c>
      <c r="AHY12" s="496" t="s">
        <v>159</v>
      </c>
      <c r="AHZ12" s="497"/>
      <c r="AIA12" s="497"/>
      <c r="AIB12" s="498"/>
      <c r="AIC12" s="81" t="s">
        <v>821</v>
      </c>
      <c r="AID12" s="496" t="s">
        <v>521</v>
      </c>
      <c r="AIE12" s="497"/>
      <c r="AIF12" s="497"/>
      <c r="AIG12" s="498"/>
      <c r="AIH12" s="81" t="s">
        <v>822</v>
      </c>
      <c r="AII12" s="478"/>
      <c r="AIJ12" s="464"/>
      <c r="AIK12" s="487"/>
      <c r="AIL12" s="487"/>
      <c r="AIM12" s="487"/>
      <c r="AIN12" s="487"/>
      <c r="AIO12" s="488"/>
      <c r="AIP12" s="496" t="s">
        <v>159</v>
      </c>
      <c r="AIQ12" s="497"/>
      <c r="AIR12" s="497"/>
      <c r="AIS12" s="498"/>
      <c r="AIT12" s="81" t="s">
        <v>818</v>
      </c>
      <c r="AIU12" s="496" t="s">
        <v>159</v>
      </c>
      <c r="AIV12" s="497"/>
      <c r="AIW12" s="497"/>
      <c r="AIX12" s="498"/>
      <c r="AIY12" s="81" t="s">
        <v>819</v>
      </c>
      <c r="AIZ12" s="496" t="s">
        <v>159</v>
      </c>
      <c r="AJA12" s="497"/>
      <c r="AJB12" s="497"/>
      <c r="AJC12" s="498"/>
      <c r="AJD12" s="81" t="s">
        <v>717</v>
      </c>
      <c r="AJE12" s="496" t="s">
        <v>159</v>
      </c>
      <c r="AJF12" s="497"/>
      <c r="AJG12" s="497"/>
      <c r="AJH12" s="498"/>
      <c r="AJI12" s="490"/>
      <c r="AJJ12" s="478"/>
      <c r="AJK12" s="464"/>
      <c r="AJL12" s="487"/>
      <c r="AJM12" s="487"/>
      <c r="AJN12" s="487"/>
      <c r="AJO12" s="487"/>
      <c r="AJP12" s="488"/>
      <c r="AJQ12" s="496" t="s">
        <v>159</v>
      </c>
      <c r="AJR12" s="497"/>
      <c r="AJS12" s="497"/>
      <c r="AJT12" s="498"/>
      <c r="AJU12" s="81" t="s">
        <v>817</v>
      </c>
      <c r="AJV12" s="496" t="s">
        <v>159</v>
      </c>
      <c r="AJW12" s="497"/>
      <c r="AJX12" s="497"/>
      <c r="AJY12" s="498"/>
      <c r="AJZ12" s="490"/>
      <c r="AKA12" s="496" t="s">
        <v>159</v>
      </c>
      <c r="AKB12" s="497"/>
      <c r="AKC12" s="497"/>
      <c r="AKD12" s="498"/>
      <c r="AKE12" s="490"/>
      <c r="AKF12" s="496" t="s">
        <v>159</v>
      </c>
      <c r="AKG12" s="497"/>
      <c r="AKH12" s="497"/>
      <c r="AKI12" s="498"/>
      <c r="AKJ12" s="490"/>
      <c r="AKK12" s="478"/>
      <c r="AKL12" s="464"/>
      <c r="AKM12" s="487"/>
      <c r="AKN12" s="487"/>
      <c r="AKO12" s="487"/>
      <c r="AKP12" s="487"/>
      <c r="AKQ12" s="488"/>
      <c r="AKR12" s="496" t="s">
        <v>159</v>
      </c>
      <c r="AKS12" s="497"/>
      <c r="AKT12" s="497"/>
      <c r="AKU12" s="498"/>
      <c r="AKV12" s="490"/>
      <c r="AKW12" s="496" t="s">
        <v>159</v>
      </c>
      <c r="AKX12" s="497"/>
      <c r="AKY12" s="497"/>
      <c r="AKZ12" s="498"/>
      <c r="ALA12" s="490"/>
      <c r="ALB12" s="496" t="s">
        <v>521</v>
      </c>
      <c r="ALC12" s="497"/>
      <c r="ALD12" s="497"/>
      <c r="ALE12" s="498"/>
      <c r="ALF12" s="81" t="s">
        <v>708</v>
      </c>
      <c r="ALG12" s="496" t="s">
        <v>159</v>
      </c>
      <c r="ALH12" s="497"/>
      <c r="ALI12" s="497"/>
      <c r="ALJ12" s="498"/>
      <c r="ALK12" s="81" t="s">
        <v>816</v>
      </c>
      <c r="ALL12" s="478"/>
      <c r="ALM12" s="464"/>
      <c r="ALN12" s="487"/>
      <c r="ALO12" s="487"/>
      <c r="ALP12" s="487"/>
      <c r="ALQ12" s="487"/>
      <c r="ALR12" s="488"/>
      <c r="ALS12" s="496" t="s">
        <v>159</v>
      </c>
      <c r="ALT12" s="497"/>
      <c r="ALU12" s="497"/>
      <c r="ALV12" s="498"/>
      <c r="ALW12" s="81" t="s">
        <v>583</v>
      </c>
      <c r="ALX12" s="496" t="s">
        <v>159</v>
      </c>
      <c r="ALY12" s="497"/>
      <c r="ALZ12" s="497"/>
      <c r="AMA12" s="498"/>
      <c r="AMB12" s="81" t="s">
        <v>633</v>
      </c>
      <c r="AMC12" s="496" t="s">
        <v>159</v>
      </c>
      <c r="AMD12" s="497"/>
      <c r="AME12" s="497"/>
      <c r="AMF12" s="498"/>
      <c r="AMG12" s="81" t="s">
        <v>633</v>
      </c>
      <c r="AMH12" s="496" t="s">
        <v>159</v>
      </c>
      <c r="AMI12" s="497"/>
      <c r="AMJ12" s="497"/>
      <c r="AMK12" s="498"/>
      <c r="AML12" s="490"/>
      <c r="AMM12" s="478"/>
      <c r="AMN12" s="464"/>
      <c r="AMO12" s="487"/>
      <c r="AMP12" s="487"/>
      <c r="AMQ12" s="487"/>
      <c r="AMR12" s="487"/>
      <c r="AMS12" s="488"/>
      <c r="AMT12" s="496" t="s">
        <v>159</v>
      </c>
      <c r="AMU12" s="497"/>
      <c r="AMV12" s="497"/>
      <c r="AMW12" s="498"/>
      <c r="AMX12" s="81" t="s">
        <v>708</v>
      </c>
      <c r="AMY12" s="496" t="s">
        <v>159</v>
      </c>
      <c r="AMZ12" s="497"/>
      <c r="ANA12" s="497"/>
      <c r="ANB12" s="498"/>
      <c r="ANC12" s="81" t="s">
        <v>815</v>
      </c>
      <c r="AND12" s="496" t="s">
        <v>159</v>
      </c>
      <c r="ANE12" s="497"/>
      <c r="ANF12" s="497"/>
      <c r="ANG12" s="498"/>
      <c r="ANH12" s="490"/>
      <c r="ANI12" s="496" t="s">
        <v>159</v>
      </c>
      <c r="ANJ12" s="497"/>
      <c r="ANK12" s="497"/>
      <c r="ANL12" s="498"/>
      <c r="ANM12" s="490"/>
      <c r="ANN12" s="478"/>
      <c r="ANO12" s="464"/>
      <c r="ANP12" s="487"/>
      <c r="ANQ12" s="487"/>
      <c r="ANR12" s="487"/>
      <c r="ANS12" s="487"/>
      <c r="ANT12" s="488"/>
      <c r="ANU12" s="496" t="s">
        <v>159</v>
      </c>
      <c r="ANV12" s="497"/>
      <c r="ANW12" s="497"/>
      <c r="ANX12" s="498"/>
      <c r="ANY12" s="81" t="s">
        <v>656</v>
      </c>
      <c r="ANZ12" s="496" t="s">
        <v>159</v>
      </c>
      <c r="AOA12" s="497"/>
      <c r="AOB12" s="497"/>
      <c r="AOC12" s="498"/>
      <c r="AOD12" s="490"/>
      <c r="AOE12" s="496" t="s">
        <v>159</v>
      </c>
      <c r="AOF12" s="497"/>
      <c r="AOG12" s="497"/>
      <c r="AOH12" s="498"/>
      <c r="AOI12" s="521"/>
      <c r="AOJ12" s="522"/>
      <c r="AOK12" s="496" t="s">
        <v>159</v>
      </c>
      <c r="AOL12" s="497"/>
      <c r="AOM12" s="497"/>
      <c r="AON12" s="498"/>
      <c r="AOO12" s="490"/>
      <c r="AOP12" s="478"/>
      <c r="AOQ12" s="464"/>
      <c r="AOR12" s="487"/>
      <c r="AOS12" s="487"/>
      <c r="AOT12" s="487"/>
      <c r="AOU12" s="487"/>
      <c r="AOV12" s="488"/>
      <c r="AOW12" s="496" t="s">
        <v>159</v>
      </c>
      <c r="AOX12" s="497"/>
      <c r="AOY12" s="497"/>
      <c r="AOZ12" s="498"/>
      <c r="APA12" s="493"/>
      <c r="APB12" s="496" t="s">
        <v>159</v>
      </c>
      <c r="APC12" s="497"/>
      <c r="APD12" s="497"/>
      <c r="APE12" s="498"/>
      <c r="APF12" s="493"/>
      <c r="APG12" s="496" t="s">
        <v>159</v>
      </c>
      <c r="APH12" s="497"/>
      <c r="API12" s="497"/>
      <c r="APJ12" s="498"/>
      <c r="APK12" s="490"/>
      <c r="APL12" s="496" t="s">
        <v>521</v>
      </c>
      <c r="APM12" s="497"/>
      <c r="APN12" s="497"/>
      <c r="APO12" s="498"/>
      <c r="APP12" s="81" t="s">
        <v>717</v>
      </c>
      <c r="APQ12" s="478"/>
      <c r="APR12" s="464"/>
      <c r="APS12" s="487"/>
      <c r="APT12" s="487"/>
      <c r="APU12" s="487"/>
      <c r="APV12" s="487"/>
      <c r="APW12" s="488"/>
      <c r="APX12" s="496" t="s">
        <v>159</v>
      </c>
      <c r="APY12" s="497"/>
      <c r="APZ12" s="497"/>
      <c r="AQA12" s="498"/>
      <c r="AQB12" s="81" t="s">
        <v>708</v>
      </c>
      <c r="AQC12" s="496" t="s">
        <v>159</v>
      </c>
      <c r="AQD12" s="497"/>
      <c r="AQE12" s="497"/>
      <c r="AQF12" s="498"/>
      <c r="AQG12" s="493"/>
      <c r="AQH12" s="496" t="s">
        <v>159</v>
      </c>
      <c r="AQI12" s="497"/>
      <c r="AQJ12" s="497"/>
      <c r="AQK12" s="498"/>
      <c r="AQL12" s="490"/>
      <c r="AQM12" s="496" t="s">
        <v>159</v>
      </c>
      <c r="AQN12" s="497"/>
      <c r="AQO12" s="497"/>
      <c r="AQP12" s="498"/>
      <c r="AQQ12" s="490"/>
      <c r="AQR12" s="478"/>
      <c r="AQS12" s="464"/>
      <c r="AQT12" s="487"/>
      <c r="AQU12" s="487"/>
      <c r="AQV12" s="487"/>
      <c r="AQW12" s="487"/>
      <c r="AQX12" s="488"/>
      <c r="AQY12" s="496" t="s">
        <v>159</v>
      </c>
      <c r="AQZ12" s="497"/>
      <c r="ARA12" s="497"/>
      <c r="ARB12" s="498"/>
      <c r="ARC12" s="493"/>
      <c r="ARD12" s="496" t="s">
        <v>159</v>
      </c>
      <c r="ARE12" s="497"/>
      <c r="ARF12" s="497"/>
      <c r="ARG12" s="498"/>
      <c r="ARH12" s="81" t="s">
        <v>814</v>
      </c>
      <c r="ARI12" s="496" t="s">
        <v>159</v>
      </c>
      <c r="ARJ12" s="497"/>
      <c r="ARK12" s="497"/>
      <c r="ARL12" s="498"/>
      <c r="ARM12" s="81" t="s">
        <v>813</v>
      </c>
      <c r="ARN12" s="496" t="s">
        <v>159</v>
      </c>
      <c r="ARO12" s="497"/>
      <c r="ARP12" s="497"/>
      <c r="ARQ12" s="498"/>
      <c r="ARR12" s="493"/>
      <c r="ARS12" s="478"/>
      <c r="ART12" s="464"/>
      <c r="ARU12" s="487"/>
      <c r="ARV12" s="487"/>
      <c r="ARW12" s="487"/>
      <c r="ARX12" s="487"/>
      <c r="ARY12" s="488"/>
      <c r="ARZ12" s="496" t="s">
        <v>159</v>
      </c>
      <c r="ASA12" s="497"/>
      <c r="ASB12" s="497"/>
      <c r="ASC12" s="498"/>
      <c r="ASD12" s="493"/>
      <c r="ASE12" s="496" t="s">
        <v>159</v>
      </c>
      <c r="ASF12" s="497"/>
      <c r="ASG12" s="497"/>
      <c r="ASH12" s="498"/>
      <c r="ASI12" s="493"/>
      <c r="ASJ12" s="496" t="s">
        <v>159</v>
      </c>
      <c r="ASK12" s="497"/>
      <c r="ASL12" s="497"/>
      <c r="ASM12" s="498"/>
      <c r="ASN12" s="493"/>
      <c r="ASO12" s="496" t="s">
        <v>159</v>
      </c>
      <c r="ASP12" s="497"/>
      <c r="ASQ12" s="497"/>
      <c r="ASR12" s="498"/>
      <c r="ASS12" s="493"/>
      <c r="AST12" s="478"/>
      <c r="ASU12" s="464"/>
      <c r="ASV12" s="487"/>
      <c r="ASW12" s="487"/>
      <c r="ASX12" s="487"/>
      <c r="ASY12" s="487"/>
      <c r="ASZ12" s="488"/>
      <c r="ATA12" s="496" t="s">
        <v>159</v>
      </c>
      <c r="ATB12" s="497"/>
      <c r="ATC12" s="497"/>
      <c r="ATD12" s="498"/>
      <c r="ATE12" s="493"/>
      <c r="ATF12" s="496" t="s">
        <v>159</v>
      </c>
      <c r="ATG12" s="497"/>
      <c r="ATH12" s="497"/>
      <c r="ATI12" s="498"/>
      <c r="ATJ12" s="81" t="s">
        <v>812</v>
      </c>
      <c r="ATK12" s="496" t="s">
        <v>159</v>
      </c>
      <c r="ATL12" s="497"/>
      <c r="ATM12" s="497"/>
      <c r="ATN12" s="498"/>
      <c r="ATO12" s="81" t="s">
        <v>813</v>
      </c>
      <c r="ATP12" s="496" t="s">
        <v>521</v>
      </c>
      <c r="ATQ12" s="497"/>
      <c r="ATR12" s="497"/>
      <c r="ATS12" s="498"/>
      <c r="ATT12" s="490"/>
      <c r="ATU12" s="478"/>
      <c r="ATV12" s="464"/>
      <c r="ATW12" s="487"/>
      <c r="ATX12" s="487"/>
      <c r="ATY12" s="487"/>
      <c r="ATZ12" s="487"/>
      <c r="AUA12" s="488"/>
      <c r="AUB12" s="496" t="s">
        <v>159</v>
      </c>
      <c r="AUC12" s="497"/>
      <c r="AUD12" s="497"/>
      <c r="AUE12" s="498"/>
      <c r="AUF12" s="490"/>
      <c r="AUG12" s="496" t="s">
        <v>159</v>
      </c>
      <c r="AUH12" s="497"/>
      <c r="AUI12" s="497"/>
      <c r="AUJ12" s="498"/>
      <c r="AUK12" s="490"/>
      <c r="AUL12" s="496" t="s">
        <v>159</v>
      </c>
      <c r="AUM12" s="497"/>
      <c r="AUN12" s="497"/>
      <c r="AUO12" s="498"/>
      <c r="AUP12" s="490"/>
      <c r="AUQ12" s="496" t="s">
        <v>159</v>
      </c>
      <c r="AUR12" s="497"/>
      <c r="AUS12" s="497"/>
      <c r="AUT12" s="498"/>
      <c r="AUU12" s="490"/>
      <c r="AUV12" s="478"/>
      <c r="AUW12" s="464"/>
      <c r="AUX12" s="487"/>
      <c r="AUY12" s="487"/>
      <c r="AUZ12" s="487"/>
      <c r="AVA12" s="487"/>
      <c r="AVB12" s="488"/>
      <c r="AVC12" s="496" t="s">
        <v>159</v>
      </c>
      <c r="AVD12" s="497"/>
      <c r="AVE12" s="497"/>
      <c r="AVF12" s="498"/>
      <c r="AVG12" s="490"/>
      <c r="AVH12" s="496" t="s">
        <v>159</v>
      </c>
      <c r="AVI12" s="497"/>
      <c r="AVJ12" s="497"/>
      <c r="AVK12" s="498"/>
      <c r="AVL12" s="490"/>
      <c r="AVM12" s="496" t="s">
        <v>159</v>
      </c>
      <c r="AVN12" s="497"/>
      <c r="AVO12" s="497"/>
      <c r="AVP12" s="498"/>
      <c r="AVQ12" s="490"/>
      <c r="AVR12" s="496" t="s">
        <v>159</v>
      </c>
      <c r="AVS12" s="497"/>
      <c r="AVT12" s="497"/>
      <c r="AVU12" s="498"/>
      <c r="AVV12" s="81" t="s">
        <v>811</v>
      </c>
      <c r="AVW12" s="478"/>
      <c r="AVX12" s="464"/>
      <c r="AVY12" s="487"/>
      <c r="AVZ12" s="487"/>
      <c r="AWA12" s="487"/>
      <c r="AWB12" s="487"/>
      <c r="AWC12" s="488"/>
      <c r="AWD12" s="496" t="s">
        <v>521</v>
      </c>
      <c r="AWE12" s="497"/>
      <c r="AWF12" s="497"/>
      <c r="AWG12" s="498"/>
      <c r="AWH12" s="81" t="s">
        <v>545</v>
      </c>
      <c r="AWI12" s="496" t="s">
        <v>159</v>
      </c>
      <c r="AWJ12" s="497"/>
      <c r="AWK12" s="497"/>
      <c r="AWL12" s="498"/>
      <c r="AWM12" s="81" t="s">
        <v>810</v>
      </c>
      <c r="AWN12" s="496" t="s">
        <v>159</v>
      </c>
      <c r="AWO12" s="497"/>
      <c r="AWP12" s="497"/>
      <c r="AWQ12" s="498"/>
      <c r="AWR12" s="81" t="s">
        <v>656</v>
      </c>
      <c r="AWS12" s="496" t="s">
        <v>159</v>
      </c>
      <c r="AWT12" s="497"/>
      <c r="AWU12" s="497"/>
      <c r="AWV12" s="498"/>
      <c r="AWW12" s="490"/>
      <c r="AWX12" s="478"/>
      <c r="AWY12" s="464"/>
      <c r="AWZ12" s="487"/>
      <c r="AXA12" s="487"/>
      <c r="AXB12" s="487"/>
      <c r="AXC12" s="487"/>
      <c r="AXD12" s="488"/>
      <c r="AXE12" s="496" t="s">
        <v>159</v>
      </c>
      <c r="AXF12" s="497"/>
      <c r="AXG12" s="497"/>
      <c r="AXH12" s="498"/>
      <c r="AXI12" s="490"/>
      <c r="AXJ12" s="496" t="s">
        <v>159</v>
      </c>
      <c r="AXK12" s="497"/>
      <c r="AXL12" s="497"/>
      <c r="AXM12" s="498"/>
      <c r="AXN12" s="490"/>
      <c r="AXO12" s="496" t="s">
        <v>159</v>
      </c>
      <c r="AXP12" s="497"/>
      <c r="AXQ12" s="497"/>
      <c r="AXR12" s="498"/>
      <c r="AXS12" s="81" t="s">
        <v>696</v>
      </c>
      <c r="AXT12" s="496" t="s">
        <v>159</v>
      </c>
      <c r="AXU12" s="497"/>
      <c r="AXV12" s="497"/>
      <c r="AXW12" s="498"/>
      <c r="AXX12" s="81" t="s">
        <v>809</v>
      </c>
      <c r="AXY12" s="478"/>
      <c r="AXZ12" s="464"/>
      <c r="AYA12" s="487"/>
      <c r="AYB12" s="487"/>
      <c r="AYC12" s="487"/>
      <c r="AYD12" s="487"/>
      <c r="AYE12" s="488"/>
      <c r="AYF12" s="496" t="s">
        <v>159</v>
      </c>
      <c r="AYG12" s="497"/>
      <c r="AYH12" s="497"/>
      <c r="AYI12" s="498"/>
      <c r="AYJ12" s="490"/>
      <c r="AYK12" s="496" t="s">
        <v>159</v>
      </c>
      <c r="AYL12" s="497"/>
      <c r="AYM12" s="497"/>
      <c r="AYN12" s="498"/>
      <c r="AYO12" s="490"/>
      <c r="AYP12" s="496" t="s">
        <v>159</v>
      </c>
      <c r="AYQ12" s="497"/>
      <c r="AYR12" s="497"/>
      <c r="AYS12" s="498"/>
      <c r="AYT12" s="81" t="s">
        <v>718</v>
      </c>
      <c r="AYU12" s="496" t="s">
        <v>159</v>
      </c>
      <c r="AYV12" s="497"/>
      <c r="AYW12" s="497"/>
      <c r="AYX12" s="498"/>
      <c r="AYY12" s="490"/>
      <c r="AYZ12" s="478"/>
      <c r="AZA12" s="464"/>
      <c r="AZB12" s="487"/>
      <c r="AZC12" s="487"/>
      <c r="AZD12" s="487"/>
      <c r="AZE12" s="487"/>
      <c r="AZF12" s="488"/>
      <c r="AZG12" s="496" t="s">
        <v>159</v>
      </c>
      <c r="AZH12" s="497"/>
      <c r="AZI12" s="497"/>
      <c r="AZJ12" s="498"/>
      <c r="AZK12" s="490"/>
      <c r="AZL12" s="496" t="s">
        <v>159</v>
      </c>
      <c r="AZM12" s="497"/>
      <c r="AZN12" s="497"/>
      <c r="AZO12" s="498"/>
      <c r="AZP12" s="81" t="s">
        <v>656</v>
      </c>
      <c r="AZQ12" s="496" t="s">
        <v>159</v>
      </c>
      <c r="AZR12" s="497"/>
      <c r="AZS12" s="497"/>
      <c r="AZT12" s="498"/>
      <c r="AZU12" s="81" t="s">
        <v>700</v>
      </c>
      <c r="AZV12" s="496" t="s">
        <v>159</v>
      </c>
      <c r="AZW12" s="497"/>
      <c r="AZX12" s="497"/>
      <c r="AZY12" s="498"/>
      <c r="AZZ12" s="81" t="s">
        <v>808</v>
      </c>
      <c r="BAA12" s="478"/>
      <c r="BAB12" s="464"/>
      <c r="BAC12" s="487"/>
      <c r="BAD12" s="487"/>
      <c r="BAE12" s="487"/>
      <c r="BAF12" s="487"/>
      <c r="BAG12" s="488"/>
      <c r="BAH12" s="496" t="s">
        <v>521</v>
      </c>
      <c r="BAI12" s="497"/>
      <c r="BAJ12" s="497"/>
      <c r="BAK12" s="498"/>
      <c r="BAL12" s="81" t="s">
        <v>805</v>
      </c>
      <c r="BAM12" s="496" t="s">
        <v>159</v>
      </c>
      <c r="BAN12" s="497"/>
      <c r="BAO12" s="497"/>
      <c r="BAP12" s="498"/>
      <c r="BAQ12" s="81" t="s">
        <v>806</v>
      </c>
      <c r="BAR12" s="496" t="s">
        <v>159</v>
      </c>
      <c r="BAS12" s="497"/>
      <c r="BAT12" s="497"/>
      <c r="BAU12" s="498"/>
      <c r="BAV12" s="490"/>
      <c r="BAW12" s="496" t="s">
        <v>159</v>
      </c>
      <c r="BAX12" s="497"/>
      <c r="BAY12" s="497"/>
      <c r="BAZ12" s="498"/>
      <c r="BBA12" s="81" t="s">
        <v>807</v>
      </c>
      <c r="BBB12" s="478"/>
      <c r="BBC12" s="464"/>
      <c r="BBD12" s="487"/>
      <c r="BBE12" s="487"/>
      <c r="BBF12" s="487"/>
      <c r="BBG12" s="487"/>
      <c r="BBH12" s="488"/>
      <c r="BBI12" s="496" t="s">
        <v>159</v>
      </c>
      <c r="BBJ12" s="497"/>
      <c r="BBK12" s="497"/>
      <c r="BBL12" s="498"/>
      <c r="BBM12" s="81" t="s">
        <v>159</v>
      </c>
      <c r="BBN12" s="496" t="s">
        <v>159</v>
      </c>
      <c r="BBO12" s="497"/>
      <c r="BBP12" s="497"/>
      <c r="BBQ12" s="498"/>
      <c r="BBR12" s="81" t="s">
        <v>159</v>
      </c>
      <c r="BBS12" s="496" t="s">
        <v>159</v>
      </c>
      <c r="BBT12" s="497"/>
      <c r="BBU12" s="497"/>
      <c r="BBV12" s="498"/>
      <c r="BBW12" s="81" t="s">
        <v>694</v>
      </c>
      <c r="BBX12" s="496" t="s">
        <v>159</v>
      </c>
      <c r="BBY12" s="497"/>
      <c r="BBZ12" s="497"/>
      <c r="BCA12" s="498"/>
      <c r="BCB12" s="81" t="s">
        <v>633</v>
      </c>
      <c r="BCC12" s="478"/>
      <c r="BCD12" s="464"/>
      <c r="BCE12" s="487"/>
      <c r="BCF12" s="487"/>
      <c r="BCG12" s="487"/>
      <c r="BCH12" s="487"/>
      <c r="BCI12" s="488"/>
      <c r="BCJ12" s="496" t="s">
        <v>159</v>
      </c>
      <c r="BCK12" s="497"/>
      <c r="BCL12" s="497"/>
      <c r="BCM12" s="498"/>
      <c r="BCN12" s="81" t="s">
        <v>159</v>
      </c>
      <c r="BCO12" s="496" t="s">
        <v>521</v>
      </c>
      <c r="BCP12" s="497"/>
      <c r="BCQ12" s="497"/>
      <c r="BCR12" s="498"/>
      <c r="BCS12" s="81" t="s">
        <v>521</v>
      </c>
      <c r="BCT12" s="496" t="s">
        <v>159</v>
      </c>
      <c r="BCU12" s="497"/>
      <c r="BCV12" s="497"/>
      <c r="BCW12" s="498"/>
      <c r="BCX12" s="81" t="s">
        <v>804</v>
      </c>
      <c r="BCY12" s="496" t="s">
        <v>159</v>
      </c>
      <c r="BCZ12" s="497"/>
      <c r="BDA12" s="497"/>
      <c r="BDB12" s="498"/>
      <c r="BDC12" s="81" t="s">
        <v>698</v>
      </c>
      <c r="BDD12" s="478"/>
      <c r="BDE12" s="464"/>
      <c r="BDF12" s="487"/>
      <c r="BDG12" s="487"/>
      <c r="BDH12" s="487"/>
      <c r="BDI12" s="487"/>
      <c r="BDJ12" s="488"/>
      <c r="BDK12" s="496" t="s">
        <v>159</v>
      </c>
      <c r="BDL12" s="497"/>
      <c r="BDM12" s="497"/>
      <c r="BDN12" s="498"/>
      <c r="BDO12" s="81" t="s">
        <v>694</v>
      </c>
      <c r="BDP12" s="496" t="s">
        <v>521</v>
      </c>
      <c r="BDQ12" s="497"/>
      <c r="BDR12" s="497"/>
      <c r="BDS12" s="498"/>
      <c r="BDT12" s="81" t="s">
        <v>521</v>
      </c>
      <c r="BDU12" s="496" t="s">
        <v>521</v>
      </c>
      <c r="BDV12" s="497"/>
      <c r="BDW12" s="497"/>
      <c r="BDX12" s="498"/>
      <c r="BDY12" s="81" t="s">
        <v>521</v>
      </c>
      <c r="BDZ12" s="496" t="s">
        <v>159</v>
      </c>
      <c r="BEA12" s="497"/>
      <c r="BEB12" s="497"/>
      <c r="BEC12" s="498"/>
      <c r="BED12" s="81" t="s">
        <v>159</v>
      </c>
      <c r="BEE12" s="478"/>
      <c r="BEF12" s="464"/>
      <c r="BEG12" s="487"/>
      <c r="BEH12" s="487"/>
      <c r="BEI12" s="487"/>
      <c r="BEJ12" s="487"/>
      <c r="BEK12" s="488"/>
      <c r="BEL12" s="496" t="s">
        <v>159</v>
      </c>
      <c r="BEM12" s="497"/>
      <c r="BEN12" s="497"/>
      <c r="BEO12" s="498"/>
      <c r="BEP12" s="81" t="s">
        <v>521</v>
      </c>
      <c r="BEQ12" s="496" t="s">
        <v>159</v>
      </c>
      <c r="BER12" s="497"/>
      <c r="BES12" s="497"/>
      <c r="BET12" s="498"/>
      <c r="BEU12" s="490"/>
      <c r="BEV12" s="496" t="s">
        <v>159</v>
      </c>
      <c r="BEW12" s="497"/>
      <c r="BEX12" s="497"/>
      <c r="BEY12" s="498"/>
      <c r="BEZ12" s="81" t="s">
        <v>521</v>
      </c>
      <c r="BFA12" s="496" t="s">
        <v>159</v>
      </c>
      <c r="BFB12" s="497"/>
      <c r="BFC12" s="497"/>
      <c r="BFD12" s="498"/>
      <c r="BFE12" s="81" t="s">
        <v>521</v>
      </c>
      <c r="BFF12" s="478"/>
      <c r="BFG12" s="464"/>
      <c r="BFH12" s="487"/>
      <c r="BFI12" s="487"/>
      <c r="BFJ12" s="487"/>
      <c r="BFK12" s="487"/>
      <c r="BFL12" s="488"/>
      <c r="BFM12" s="496" t="s">
        <v>159</v>
      </c>
      <c r="BFN12" s="497"/>
      <c r="BFO12" s="497"/>
      <c r="BFP12" s="498"/>
      <c r="BFQ12" s="81" t="s">
        <v>159</v>
      </c>
      <c r="BFR12" s="496" t="s">
        <v>159</v>
      </c>
      <c r="BFS12" s="497"/>
      <c r="BFT12" s="497"/>
      <c r="BFU12" s="498"/>
      <c r="BFV12" s="81" t="s">
        <v>159</v>
      </c>
      <c r="BFW12" s="496"/>
      <c r="BFX12" s="497"/>
      <c r="BFY12" s="497"/>
      <c r="BFZ12" s="498"/>
      <c r="BGA12" s="81"/>
      <c r="BGB12" s="496"/>
      <c r="BGC12" s="497"/>
      <c r="BGD12" s="497"/>
      <c r="BGE12" s="498"/>
      <c r="BGF12" s="81"/>
    </row>
    <row r="13" spans="1:1540" ht="45" customHeight="1" x14ac:dyDescent="0.4">
      <c r="A13" s="478"/>
      <c r="B13" s="525" t="s">
        <v>857</v>
      </c>
      <c r="C13" s="507" t="s">
        <v>1</v>
      </c>
      <c r="D13" s="485"/>
      <c r="E13" s="485"/>
      <c r="F13" s="485"/>
      <c r="G13" s="486"/>
      <c r="H13" s="504">
        <v>0.47916666666666646</v>
      </c>
      <c r="I13" s="505"/>
      <c r="J13" s="505"/>
      <c r="K13" s="506"/>
      <c r="L13" s="82">
        <v>0.5</v>
      </c>
      <c r="M13" s="504">
        <v>0.47916666666666646</v>
      </c>
      <c r="N13" s="505"/>
      <c r="O13" s="505"/>
      <c r="P13" s="506"/>
      <c r="Q13" s="82">
        <v>0.52083333333333304</v>
      </c>
      <c r="R13" s="504">
        <v>0.52083333333333315</v>
      </c>
      <c r="S13" s="505"/>
      <c r="T13" s="505"/>
      <c r="U13" s="506"/>
      <c r="V13" s="82">
        <v>0.5</v>
      </c>
      <c r="W13" s="504">
        <v>0.52083333333333315</v>
      </c>
      <c r="X13" s="505"/>
      <c r="Y13" s="505"/>
      <c r="Z13" s="506"/>
      <c r="AA13" s="82">
        <v>0.5</v>
      </c>
      <c r="AB13" s="479"/>
      <c r="AC13" s="492" t="s">
        <v>857</v>
      </c>
      <c r="AD13" s="507" t="s">
        <v>1</v>
      </c>
      <c r="AE13" s="485"/>
      <c r="AF13" s="485"/>
      <c r="AG13" s="485"/>
      <c r="AH13" s="486"/>
      <c r="AI13" s="504">
        <v>0.52083333333333315</v>
      </c>
      <c r="AJ13" s="505"/>
      <c r="AK13" s="505"/>
      <c r="AL13" s="506"/>
      <c r="AM13" s="517"/>
      <c r="AN13" s="504">
        <v>0.52083333333333337</v>
      </c>
      <c r="AO13" s="505"/>
      <c r="AP13" s="505"/>
      <c r="AQ13" s="506"/>
      <c r="AR13" s="82">
        <v>0.52083333333333337</v>
      </c>
      <c r="AS13" s="504">
        <v>0.49999999999999978</v>
      </c>
      <c r="AT13" s="505"/>
      <c r="AU13" s="505"/>
      <c r="AV13" s="506"/>
      <c r="AW13" s="82">
        <v>0.52083333333333337</v>
      </c>
      <c r="AX13" s="504">
        <v>0.52083333333333315</v>
      </c>
      <c r="AY13" s="505"/>
      <c r="AZ13" s="505"/>
      <c r="BA13" s="506"/>
      <c r="BB13" s="82">
        <v>0.52083333333333304</v>
      </c>
      <c r="BC13" s="479"/>
      <c r="BD13" s="492" t="s">
        <v>857</v>
      </c>
      <c r="BE13" s="507" t="s">
        <v>1</v>
      </c>
      <c r="BF13" s="485"/>
      <c r="BG13" s="485"/>
      <c r="BH13" s="485"/>
      <c r="BI13" s="486"/>
      <c r="BJ13" s="504">
        <v>0.52083333333333315</v>
      </c>
      <c r="BK13" s="505"/>
      <c r="BL13" s="505"/>
      <c r="BM13" s="506"/>
      <c r="BN13" s="82">
        <v>0.52083333333333304</v>
      </c>
      <c r="BO13" s="504">
        <v>0.52083333333333315</v>
      </c>
      <c r="BP13" s="505"/>
      <c r="BQ13" s="505"/>
      <c r="BR13" s="506"/>
      <c r="BS13" s="82">
        <v>0.52083333333333304</v>
      </c>
      <c r="BT13" s="504">
        <v>0.52083333333333315</v>
      </c>
      <c r="BU13" s="505"/>
      <c r="BV13" s="505"/>
      <c r="BW13" s="506"/>
      <c r="BX13" s="82">
        <v>0.52083333333333304</v>
      </c>
      <c r="BY13" s="504">
        <v>0.45833333333333315</v>
      </c>
      <c r="BZ13" s="505"/>
      <c r="CA13" s="505"/>
      <c r="CB13" s="506"/>
      <c r="CC13" s="82">
        <v>0.45833333333333331</v>
      </c>
      <c r="CD13" s="479"/>
      <c r="CE13" s="492" t="s">
        <v>857</v>
      </c>
      <c r="CF13" s="507" t="s">
        <v>1</v>
      </c>
      <c r="CG13" s="485"/>
      <c r="CH13" s="485"/>
      <c r="CI13" s="485"/>
      <c r="CJ13" s="486"/>
      <c r="CK13" s="504">
        <v>0.52083333333333337</v>
      </c>
      <c r="CL13" s="505"/>
      <c r="CM13" s="505"/>
      <c r="CN13" s="506"/>
      <c r="CO13" s="82">
        <v>0.52083333333333304</v>
      </c>
      <c r="CP13" s="504">
        <v>0.52083333333333315</v>
      </c>
      <c r="CQ13" s="505"/>
      <c r="CR13" s="505"/>
      <c r="CS13" s="506"/>
      <c r="CT13" s="82">
        <v>0.52083333333333304</v>
      </c>
      <c r="CU13" s="504">
        <v>0.52083333333333315</v>
      </c>
      <c r="CV13" s="505"/>
      <c r="CW13" s="505"/>
      <c r="CX13" s="506"/>
      <c r="CY13" s="517"/>
      <c r="CZ13" s="504">
        <v>0.52083333333333315</v>
      </c>
      <c r="DA13" s="505"/>
      <c r="DB13" s="505"/>
      <c r="DC13" s="506"/>
      <c r="DD13" s="82">
        <v>0.52083333333333304</v>
      </c>
      <c r="DE13" s="479"/>
      <c r="DF13" s="492" t="s">
        <v>857</v>
      </c>
      <c r="DG13" s="507" t="s">
        <v>1</v>
      </c>
      <c r="DH13" s="485"/>
      <c r="DI13" s="485"/>
      <c r="DJ13" s="485"/>
      <c r="DK13" s="486"/>
      <c r="DL13" s="504">
        <v>0.52083333333333315</v>
      </c>
      <c r="DM13" s="505"/>
      <c r="DN13" s="505"/>
      <c r="DO13" s="506"/>
      <c r="DP13" s="517"/>
      <c r="DQ13" s="504">
        <v>0.52083333333333315</v>
      </c>
      <c r="DR13" s="505"/>
      <c r="DS13" s="505"/>
      <c r="DT13" s="506"/>
      <c r="DU13" s="82">
        <v>0.5</v>
      </c>
      <c r="DV13" s="504">
        <v>0.49999999999999978</v>
      </c>
      <c r="DW13" s="505"/>
      <c r="DX13" s="505"/>
      <c r="DY13" s="506"/>
      <c r="DZ13" s="82">
        <v>0.5</v>
      </c>
      <c r="EA13" s="504">
        <v>0.52083333333333315</v>
      </c>
      <c r="EB13" s="505"/>
      <c r="EC13" s="505"/>
      <c r="ED13" s="506"/>
      <c r="EE13" s="82">
        <v>0.52083333333333304</v>
      </c>
      <c r="EF13" s="479"/>
      <c r="EG13" s="492" t="s">
        <v>857</v>
      </c>
      <c r="EH13" s="507" t="s">
        <v>1</v>
      </c>
      <c r="EI13" s="485"/>
      <c r="EJ13" s="485"/>
      <c r="EK13" s="485"/>
      <c r="EL13" s="486"/>
      <c r="EM13" s="504">
        <v>0.52083333333333315</v>
      </c>
      <c r="EN13" s="505"/>
      <c r="EO13" s="505"/>
      <c r="EP13" s="506"/>
      <c r="EQ13" s="82">
        <v>0.52083333333333304</v>
      </c>
      <c r="ER13" s="504">
        <v>0.52083333333333315</v>
      </c>
      <c r="ES13" s="505"/>
      <c r="ET13" s="505"/>
      <c r="EU13" s="506"/>
      <c r="EV13" s="82">
        <v>0.5</v>
      </c>
      <c r="EW13" s="504">
        <v>0.52083333333333315</v>
      </c>
      <c r="EX13" s="505"/>
      <c r="EY13" s="505"/>
      <c r="EZ13" s="506"/>
      <c r="FA13" s="517"/>
      <c r="FB13" s="504">
        <v>0.47916666666666646</v>
      </c>
      <c r="FC13" s="505"/>
      <c r="FD13" s="505"/>
      <c r="FE13" s="506"/>
      <c r="FF13" s="82">
        <v>0.5625</v>
      </c>
      <c r="FG13" s="479"/>
      <c r="FH13" s="492" t="s">
        <v>857</v>
      </c>
      <c r="FI13" s="507" t="s">
        <v>1</v>
      </c>
      <c r="FJ13" s="485"/>
      <c r="FK13" s="485"/>
      <c r="FL13" s="485"/>
      <c r="FM13" s="486"/>
      <c r="FN13" s="504">
        <v>0.52083333333333337</v>
      </c>
      <c r="FO13" s="505"/>
      <c r="FP13" s="505"/>
      <c r="FQ13" s="506"/>
      <c r="FR13" s="82">
        <v>0.5</v>
      </c>
      <c r="FS13" s="504">
        <v>0.49999999999999978</v>
      </c>
      <c r="FT13" s="505"/>
      <c r="FU13" s="505"/>
      <c r="FV13" s="506"/>
      <c r="FW13" s="82">
        <v>0.52083333333333337</v>
      </c>
      <c r="FX13" s="504">
        <v>0.47916666666666646</v>
      </c>
      <c r="FY13" s="505"/>
      <c r="FZ13" s="505"/>
      <c r="GA13" s="506"/>
      <c r="GB13" s="82">
        <v>0.47916666666666702</v>
      </c>
      <c r="GC13" s="504">
        <v>0.47916666666666646</v>
      </c>
      <c r="GD13" s="505"/>
      <c r="GE13" s="505"/>
      <c r="GF13" s="506"/>
      <c r="GG13" s="82">
        <v>0.47916666666666669</v>
      </c>
      <c r="GH13" s="479"/>
      <c r="GI13" s="492" t="s">
        <v>857</v>
      </c>
      <c r="GJ13" s="507" t="s">
        <v>1</v>
      </c>
      <c r="GK13" s="485"/>
      <c r="GL13" s="485"/>
      <c r="GM13" s="485"/>
      <c r="GN13" s="486"/>
      <c r="GO13" s="504">
        <v>0.47916666666666646</v>
      </c>
      <c r="GP13" s="505"/>
      <c r="GQ13" s="505"/>
      <c r="GR13" s="506"/>
      <c r="GS13" s="82">
        <v>0.4375</v>
      </c>
      <c r="GT13" s="504">
        <v>0.52083333333333315</v>
      </c>
      <c r="GU13" s="505"/>
      <c r="GV13" s="505"/>
      <c r="GW13" s="506"/>
      <c r="GX13" s="82">
        <v>0.52083333333333337</v>
      </c>
      <c r="GY13" s="504">
        <v>0.52083333333333337</v>
      </c>
      <c r="GZ13" s="505"/>
      <c r="HA13" s="505"/>
      <c r="HB13" s="506"/>
      <c r="HC13" s="82">
        <v>0.5</v>
      </c>
      <c r="HD13" s="504">
        <v>0.52083333333333315</v>
      </c>
      <c r="HE13" s="505"/>
      <c r="HF13" s="505"/>
      <c r="HG13" s="506"/>
      <c r="HH13" s="82">
        <v>0.52083333333333337</v>
      </c>
      <c r="HI13" s="479"/>
      <c r="HJ13" s="492" t="s">
        <v>857</v>
      </c>
      <c r="HK13" s="507" t="s">
        <v>1</v>
      </c>
      <c r="HL13" s="485"/>
      <c r="HM13" s="485"/>
      <c r="HN13" s="485"/>
      <c r="HO13" s="486"/>
      <c r="HP13" s="504">
        <v>0.52083333333333315</v>
      </c>
      <c r="HQ13" s="505"/>
      <c r="HR13" s="505"/>
      <c r="HS13" s="506"/>
      <c r="HT13" s="82">
        <v>0.5</v>
      </c>
      <c r="HU13" s="504">
        <v>0.52083333333333315</v>
      </c>
      <c r="HV13" s="505"/>
      <c r="HW13" s="505"/>
      <c r="HX13" s="506"/>
      <c r="HY13" s="82">
        <v>0.52083333333333304</v>
      </c>
      <c r="HZ13" s="504">
        <v>0.49999999999999978</v>
      </c>
      <c r="IA13" s="505"/>
      <c r="IB13" s="505"/>
      <c r="IC13" s="506"/>
      <c r="ID13" s="82">
        <v>0.52083333333333304</v>
      </c>
      <c r="IE13" s="504">
        <v>0.52083333333333315</v>
      </c>
      <c r="IF13" s="505"/>
      <c r="IG13" s="505"/>
      <c r="IH13" s="506"/>
      <c r="II13" s="82">
        <v>0.52083333333333304</v>
      </c>
      <c r="IJ13" s="478"/>
      <c r="IK13" s="525" t="s">
        <v>857</v>
      </c>
      <c r="IL13" s="507" t="s">
        <v>1</v>
      </c>
      <c r="IM13" s="485"/>
      <c r="IN13" s="485"/>
      <c r="IO13" s="485"/>
      <c r="IP13" s="486"/>
      <c r="IQ13" s="504">
        <v>0.52083333333333315</v>
      </c>
      <c r="IR13" s="505"/>
      <c r="IS13" s="505"/>
      <c r="IT13" s="506"/>
      <c r="IU13" s="82">
        <v>0.5</v>
      </c>
      <c r="IV13" s="504">
        <v>0.52083333333333315</v>
      </c>
      <c r="IW13" s="505"/>
      <c r="IX13" s="505"/>
      <c r="IY13" s="506"/>
      <c r="IZ13" s="82">
        <v>0.5</v>
      </c>
      <c r="JA13" s="504">
        <v>0.52083333333333315</v>
      </c>
      <c r="JB13" s="505"/>
      <c r="JC13" s="505"/>
      <c r="JD13" s="506"/>
      <c r="JE13" s="517"/>
      <c r="JF13" s="504">
        <v>0.49999999999999978</v>
      </c>
      <c r="JG13" s="505"/>
      <c r="JH13" s="505"/>
      <c r="JI13" s="506"/>
      <c r="JJ13" s="82">
        <v>0.54166666666666696</v>
      </c>
      <c r="JK13" s="479"/>
      <c r="JL13" s="492" t="s">
        <v>857</v>
      </c>
      <c r="JM13" s="507" t="s">
        <v>1</v>
      </c>
      <c r="JN13" s="485"/>
      <c r="JO13" s="485"/>
      <c r="JP13" s="485"/>
      <c r="JQ13" s="486"/>
      <c r="JR13" s="504">
        <v>0.49999999999999978</v>
      </c>
      <c r="JS13" s="505"/>
      <c r="JT13" s="505"/>
      <c r="JU13" s="506"/>
      <c r="JV13" s="82">
        <v>0.5</v>
      </c>
      <c r="JW13" s="504">
        <v>0.49999999999999978</v>
      </c>
      <c r="JX13" s="505"/>
      <c r="JY13" s="505"/>
      <c r="JZ13" s="506"/>
      <c r="KA13" s="82">
        <v>0.45833333333333298</v>
      </c>
      <c r="KB13" s="504">
        <v>0.52083333333333337</v>
      </c>
      <c r="KC13" s="505"/>
      <c r="KD13" s="505"/>
      <c r="KE13" s="506"/>
      <c r="KF13" s="82">
        <v>0.52083333333333304</v>
      </c>
      <c r="KG13" s="504">
        <v>0.52083333333333315</v>
      </c>
      <c r="KH13" s="505"/>
      <c r="KI13" s="505"/>
      <c r="KJ13" s="506"/>
      <c r="KK13" s="82">
        <v>0.52083333333333304</v>
      </c>
      <c r="KL13" s="479"/>
      <c r="KM13" s="492" t="s">
        <v>857</v>
      </c>
      <c r="KN13" s="507" t="s">
        <v>1</v>
      </c>
      <c r="KO13" s="485"/>
      <c r="KP13" s="485"/>
      <c r="KQ13" s="485"/>
      <c r="KR13" s="486"/>
      <c r="KS13" s="504">
        <v>0.52083333333333315</v>
      </c>
      <c r="KT13" s="505"/>
      <c r="KU13" s="505"/>
      <c r="KV13" s="506"/>
      <c r="KW13" s="82">
        <v>0.52083333333333304</v>
      </c>
      <c r="KX13" s="504">
        <v>0.52083333333333315</v>
      </c>
      <c r="KY13" s="505"/>
      <c r="KZ13" s="505"/>
      <c r="LA13" s="506"/>
      <c r="LB13" s="82">
        <v>0.52083333333333304</v>
      </c>
      <c r="LC13" s="504">
        <v>0.52083333333333315</v>
      </c>
      <c r="LD13" s="505"/>
      <c r="LE13" s="505"/>
      <c r="LF13" s="506"/>
      <c r="LG13" s="82">
        <v>0.45833333333333298</v>
      </c>
      <c r="LH13" s="504">
        <v>0.43749999999999983</v>
      </c>
      <c r="LI13" s="505"/>
      <c r="LJ13" s="505"/>
      <c r="LK13" s="506"/>
      <c r="LL13" s="82">
        <v>0.45833333333333298</v>
      </c>
      <c r="LM13" s="479"/>
      <c r="LN13" s="492" t="s">
        <v>857</v>
      </c>
      <c r="LO13" s="507" t="s">
        <v>1</v>
      </c>
      <c r="LP13" s="485"/>
      <c r="LQ13" s="485"/>
      <c r="LR13" s="485"/>
      <c r="LS13" s="486"/>
      <c r="LT13" s="504">
        <v>0.52083333333333315</v>
      </c>
      <c r="LU13" s="505"/>
      <c r="LV13" s="505"/>
      <c r="LW13" s="506"/>
      <c r="LX13" s="517"/>
      <c r="LY13" s="504">
        <v>0.52083333333333315</v>
      </c>
      <c r="LZ13" s="505"/>
      <c r="MA13" s="505"/>
      <c r="MB13" s="506"/>
      <c r="MC13" s="82">
        <v>0.60416666666666696</v>
      </c>
      <c r="MD13" s="504">
        <v>0.52083333333333315</v>
      </c>
      <c r="ME13" s="505"/>
      <c r="MF13" s="505"/>
      <c r="MG13" s="506"/>
      <c r="MH13" s="517"/>
      <c r="MI13" s="504">
        <v>0.52083333333333315</v>
      </c>
      <c r="MJ13" s="505"/>
      <c r="MK13" s="505"/>
      <c r="ML13" s="506"/>
      <c r="MM13" s="82">
        <v>0.52083333333333304</v>
      </c>
      <c r="MN13" s="479"/>
      <c r="MO13" s="492" t="s">
        <v>857</v>
      </c>
      <c r="MP13" s="507" t="s">
        <v>1</v>
      </c>
      <c r="MQ13" s="485"/>
      <c r="MR13" s="485"/>
      <c r="MS13" s="485"/>
      <c r="MT13" s="486"/>
      <c r="MU13" s="504">
        <v>0.47916666666666646</v>
      </c>
      <c r="MV13" s="505"/>
      <c r="MW13" s="505"/>
      <c r="MX13" s="506"/>
      <c r="MY13" s="82">
        <v>0.39583333333333331</v>
      </c>
      <c r="MZ13" s="504">
        <v>0.49999999999999978</v>
      </c>
      <c r="NA13" s="505"/>
      <c r="NB13" s="505"/>
      <c r="NC13" s="506"/>
      <c r="ND13" s="517"/>
      <c r="NE13" s="504">
        <v>0.52083333333333337</v>
      </c>
      <c r="NF13" s="505"/>
      <c r="NG13" s="505"/>
      <c r="NH13" s="506"/>
      <c r="NI13" s="82">
        <v>0.500000000000001</v>
      </c>
      <c r="NJ13" s="504">
        <v>0.49999999999999978</v>
      </c>
      <c r="NK13" s="505"/>
      <c r="NL13" s="505"/>
      <c r="NM13" s="506"/>
      <c r="NN13" s="82">
        <v>0.500000000000001</v>
      </c>
      <c r="NO13" s="479"/>
      <c r="NP13" s="492" t="s">
        <v>857</v>
      </c>
      <c r="NQ13" s="507" t="s">
        <v>1</v>
      </c>
      <c r="NR13" s="485"/>
      <c r="NS13" s="485"/>
      <c r="NT13" s="485"/>
      <c r="NU13" s="486"/>
      <c r="NV13" s="504">
        <v>0.52083333333333315</v>
      </c>
      <c r="NW13" s="505"/>
      <c r="NX13" s="505"/>
      <c r="NY13" s="506"/>
      <c r="NZ13" s="517"/>
      <c r="OA13" s="504">
        <v>0.47916666666666646</v>
      </c>
      <c r="OB13" s="505"/>
      <c r="OC13" s="505"/>
      <c r="OD13" s="506"/>
      <c r="OE13" s="82">
        <v>0.47916666666666702</v>
      </c>
      <c r="OF13" s="504">
        <v>0.52083333333333315</v>
      </c>
      <c r="OG13" s="505"/>
      <c r="OH13" s="505"/>
      <c r="OI13" s="506"/>
      <c r="OJ13" s="517"/>
      <c r="OK13" s="504">
        <v>0.52083333333333315</v>
      </c>
      <c r="OL13" s="505"/>
      <c r="OM13" s="505"/>
      <c r="ON13" s="506"/>
      <c r="OO13" s="517"/>
      <c r="OP13" s="479"/>
      <c r="OQ13" s="492" t="s">
        <v>857</v>
      </c>
      <c r="OR13" s="507" t="s">
        <v>1</v>
      </c>
      <c r="OS13" s="485"/>
      <c r="OT13" s="485"/>
      <c r="OU13" s="485"/>
      <c r="OV13" s="486"/>
      <c r="OW13" s="504">
        <v>0.52083333333333315</v>
      </c>
      <c r="OX13" s="505"/>
      <c r="OY13" s="505"/>
      <c r="OZ13" s="506"/>
      <c r="PA13" s="517"/>
      <c r="PB13" s="504">
        <v>0.52083333333333315</v>
      </c>
      <c r="PC13" s="505"/>
      <c r="PD13" s="505"/>
      <c r="PE13" s="506"/>
      <c r="PF13" s="82">
        <v>0.52083333333333504</v>
      </c>
      <c r="PG13" s="504">
        <v>0.52083333333333315</v>
      </c>
      <c r="PH13" s="505"/>
      <c r="PI13" s="505"/>
      <c r="PJ13" s="506"/>
      <c r="PK13" s="82">
        <v>0.41666666666666702</v>
      </c>
      <c r="PL13" s="504">
        <v>0.52083333333333315</v>
      </c>
      <c r="PM13" s="505"/>
      <c r="PN13" s="505"/>
      <c r="PO13" s="506"/>
      <c r="PP13" s="82">
        <v>0.47916666666666702</v>
      </c>
      <c r="PQ13" s="479"/>
      <c r="PR13" s="492" t="s">
        <v>857</v>
      </c>
      <c r="PS13" s="507" t="s">
        <v>1</v>
      </c>
      <c r="PT13" s="485"/>
      <c r="PU13" s="485"/>
      <c r="PV13" s="485"/>
      <c r="PW13" s="486"/>
      <c r="PX13" s="504">
        <v>0.49999999999999978</v>
      </c>
      <c r="PY13" s="505"/>
      <c r="PZ13" s="505"/>
      <c r="QA13" s="506"/>
      <c r="QB13" s="517"/>
      <c r="QC13" s="504">
        <v>0.52083333333333315</v>
      </c>
      <c r="QD13" s="505"/>
      <c r="QE13" s="505"/>
      <c r="QF13" s="506"/>
      <c r="QG13" s="82">
        <v>0.500000000000001</v>
      </c>
      <c r="QH13" s="504">
        <v>0.52083333333333315</v>
      </c>
      <c r="QI13" s="505"/>
      <c r="QJ13" s="505"/>
      <c r="QK13" s="506"/>
      <c r="QL13" s="517"/>
      <c r="QM13" s="504">
        <v>0.49999999999999978</v>
      </c>
      <c r="QN13" s="505"/>
      <c r="QO13" s="505"/>
      <c r="QP13" s="506"/>
      <c r="QQ13" s="517"/>
      <c r="QR13" s="479"/>
      <c r="QS13" s="492" t="s">
        <v>857</v>
      </c>
      <c r="QT13" s="507" t="s">
        <v>1</v>
      </c>
      <c r="QU13" s="485"/>
      <c r="QV13" s="485"/>
      <c r="QW13" s="485"/>
      <c r="QX13" s="486"/>
      <c r="QY13" s="504">
        <v>0.52083333333333315</v>
      </c>
      <c r="QZ13" s="505"/>
      <c r="RA13" s="505"/>
      <c r="RB13" s="506"/>
      <c r="RC13" s="517"/>
      <c r="RD13" s="504">
        <v>0.49999999999999978</v>
      </c>
      <c r="RE13" s="505"/>
      <c r="RF13" s="505"/>
      <c r="RG13" s="506"/>
      <c r="RH13" s="517"/>
      <c r="RI13" s="504">
        <v>0.41666666666666652</v>
      </c>
      <c r="RJ13" s="505"/>
      <c r="RK13" s="505"/>
      <c r="RL13" s="506"/>
      <c r="RM13" s="517"/>
      <c r="RN13" s="504">
        <v>0.52083333333333315</v>
      </c>
      <c r="RO13" s="505"/>
      <c r="RP13" s="505"/>
      <c r="RQ13" s="506"/>
      <c r="RR13" s="517"/>
      <c r="RS13" s="479"/>
      <c r="RT13" s="492" t="s">
        <v>857</v>
      </c>
      <c r="RU13" s="507" t="s">
        <v>1</v>
      </c>
      <c r="RV13" s="485"/>
      <c r="RW13" s="485"/>
      <c r="RX13" s="485"/>
      <c r="RY13" s="486"/>
      <c r="RZ13" s="504">
        <v>0.52083333333333315</v>
      </c>
      <c r="SA13" s="505"/>
      <c r="SB13" s="505"/>
      <c r="SC13" s="506"/>
      <c r="SD13" s="517"/>
      <c r="SE13" s="504">
        <v>0.49999999999999978</v>
      </c>
      <c r="SF13" s="505"/>
      <c r="SG13" s="505"/>
      <c r="SH13" s="506"/>
      <c r="SI13" s="517"/>
      <c r="SJ13" s="504">
        <v>0.52083333333333315</v>
      </c>
      <c r="SK13" s="505"/>
      <c r="SL13" s="505"/>
      <c r="SM13" s="506"/>
      <c r="SN13" s="517"/>
      <c r="SO13" s="504">
        <v>0.45833333333333315</v>
      </c>
      <c r="SP13" s="505"/>
      <c r="SQ13" s="505"/>
      <c r="SR13" s="506"/>
      <c r="SS13" s="517"/>
      <c r="ST13" s="479"/>
      <c r="SU13" s="492" t="s">
        <v>857</v>
      </c>
      <c r="SV13" s="507" t="s">
        <v>1</v>
      </c>
      <c r="SW13" s="485"/>
      <c r="SX13" s="485"/>
      <c r="SY13" s="485"/>
      <c r="SZ13" s="486"/>
      <c r="TA13" s="504">
        <v>0.52083333333333315</v>
      </c>
      <c r="TB13" s="505"/>
      <c r="TC13" s="505"/>
      <c r="TD13" s="506"/>
      <c r="TE13" s="517"/>
      <c r="TF13" s="504">
        <v>0.43749999999999983</v>
      </c>
      <c r="TG13" s="505"/>
      <c r="TH13" s="505"/>
      <c r="TI13" s="506"/>
      <c r="TJ13" s="517"/>
      <c r="TK13" s="504">
        <v>0.43749999999999983</v>
      </c>
      <c r="TL13" s="505"/>
      <c r="TM13" s="505"/>
      <c r="TN13" s="506"/>
      <c r="TO13" s="517"/>
      <c r="TP13" s="504">
        <v>0.43749999999999983</v>
      </c>
      <c r="TQ13" s="505"/>
      <c r="TR13" s="505"/>
      <c r="TS13" s="506"/>
      <c r="TT13" s="517"/>
      <c r="TU13" s="479"/>
      <c r="TV13" s="492" t="s">
        <v>857</v>
      </c>
      <c r="TW13" s="507" t="s">
        <v>1</v>
      </c>
      <c r="TX13" s="485"/>
      <c r="TY13" s="485"/>
      <c r="TZ13" s="485"/>
      <c r="UA13" s="486"/>
      <c r="UB13" s="504">
        <v>0.43749999999999983</v>
      </c>
      <c r="UC13" s="505"/>
      <c r="UD13" s="505"/>
      <c r="UE13" s="506"/>
      <c r="UF13" s="517"/>
      <c r="UG13" s="504">
        <v>0.5</v>
      </c>
      <c r="UH13" s="505"/>
      <c r="UI13" s="505"/>
      <c r="UJ13" s="506"/>
      <c r="UK13" s="517"/>
      <c r="UL13" s="504">
        <v>0.49999999999999978</v>
      </c>
      <c r="UM13" s="505"/>
      <c r="UN13" s="505"/>
      <c r="UO13" s="506"/>
      <c r="UP13" s="517"/>
      <c r="UQ13" s="504">
        <v>0.49999999999999978</v>
      </c>
      <c r="UR13" s="505"/>
      <c r="US13" s="505"/>
      <c r="UT13" s="506"/>
      <c r="UU13" s="82">
        <v>0.4375</v>
      </c>
      <c r="UV13" s="479"/>
      <c r="UW13" s="492" t="s">
        <v>857</v>
      </c>
      <c r="UX13" s="507" t="s">
        <v>1</v>
      </c>
      <c r="UY13" s="485"/>
      <c r="UZ13" s="485"/>
      <c r="VA13" s="485"/>
      <c r="VB13" s="486"/>
      <c r="VC13" s="504">
        <v>0.49999999999999978</v>
      </c>
      <c r="VD13" s="505"/>
      <c r="VE13" s="505"/>
      <c r="VF13" s="506"/>
      <c r="VG13" s="517"/>
      <c r="VH13" s="504">
        <v>0.49999999999999978</v>
      </c>
      <c r="VI13" s="505"/>
      <c r="VJ13" s="505"/>
      <c r="VK13" s="506"/>
      <c r="VL13" s="517"/>
      <c r="VM13" s="504">
        <v>0.49999999999999978</v>
      </c>
      <c r="VN13" s="505"/>
      <c r="VO13" s="505"/>
      <c r="VP13" s="506"/>
      <c r="VQ13" s="517"/>
      <c r="VR13" s="504">
        <v>0.4375</v>
      </c>
      <c r="VS13" s="505"/>
      <c r="VT13" s="505"/>
      <c r="VU13" s="506"/>
      <c r="VV13" s="517"/>
      <c r="VW13" s="479"/>
      <c r="VX13" s="492" t="s">
        <v>857</v>
      </c>
      <c r="VY13" s="507" t="s">
        <v>1</v>
      </c>
      <c r="VZ13" s="485"/>
      <c r="WA13" s="485"/>
      <c r="WB13" s="485"/>
      <c r="WC13" s="486"/>
      <c r="WD13" s="504">
        <v>0.49999999999999978</v>
      </c>
      <c r="WE13" s="505"/>
      <c r="WF13" s="505"/>
      <c r="WG13" s="506"/>
      <c r="WH13" s="517"/>
      <c r="WI13" s="504">
        <v>0.47916666666666646</v>
      </c>
      <c r="WJ13" s="505"/>
      <c r="WK13" s="505"/>
      <c r="WL13" s="506"/>
      <c r="WM13" s="517"/>
      <c r="WN13" s="504">
        <v>0.45833333333333331</v>
      </c>
      <c r="WO13" s="505"/>
      <c r="WP13" s="505"/>
      <c r="WQ13" s="506"/>
      <c r="WR13" s="517"/>
      <c r="WS13" s="504">
        <v>0.43749999999999983</v>
      </c>
      <c r="WT13" s="505"/>
      <c r="WU13" s="505"/>
      <c r="WV13" s="506"/>
      <c r="WW13" s="82">
        <v>0.45833333333333298</v>
      </c>
      <c r="WX13" s="479"/>
      <c r="WY13" s="492" t="s">
        <v>857</v>
      </c>
      <c r="WZ13" s="507" t="s">
        <v>1</v>
      </c>
      <c r="XA13" s="485"/>
      <c r="XB13" s="485"/>
      <c r="XC13" s="485"/>
      <c r="XD13" s="486"/>
      <c r="XE13" s="504">
        <v>0.49999999999999978</v>
      </c>
      <c r="XF13" s="505"/>
      <c r="XG13" s="505"/>
      <c r="XH13" s="506"/>
      <c r="XI13" s="517"/>
      <c r="XJ13" s="504">
        <v>0.52083333333333337</v>
      </c>
      <c r="XK13" s="505"/>
      <c r="XL13" s="505"/>
      <c r="XM13" s="506"/>
      <c r="XN13" s="517"/>
      <c r="XO13" s="504">
        <v>0.49999999999999978</v>
      </c>
      <c r="XP13" s="505"/>
      <c r="XQ13" s="505"/>
      <c r="XR13" s="506"/>
      <c r="XS13" s="82">
        <v>0.4375</v>
      </c>
      <c r="XT13" s="504">
        <v>0.45833333333333315</v>
      </c>
      <c r="XU13" s="505"/>
      <c r="XV13" s="505"/>
      <c r="XW13" s="506"/>
      <c r="XX13" s="82">
        <v>0.41666666666666702</v>
      </c>
      <c r="XY13" s="479"/>
      <c r="XZ13" s="492" t="s">
        <v>857</v>
      </c>
      <c r="YA13" s="507" t="s">
        <v>1</v>
      </c>
      <c r="YB13" s="485"/>
      <c r="YC13" s="485"/>
      <c r="YD13" s="485"/>
      <c r="YE13" s="486"/>
      <c r="YF13" s="504">
        <v>0.49999999999999978</v>
      </c>
      <c r="YG13" s="505"/>
      <c r="YH13" s="505"/>
      <c r="YI13" s="506"/>
      <c r="YJ13" s="517"/>
      <c r="YK13" s="504">
        <v>0.43749999999999983</v>
      </c>
      <c r="YL13" s="505"/>
      <c r="YM13" s="505"/>
      <c r="YN13" s="506"/>
      <c r="YO13" s="517"/>
      <c r="YP13" s="504">
        <v>0.47916666666666646</v>
      </c>
      <c r="YQ13" s="505"/>
      <c r="YR13" s="505"/>
      <c r="YS13" s="506"/>
      <c r="YT13" s="82">
        <v>0.47916666666666702</v>
      </c>
      <c r="YU13" s="504">
        <v>0.47916666666666646</v>
      </c>
      <c r="YV13" s="505"/>
      <c r="YW13" s="505"/>
      <c r="YX13" s="506"/>
      <c r="YY13" s="82">
        <v>0.45833333333333298</v>
      </c>
      <c r="YZ13" s="479"/>
      <c r="ZA13" s="492" t="s">
        <v>857</v>
      </c>
      <c r="ZB13" s="507" t="s">
        <v>1</v>
      </c>
      <c r="ZC13" s="485"/>
      <c r="ZD13" s="485"/>
      <c r="ZE13" s="485"/>
      <c r="ZF13" s="486"/>
      <c r="ZG13" s="504">
        <v>0.49999999999999978</v>
      </c>
      <c r="ZH13" s="505"/>
      <c r="ZI13" s="505"/>
      <c r="ZJ13" s="506"/>
      <c r="ZK13" s="493"/>
      <c r="ZL13" s="504">
        <v>0.49999999999999978</v>
      </c>
      <c r="ZM13" s="505"/>
      <c r="ZN13" s="505"/>
      <c r="ZO13" s="506"/>
      <c r="ZP13" s="493"/>
      <c r="ZQ13" s="504">
        <v>0.43749999999999983</v>
      </c>
      <c r="ZR13" s="505"/>
      <c r="ZS13" s="505"/>
      <c r="ZT13" s="506"/>
      <c r="ZU13" s="82">
        <v>0.500000000000001</v>
      </c>
      <c r="ZV13" s="504">
        <v>0.47916666666666646</v>
      </c>
      <c r="ZW13" s="505"/>
      <c r="ZX13" s="505"/>
      <c r="ZY13" s="506"/>
      <c r="ZZ13" s="82">
        <v>0.500000000000001</v>
      </c>
      <c r="AAA13" s="479"/>
      <c r="AAB13" s="492" t="s">
        <v>857</v>
      </c>
      <c r="AAC13" s="507" t="s">
        <v>1</v>
      </c>
      <c r="AAD13" s="485"/>
      <c r="AAE13" s="485"/>
      <c r="AAF13" s="485"/>
      <c r="AAG13" s="486"/>
      <c r="AAH13" s="504">
        <v>0.52083333333333337</v>
      </c>
      <c r="AAI13" s="505"/>
      <c r="AAJ13" s="505"/>
      <c r="AAK13" s="506"/>
      <c r="AAL13" s="82">
        <v>0.52083333333333504</v>
      </c>
      <c r="AAM13" s="504">
        <v>0.49999999999999978</v>
      </c>
      <c r="AAN13" s="505"/>
      <c r="AAO13" s="505"/>
      <c r="AAP13" s="506"/>
      <c r="AAQ13" s="493"/>
      <c r="AAR13" s="504">
        <v>0.52083333333333315</v>
      </c>
      <c r="AAS13" s="505"/>
      <c r="AAT13" s="505"/>
      <c r="AAU13" s="506"/>
      <c r="AAV13" s="493"/>
      <c r="AAW13" s="504">
        <v>0.49999999999999978</v>
      </c>
      <c r="AAX13" s="505"/>
      <c r="AAY13" s="505"/>
      <c r="AAZ13" s="506"/>
      <c r="ABA13" s="493"/>
      <c r="ABB13" s="479"/>
      <c r="ABC13" s="492" t="s">
        <v>857</v>
      </c>
      <c r="ABD13" s="507" t="s">
        <v>1</v>
      </c>
      <c r="ABE13" s="485"/>
      <c r="ABF13" s="485"/>
      <c r="ABG13" s="485"/>
      <c r="ABH13" s="486"/>
      <c r="ABI13" s="504">
        <v>0.49999999999999978</v>
      </c>
      <c r="ABJ13" s="505"/>
      <c r="ABK13" s="505"/>
      <c r="ABL13" s="506"/>
      <c r="ABM13" s="82">
        <v>0.52083333333333504</v>
      </c>
      <c r="ABN13" s="504">
        <v>0.49999999999999978</v>
      </c>
      <c r="ABO13" s="505"/>
      <c r="ABP13" s="505"/>
      <c r="ABQ13" s="506"/>
      <c r="ABR13" s="82">
        <v>0.500000000000001</v>
      </c>
      <c r="ABS13" s="504">
        <v>0.49999999999999978</v>
      </c>
      <c r="ABT13" s="505"/>
      <c r="ABU13" s="505"/>
      <c r="ABV13" s="506"/>
      <c r="ABW13" s="493"/>
      <c r="ABX13" s="504">
        <v>0.49999999999999978</v>
      </c>
      <c r="ABY13" s="505"/>
      <c r="ABZ13" s="505"/>
      <c r="ACA13" s="506"/>
      <c r="ACB13" s="82">
        <v>0.52083333333333337</v>
      </c>
      <c r="ACC13" s="479"/>
      <c r="ACD13" s="492" t="s">
        <v>857</v>
      </c>
      <c r="ACE13" s="507" t="s">
        <v>1</v>
      </c>
      <c r="ACF13" s="485"/>
      <c r="ACG13" s="485"/>
      <c r="ACH13" s="485"/>
      <c r="ACI13" s="486"/>
      <c r="ACJ13" s="504">
        <v>0.49999999999999978</v>
      </c>
      <c r="ACK13" s="505"/>
      <c r="ACL13" s="505"/>
      <c r="ACM13" s="506"/>
      <c r="ACN13" s="82">
        <v>0.52083333333333504</v>
      </c>
      <c r="ACO13" s="504">
        <v>0.52083333333333315</v>
      </c>
      <c r="ACP13" s="505"/>
      <c r="ACQ13" s="505"/>
      <c r="ACR13" s="506"/>
      <c r="ACS13" s="82">
        <v>0.52083333333333504</v>
      </c>
      <c r="ACT13" s="504">
        <v>0.52083333333333315</v>
      </c>
      <c r="ACU13" s="505"/>
      <c r="ACV13" s="505"/>
      <c r="ACW13" s="506"/>
      <c r="ACX13" s="82">
        <v>0.45833333333333331</v>
      </c>
      <c r="ACY13" s="504">
        <v>0.49999999999999978</v>
      </c>
      <c r="ACZ13" s="505"/>
      <c r="ADA13" s="505"/>
      <c r="ADB13" s="506"/>
      <c r="ADC13" s="493"/>
      <c r="ADD13" s="479"/>
      <c r="ADE13" s="492" t="s">
        <v>857</v>
      </c>
      <c r="ADF13" s="507" t="s">
        <v>1</v>
      </c>
      <c r="ADG13" s="485"/>
      <c r="ADH13" s="485"/>
      <c r="ADI13" s="485"/>
      <c r="ADJ13" s="486"/>
      <c r="ADK13" s="504">
        <v>0.47916666666666669</v>
      </c>
      <c r="ADL13" s="505"/>
      <c r="ADM13" s="505"/>
      <c r="ADN13" s="506"/>
      <c r="ADO13" s="82">
        <v>0.4375</v>
      </c>
      <c r="ADP13" s="504">
        <v>0.52083333333333315</v>
      </c>
      <c r="ADQ13" s="505"/>
      <c r="ADR13" s="505"/>
      <c r="ADS13" s="506"/>
      <c r="ADT13" s="82">
        <v>0.52083333333333504</v>
      </c>
      <c r="ADU13" s="504">
        <v>0.52083333333333315</v>
      </c>
      <c r="ADV13" s="505"/>
      <c r="ADW13" s="505"/>
      <c r="ADX13" s="506"/>
      <c r="ADY13" s="82">
        <v>0.52083333333333504</v>
      </c>
      <c r="ADZ13" s="504">
        <v>0.52083333333333315</v>
      </c>
      <c r="AEA13" s="505"/>
      <c r="AEB13" s="505"/>
      <c r="AEC13" s="506"/>
      <c r="AED13" s="82">
        <v>0.500000000000001</v>
      </c>
      <c r="AEE13" s="479"/>
      <c r="AEF13" s="492" t="s">
        <v>857</v>
      </c>
      <c r="AEG13" s="507" t="s">
        <v>1</v>
      </c>
      <c r="AEH13" s="485"/>
      <c r="AEI13" s="485"/>
      <c r="AEJ13" s="485"/>
      <c r="AEK13" s="486"/>
      <c r="AEL13" s="504">
        <v>0.52083333333333315</v>
      </c>
      <c r="AEM13" s="505"/>
      <c r="AEN13" s="505"/>
      <c r="AEO13" s="506"/>
      <c r="AEP13" s="82">
        <v>0.500000000000001</v>
      </c>
      <c r="AEQ13" s="504">
        <v>0.49999999999999978</v>
      </c>
      <c r="AER13" s="505"/>
      <c r="AES13" s="505"/>
      <c r="AET13" s="506"/>
      <c r="AEU13" s="82">
        <v>0.52083333333333504</v>
      </c>
      <c r="AEV13" s="504">
        <v>0.47916666666666669</v>
      </c>
      <c r="AEW13" s="505"/>
      <c r="AEX13" s="505"/>
      <c r="AEY13" s="506"/>
      <c r="AEZ13" s="82">
        <v>0.500000000000001</v>
      </c>
      <c r="AFA13" s="504">
        <v>0.52083333333333315</v>
      </c>
      <c r="AFB13" s="505"/>
      <c r="AFC13" s="505"/>
      <c r="AFD13" s="506"/>
      <c r="AFE13" s="82">
        <v>0.500000000000001</v>
      </c>
      <c r="AFF13" s="479"/>
      <c r="AFG13" s="492" t="s">
        <v>857</v>
      </c>
      <c r="AFH13" s="507" t="s">
        <v>1</v>
      </c>
      <c r="AFI13" s="485"/>
      <c r="AFJ13" s="485"/>
      <c r="AFK13" s="485"/>
      <c r="AFL13" s="486"/>
      <c r="AFM13" s="504">
        <v>0.52083333333333315</v>
      </c>
      <c r="AFN13" s="505"/>
      <c r="AFO13" s="505"/>
      <c r="AFP13" s="506"/>
      <c r="AFQ13" s="82">
        <v>0.500000000000001</v>
      </c>
      <c r="AFR13" s="504">
        <v>0.52083333333333315</v>
      </c>
      <c r="AFS13" s="505"/>
      <c r="AFT13" s="505"/>
      <c r="AFU13" s="506"/>
      <c r="AFV13" s="82">
        <v>0.500000000000001</v>
      </c>
      <c r="AFW13" s="504">
        <v>0.52083333333333315</v>
      </c>
      <c r="AFX13" s="505"/>
      <c r="AFY13" s="505"/>
      <c r="AFZ13" s="506"/>
      <c r="AGA13" s="82">
        <v>0.52083333333333504</v>
      </c>
      <c r="AGB13" s="504">
        <v>0.52083333333333315</v>
      </c>
      <c r="AGC13" s="505"/>
      <c r="AGD13" s="505"/>
      <c r="AGE13" s="506"/>
      <c r="AGF13" s="82">
        <v>0.500000000000001</v>
      </c>
      <c r="AGG13" s="479"/>
      <c r="AGH13" s="492" t="s">
        <v>857</v>
      </c>
      <c r="AGI13" s="507" t="s">
        <v>1</v>
      </c>
      <c r="AGJ13" s="485"/>
      <c r="AGK13" s="485"/>
      <c r="AGL13" s="485"/>
      <c r="AGM13" s="486"/>
      <c r="AGN13" s="504">
        <v>0.49999999999999978</v>
      </c>
      <c r="AGO13" s="505"/>
      <c r="AGP13" s="505"/>
      <c r="AGQ13" s="506"/>
      <c r="AGR13" s="82">
        <v>0.52083333333333337</v>
      </c>
      <c r="AGS13" s="504">
        <v>0.47916666666666646</v>
      </c>
      <c r="AGT13" s="505"/>
      <c r="AGU13" s="505"/>
      <c r="AGV13" s="506"/>
      <c r="AGW13" s="82">
        <v>0.47916666666666702</v>
      </c>
      <c r="AGX13" s="504">
        <v>0.52083333333333315</v>
      </c>
      <c r="AGY13" s="505"/>
      <c r="AGZ13" s="505"/>
      <c r="AHA13" s="506"/>
      <c r="AHB13" s="82">
        <v>0.52083333333333337</v>
      </c>
      <c r="AHC13" s="504">
        <v>0.49999999999999978</v>
      </c>
      <c r="AHD13" s="505"/>
      <c r="AHE13" s="505"/>
      <c r="AHF13" s="506"/>
      <c r="AHG13" s="82">
        <v>0.5</v>
      </c>
      <c r="AHH13" s="479"/>
      <c r="AHI13" s="492" t="s">
        <v>857</v>
      </c>
      <c r="AHJ13" s="507" t="s">
        <v>1</v>
      </c>
      <c r="AHK13" s="485"/>
      <c r="AHL13" s="485"/>
      <c r="AHM13" s="485"/>
      <c r="AHN13" s="486"/>
      <c r="AHO13" s="504">
        <v>0.52083333333333315</v>
      </c>
      <c r="AHP13" s="505"/>
      <c r="AHQ13" s="505"/>
      <c r="AHR13" s="506"/>
      <c r="AHS13" s="82">
        <v>0.5</v>
      </c>
      <c r="AHT13" s="504">
        <v>0.52083333333333315</v>
      </c>
      <c r="AHU13" s="505"/>
      <c r="AHV13" s="505"/>
      <c r="AHW13" s="506"/>
      <c r="AHX13" s="82">
        <v>0.500000000000001</v>
      </c>
      <c r="AHY13" s="504">
        <v>0.49999999999999978</v>
      </c>
      <c r="AHZ13" s="505"/>
      <c r="AIA13" s="505"/>
      <c r="AIB13" s="506"/>
      <c r="AIC13" s="82">
        <v>0.500000000000001</v>
      </c>
      <c r="AID13" s="504">
        <v>0.49999999999999978</v>
      </c>
      <c r="AIE13" s="505"/>
      <c r="AIF13" s="505"/>
      <c r="AIG13" s="506"/>
      <c r="AIH13" s="82">
        <v>0.45833333333333298</v>
      </c>
      <c r="AII13" s="479"/>
      <c r="AIJ13" s="492" t="s">
        <v>857</v>
      </c>
      <c r="AIK13" s="507" t="s">
        <v>1</v>
      </c>
      <c r="AIL13" s="485"/>
      <c r="AIM13" s="485"/>
      <c r="AIN13" s="485"/>
      <c r="AIO13" s="486"/>
      <c r="AIP13" s="504">
        <v>0.47916666666666646</v>
      </c>
      <c r="AIQ13" s="505"/>
      <c r="AIR13" s="505"/>
      <c r="AIS13" s="506"/>
      <c r="AIT13" s="82">
        <v>0.47916666666666702</v>
      </c>
      <c r="AIU13" s="504">
        <v>0.49999999999999978</v>
      </c>
      <c r="AIV13" s="505"/>
      <c r="AIW13" s="505"/>
      <c r="AIX13" s="506"/>
      <c r="AIY13" s="82">
        <v>0.500000000000001</v>
      </c>
      <c r="AIZ13" s="504">
        <v>0.49999999999999978</v>
      </c>
      <c r="AJA13" s="505"/>
      <c r="AJB13" s="505"/>
      <c r="AJC13" s="506"/>
      <c r="AJD13" s="82">
        <v>0.52083333333333504</v>
      </c>
      <c r="AJE13" s="504">
        <v>0.52083333333333315</v>
      </c>
      <c r="AJF13" s="505"/>
      <c r="AJG13" s="505"/>
      <c r="AJH13" s="506"/>
      <c r="AJI13" s="490"/>
      <c r="AJJ13" s="479"/>
      <c r="AJK13" s="492" t="s">
        <v>857</v>
      </c>
      <c r="AJL13" s="507" t="s">
        <v>1</v>
      </c>
      <c r="AJM13" s="485"/>
      <c r="AJN13" s="485"/>
      <c r="AJO13" s="485"/>
      <c r="AJP13" s="486"/>
      <c r="AJQ13" s="504">
        <v>0.49999999999999978</v>
      </c>
      <c r="AJR13" s="505"/>
      <c r="AJS13" s="505"/>
      <c r="AJT13" s="506"/>
      <c r="AJU13" s="82">
        <v>0.45833333333333298</v>
      </c>
      <c r="AJV13" s="504">
        <v>0.54166666666666652</v>
      </c>
      <c r="AJW13" s="505"/>
      <c r="AJX13" s="505"/>
      <c r="AJY13" s="506"/>
      <c r="AJZ13" s="490"/>
      <c r="AKA13" s="504">
        <v>0.49999999999999978</v>
      </c>
      <c r="AKB13" s="505"/>
      <c r="AKC13" s="505"/>
      <c r="AKD13" s="506"/>
      <c r="AKE13" s="490"/>
      <c r="AKF13" s="504">
        <v>0.49999999999999978</v>
      </c>
      <c r="AKG13" s="505"/>
      <c r="AKH13" s="505"/>
      <c r="AKI13" s="506"/>
      <c r="AKJ13" s="490"/>
      <c r="AKK13" s="479"/>
      <c r="AKL13" s="492" t="s">
        <v>857</v>
      </c>
      <c r="AKM13" s="507" t="s">
        <v>1</v>
      </c>
      <c r="AKN13" s="485"/>
      <c r="AKO13" s="485"/>
      <c r="AKP13" s="485"/>
      <c r="AKQ13" s="486"/>
      <c r="AKR13" s="504">
        <v>0.49999999999999978</v>
      </c>
      <c r="AKS13" s="505"/>
      <c r="AKT13" s="505"/>
      <c r="AKU13" s="506"/>
      <c r="AKV13" s="490"/>
      <c r="AKW13" s="504">
        <v>0.52083333333333315</v>
      </c>
      <c r="AKX13" s="505"/>
      <c r="AKY13" s="505"/>
      <c r="AKZ13" s="506"/>
      <c r="ALA13" s="490"/>
      <c r="ALB13" s="504">
        <v>0.47916666666666646</v>
      </c>
      <c r="ALC13" s="505"/>
      <c r="ALD13" s="505"/>
      <c r="ALE13" s="506"/>
      <c r="ALF13" s="82">
        <v>0.47916666666666702</v>
      </c>
      <c r="ALG13" s="504">
        <v>0.49999999999999978</v>
      </c>
      <c r="ALH13" s="505"/>
      <c r="ALI13" s="505"/>
      <c r="ALJ13" s="506"/>
      <c r="ALK13" s="82">
        <v>0.52083333333333504</v>
      </c>
      <c r="ALL13" s="479"/>
      <c r="ALM13" s="492" t="s">
        <v>857</v>
      </c>
      <c r="ALN13" s="507" t="s">
        <v>1</v>
      </c>
      <c r="ALO13" s="485"/>
      <c r="ALP13" s="485"/>
      <c r="ALQ13" s="485"/>
      <c r="ALR13" s="486"/>
      <c r="ALS13" s="504">
        <v>0.49999999999999978</v>
      </c>
      <c r="ALT13" s="505"/>
      <c r="ALU13" s="505"/>
      <c r="ALV13" s="506"/>
      <c r="ALW13" s="82">
        <v>0.52083333333333337</v>
      </c>
      <c r="ALX13" s="504">
        <v>0.49999999999999978</v>
      </c>
      <c r="ALY13" s="505"/>
      <c r="ALZ13" s="505"/>
      <c r="AMA13" s="506"/>
      <c r="AMB13" s="82">
        <v>0.52083333333333504</v>
      </c>
      <c r="AMC13" s="504">
        <v>0.47916666666666646</v>
      </c>
      <c r="AMD13" s="505"/>
      <c r="AME13" s="505"/>
      <c r="AMF13" s="506"/>
      <c r="AMG13" s="82">
        <v>0.500000000000001</v>
      </c>
      <c r="AMH13" s="504">
        <v>0.52083333333333315</v>
      </c>
      <c r="AMI13" s="505"/>
      <c r="AMJ13" s="505"/>
      <c r="AMK13" s="506"/>
      <c r="AML13" s="490"/>
      <c r="AMM13" s="479"/>
      <c r="AMN13" s="492" t="s">
        <v>857</v>
      </c>
      <c r="AMO13" s="507" t="s">
        <v>1</v>
      </c>
      <c r="AMP13" s="485"/>
      <c r="AMQ13" s="485"/>
      <c r="AMR13" s="485"/>
      <c r="AMS13" s="486"/>
      <c r="AMT13" s="504">
        <v>0.49999999999999978</v>
      </c>
      <c r="AMU13" s="505"/>
      <c r="AMV13" s="505"/>
      <c r="AMW13" s="506"/>
      <c r="AMX13" s="82">
        <v>0.52083333333333504</v>
      </c>
      <c r="AMY13" s="504">
        <v>0.49999999999999978</v>
      </c>
      <c r="AMZ13" s="505"/>
      <c r="ANA13" s="505"/>
      <c r="ANB13" s="506"/>
      <c r="ANC13" s="82">
        <v>0.45833333333333298</v>
      </c>
      <c r="AND13" s="504">
        <v>0.52083333333333315</v>
      </c>
      <c r="ANE13" s="505"/>
      <c r="ANF13" s="505"/>
      <c r="ANG13" s="506"/>
      <c r="ANH13" s="490"/>
      <c r="ANI13" s="504">
        <v>0.52083333333333315</v>
      </c>
      <c r="ANJ13" s="505"/>
      <c r="ANK13" s="505"/>
      <c r="ANL13" s="506"/>
      <c r="ANM13" s="490"/>
      <c r="ANN13" s="479"/>
      <c r="ANO13" s="492" t="s">
        <v>857</v>
      </c>
      <c r="ANP13" s="507" t="s">
        <v>1</v>
      </c>
      <c r="ANQ13" s="485"/>
      <c r="ANR13" s="485"/>
      <c r="ANS13" s="485"/>
      <c r="ANT13" s="486"/>
      <c r="ANU13" s="504">
        <v>0.52083333333333315</v>
      </c>
      <c r="ANV13" s="505"/>
      <c r="ANW13" s="505"/>
      <c r="ANX13" s="506"/>
      <c r="ANY13" s="82">
        <v>0.52083333333333504</v>
      </c>
      <c r="ANZ13" s="504">
        <v>0.49999999999999978</v>
      </c>
      <c r="AOA13" s="505"/>
      <c r="AOB13" s="505"/>
      <c r="AOC13" s="506"/>
      <c r="AOD13" s="490"/>
      <c r="AOE13" s="504">
        <v>0.49999999999999978</v>
      </c>
      <c r="AOF13" s="505"/>
      <c r="AOG13" s="505"/>
      <c r="AOH13" s="506"/>
      <c r="AOI13" s="521"/>
      <c r="AOJ13" s="522"/>
      <c r="AOK13" s="504">
        <v>0.49999999999999978</v>
      </c>
      <c r="AOL13" s="505"/>
      <c r="AOM13" s="505"/>
      <c r="AON13" s="506"/>
      <c r="AOO13" s="490"/>
      <c r="AOP13" s="479"/>
      <c r="AOQ13" s="492" t="s">
        <v>857</v>
      </c>
      <c r="AOR13" s="507" t="s">
        <v>1</v>
      </c>
      <c r="AOS13" s="485"/>
      <c r="AOT13" s="485"/>
      <c r="AOU13" s="485"/>
      <c r="AOV13" s="486"/>
      <c r="AOW13" s="504">
        <v>0.52083333333333315</v>
      </c>
      <c r="AOX13" s="505"/>
      <c r="AOY13" s="505"/>
      <c r="AOZ13" s="506"/>
      <c r="APA13" s="493">
        <v>0.52083333333333504</v>
      </c>
      <c r="APB13" s="504">
        <v>0.49999999999999978</v>
      </c>
      <c r="APC13" s="505"/>
      <c r="APD13" s="505"/>
      <c r="APE13" s="506"/>
      <c r="APF13" s="493">
        <v>0.52083333333333504</v>
      </c>
      <c r="APG13" s="504">
        <v>0.52083333333333315</v>
      </c>
      <c r="APH13" s="505"/>
      <c r="API13" s="505"/>
      <c r="APJ13" s="506"/>
      <c r="APK13" s="490"/>
      <c r="APL13" s="504">
        <v>0.49999999999999978</v>
      </c>
      <c r="APM13" s="505"/>
      <c r="APN13" s="505"/>
      <c r="APO13" s="506"/>
      <c r="APP13" s="82">
        <v>0.500000000000001</v>
      </c>
      <c r="APQ13" s="479"/>
      <c r="APR13" s="492" t="s">
        <v>857</v>
      </c>
      <c r="APS13" s="507" t="s">
        <v>1</v>
      </c>
      <c r="APT13" s="485"/>
      <c r="APU13" s="485"/>
      <c r="APV13" s="485"/>
      <c r="APW13" s="486"/>
      <c r="APX13" s="504">
        <v>0.52083333333333315</v>
      </c>
      <c r="APY13" s="505"/>
      <c r="APZ13" s="505"/>
      <c r="AQA13" s="506"/>
      <c r="AQB13" s="82">
        <v>0.52083333333333504</v>
      </c>
      <c r="AQC13" s="504">
        <v>0.49999999999999978</v>
      </c>
      <c r="AQD13" s="505"/>
      <c r="AQE13" s="505"/>
      <c r="AQF13" s="506"/>
      <c r="AQG13" s="493">
        <v>0.52083333333333504</v>
      </c>
      <c r="AQH13" s="504">
        <v>0.52083333333333315</v>
      </c>
      <c r="AQI13" s="505"/>
      <c r="AQJ13" s="505"/>
      <c r="AQK13" s="506"/>
      <c r="AQL13" s="490"/>
      <c r="AQM13" s="504">
        <v>0.49999999999999978</v>
      </c>
      <c r="AQN13" s="505"/>
      <c r="AQO13" s="505"/>
      <c r="AQP13" s="506"/>
      <c r="AQQ13" s="490"/>
      <c r="AQR13" s="479"/>
      <c r="AQS13" s="492" t="s">
        <v>857</v>
      </c>
      <c r="AQT13" s="507" t="s">
        <v>1</v>
      </c>
      <c r="AQU13" s="485"/>
      <c r="AQV13" s="485"/>
      <c r="AQW13" s="485"/>
      <c r="AQX13" s="486"/>
      <c r="AQY13" s="504">
        <v>0.52083333333333315</v>
      </c>
      <c r="AQZ13" s="505"/>
      <c r="ARA13" s="505"/>
      <c r="ARB13" s="506"/>
      <c r="ARC13" s="493">
        <v>0.52083333333333504</v>
      </c>
      <c r="ARD13" s="504">
        <v>0.52083333333333315</v>
      </c>
      <c r="ARE13" s="505"/>
      <c r="ARF13" s="505"/>
      <c r="ARG13" s="506"/>
      <c r="ARH13" s="82">
        <v>0.52083333333333504</v>
      </c>
      <c r="ARI13" s="504">
        <v>0.49999999999999978</v>
      </c>
      <c r="ARJ13" s="505"/>
      <c r="ARK13" s="505"/>
      <c r="ARL13" s="506"/>
      <c r="ARM13" s="82">
        <v>0.52083333333333504</v>
      </c>
      <c r="ARN13" s="504">
        <v>0.49999999999999978</v>
      </c>
      <c r="ARO13" s="505"/>
      <c r="ARP13" s="505"/>
      <c r="ARQ13" s="506"/>
      <c r="ARR13" s="493">
        <v>0.52083333333333504</v>
      </c>
      <c r="ARS13" s="479"/>
      <c r="ART13" s="492" t="s">
        <v>857</v>
      </c>
      <c r="ARU13" s="507" t="s">
        <v>1</v>
      </c>
      <c r="ARV13" s="485"/>
      <c r="ARW13" s="485"/>
      <c r="ARX13" s="485"/>
      <c r="ARY13" s="486"/>
      <c r="ARZ13" s="504">
        <v>0.49999999999999978</v>
      </c>
      <c r="ASA13" s="505"/>
      <c r="ASB13" s="505"/>
      <c r="ASC13" s="506"/>
      <c r="ASD13" s="493">
        <v>0.52083333333333504</v>
      </c>
      <c r="ASE13" s="504">
        <v>0.52083333333333315</v>
      </c>
      <c r="ASF13" s="505"/>
      <c r="ASG13" s="505"/>
      <c r="ASH13" s="506"/>
      <c r="ASI13" s="493">
        <v>0.52083333333333504</v>
      </c>
      <c r="ASJ13" s="504">
        <v>0.52083333333333315</v>
      </c>
      <c r="ASK13" s="505"/>
      <c r="ASL13" s="505"/>
      <c r="ASM13" s="506"/>
      <c r="ASN13" s="493">
        <v>0.52083333333333504</v>
      </c>
      <c r="ASO13" s="504">
        <v>0.49999999999999978</v>
      </c>
      <c r="ASP13" s="505"/>
      <c r="ASQ13" s="505"/>
      <c r="ASR13" s="506"/>
      <c r="ASS13" s="493">
        <v>0.52083333333333504</v>
      </c>
      <c r="AST13" s="479"/>
      <c r="ASU13" s="492" t="s">
        <v>857</v>
      </c>
      <c r="ASV13" s="507" t="s">
        <v>1</v>
      </c>
      <c r="ASW13" s="485"/>
      <c r="ASX13" s="485"/>
      <c r="ASY13" s="485"/>
      <c r="ASZ13" s="486"/>
      <c r="ATA13" s="504">
        <v>0.52083333333333315</v>
      </c>
      <c r="ATB13" s="505"/>
      <c r="ATC13" s="505"/>
      <c r="ATD13" s="506"/>
      <c r="ATE13" s="493">
        <v>0.52083333333333504</v>
      </c>
      <c r="ATF13" s="504">
        <v>0.49999999999999978</v>
      </c>
      <c r="ATG13" s="505"/>
      <c r="ATH13" s="505"/>
      <c r="ATI13" s="506"/>
      <c r="ATJ13" s="82">
        <v>0.54166666666666896</v>
      </c>
      <c r="ATK13" s="504">
        <v>0.49999999999999978</v>
      </c>
      <c r="ATL13" s="505"/>
      <c r="ATM13" s="505"/>
      <c r="ATN13" s="506"/>
      <c r="ATO13" s="82">
        <v>0.52083333333333504</v>
      </c>
      <c r="ATP13" s="504">
        <v>0.52083333333333315</v>
      </c>
      <c r="ATQ13" s="505"/>
      <c r="ATR13" s="505"/>
      <c r="ATS13" s="506"/>
      <c r="ATT13" s="490"/>
      <c r="ATU13" s="479"/>
      <c r="ATV13" s="492" t="s">
        <v>857</v>
      </c>
      <c r="ATW13" s="507" t="s">
        <v>1</v>
      </c>
      <c r="ATX13" s="485"/>
      <c r="ATY13" s="485"/>
      <c r="ATZ13" s="485"/>
      <c r="AUA13" s="486"/>
      <c r="AUB13" s="504">
        <v>0.52083333333333315</v>
      </c>
      <c r="AUC13" s="505"/>
      <c r="AUD13" s="505"/>
      <c r="AUE13" s="506"/>
      <c r="AUF13" s="490"/>
      <c r="AUG13" s="504">
        <v>0.52083333333333315</v>
      </c>
      <c r="AUH13" s="505"/>
      <c r="AUI13" s="505"/>
      <c r="AUJ13" s="506"/>
      <c r="AUK13" s="490"/>
      <c r="AUL13" s="504">
        <v>0.52083333333333315</v>
      </c>
      <c r="AUM13" s="505"/>
      <c r="AUN13" s="505"/>
      <c r="AUO13" s="506"/>
      <c r="AUP13" s="490"/>
      <c r="AUQ13" s="504">
        <v>0.54166666666666652</v>
      </c>
      <c r="AUR13" s="505"/>
      <c r="AUS13" s="505"/>
      <c r="AUT13" s="506"/>
      <c r="AUU13" s="490"/>
      <c r="AUV13" s="479"/>
      <c r="AUW13" s="492" t="s">
        <v>857</v>
      </c>
      <c r="AUX13" s="507" t="s">
        <v>1</v>
      </c>
      <c r="AUY13" s="485"/>
      <c r="AUZ13" s="485"/>
      <c r="AVA13" s="485"/>
      <c r="AVB13" s="486"/>
      <c r="AVC13" s="504">
        <v>0.52083333333333315</v>
      </c>
      <c r="AVD13" s="505"/>
      <c r="AVE13" s="505"/>
      <c r="AVF13" s="506"/>
      <c r="AVG13" s="490"/>
      <c r="AVH13" s="504">
        <v>0.52083333333333315</v>
      </c>
      <c r="AVI13" s="505"/>
      <c r="AVJ13" s="505"/>
      <c r="AVK13" s="506"/>
      <c r="AVL13" s="490"/>
      <c r="AVM13" s="504">
        <v>0.52083333333333315</v>
      </c>
      <c r="AVN13" s="505"/>
      <c r="AVO13" s="505"/>
      <c r="AVP13" s="506"/>
      <c r="AVQ13" s="490"/>
      <c r="AVR13" s="504">
        <v>0.52083333333333315</v>
      </c>
      <c r="AVS13" s="505"/>
      <c r="AVT13" s="505"/>
      <c r="AVU13" s="506"/>
      <c r="AVV13" s="82">
        <v>0.562500000000003</v>
      </c>
      <c r="AVW13" s="479"/>
      <c r="AVX13" s="492" t="s">
        <v>857</v>
      </c>
      <c r="AVY13" s="507" t="s">
        <v>1</v>
      </c>
      <c r="AVZ13" s="485"/>
      <c r="AWA13" s="485"/>
      <c r="AWB13" s="485"/>
      <c r="AWC13" s="486"/>
      <c r="AWD13" s="504">
        <v>0.54166666666666652</v>
      </c>
      <c r="AWE13" s="505"/>
      <c r="AWF13" s="505"/>
      <c r="AWG13" s="506"/>
      <c r="AWH13" s="82">
        <v>0.52083333333333504</v>
      </c>
      <c r="AWI13" s="504">
        <v>0.52083333333333315</v>
      </c>
      <c r="AWJ13" s="505"/>
      <c r="AWK13" s="505"/>
      <c r="AWL13" s="506"/>
      <c r="AWM13" s="82">
        <v>0.54166666666666896</v>
      </c>
      <c r="AWN13" s="504">
        <v>0.52083333333333315</v>
      </c>
      <c r="AWO13" s="505"/>
      <c r="AWP13" s="505"/>
      <c r="AWQ13" s="506"/>
      <c r="AWR13" s="82">
        <v>0.52083333333333504</v>
      </c>
      <c r="AWS13" s="504">
        <v>0.52083333333333315</v>
      </c>
      <c r="AWT13" s="505"/>
      <c r="AWU13" s="505"/>
      <c r="AWV13" s="506"/>
      <c r="AWW13" s="490"/>
      <c r="AWX13" s="479"/>
      <c r="AWY13" s="492" t="s">
        <v>857</v>
      </c>
      <c r="AWZ13" s="507" t="s">
        <v>1</v>
      </c>
      <c r="AXA13" s="485"/>
      <c r="AXB13" s="485"/>
      <c r="AXC13" s="485"/>
      <c r="AXD13" s="486"/>
      <c r="AXE13" s="504">
        <v>0.52083333333333337</v>
      </c>
      <c r="AXF13" s="505"/>
      <c r="AXG13" s="505"/>
      <c r="AXH13" s="506"/>
      <c r="AXI13" s="490"/>
      <c r="AXJ13" s="504">
        <v>0.52083333333333315</v>
      </c>
      <c r="AXK13" s="505"/>
      <c r="AXL13" s="505"/>
      <c r="AXM13" s="506"/>
      <c r="AXN13" s="490"/>
      <c r="AXO13" s="504">
        <v>0.52083333333333315</v>
      </c>
      <c r="AXP13" s="505"/>
      <c r="AXQ13" s="505"/>
      <c r="AXR13" s="506"/>
      <c r="AXS13" s="82">
        <v>0.52083333333333504</v>
      </c>
      <c r="AXT13" s="504">
        <v>0.49999999999999978</v>
      </c>
      <c r="AXU13" s="505"/>
      <c r="AXV13" s="505"/>
      <c r="AXW13" s="506"/>
      <c r="AXX13" s="82">
        <v>0.52083333333333504</v>
      </c>
      <c r="AXY13" s="479"/>
      <c r="AXZ13" s="492" t="s">
        <v>857</v>
      </c>
      <c r="AYA13" s="507" t="s">
        <v>1</v>
      </c>
      <c r="AYB13" s="485"/>
      <c r="AYC13" s="485"/>
      <c r="AYD13" s="485"/>
      <c r="AYE13" s="486"/>
      <c r="AYF13" s="504">
        <v>0.47916666666666646</v>
      </c>
      <c r="AYG13" s="505"/>
      <c r="AYH13" s="505"/>
      <c r="AYI13" s="506"/>
      <c r="AYJ13" s="490"/>
      <c r="AYK13" s="504">
        <v>0.54166666666666652</v>
      </c>
      <c r="AYL13" s="505"/>
      <c r="AYM13" s="505"/>
      <c r="AYN13" s="506"/>
      <c r="AYO13" s="490"/>
      <c r="AYP13" s="504">
        <v>0.56249999999999989</v>
      </c>
      <c r="AYQ13" s="505"/>
      <c r="AYR13" s="505"/>
      <c r="AYS13" s="506"/>
      <c r="AYT13" s="82">
        <v>0.54166666666666896</v>
      </c>
      <c r="AYU13" s="504">
        <v>0.52083333333333315</v>
      </c>
      <c r="AYV13" s="505"/>
      <c r="AYW13" s="505"/>
      <c r="AYX13" s="506"/>
      <c r="AYY13" s="490"/>
      <c r="AYZ13" s="479"/>
      <c r="AZA13" s="492" t="s">
        <v>857</v>
      </c>
      <c r="AZB13" s="507" t="s">
        <v>1</v>
      </c>
      <c r="AZC13" s="485"/>
      <c r="AZD13" s="485"/>
      <c r="AZE13" s="485"/>
      <c r="AZF13" s="486"/>
      <c r="AZG13" s="504">
        <v>0.52083333333333315</v>
      </c>
      <c r="AZH13" s="505"/>
      <c r="AZI13" s="505"/>
      <c r="AZJ13" s="506"/>
      <c r="AZK13" s="490"/>
      <c r="AZL13" s="504">
        <v>0.52083333333333315</v>
      </c>
      <c r="AZM13" s="505"/>
      <c r="AZN13" s="505"/>
      <c r="AZO13" s="506"/>
      <c r="AZP13" s="82">
        <v>0.5</v>
      </c>
      <c r="AZQ13" s="504">
        <v>0.52083333333333315</v>
      </c>
      <c r="AZR13" s="505"/>
      <c r="AZS13" s="505"/>
      <c r="AZT13" s="506"/>
      <c r="AZU13" s="82">
        <v>0.52083333333333504</v>
      </c>
      <c r="AZV13" s="504">
        <v>0.52083333333333315</v>
      </c>
      <c r="AZW13" s="505"/>
      <c r="AZX13" s="505"/>
      <c r="AZY13" s="506"/>
      <c r="AZZ13" s="83">
        <v>0.54166666666666896</v>
      </c>
      <c r="BAA13" s="478"/>
      <c r="BAB13" s="492" t="s">
        <v>857</v>
      </c>
      <c r="BAC13" s="507" t="s">
        <v>1</v>
      </c>
      <c r="BAD13" s="485"/>
      <c r="BAE13" s="485"/>
      <c r="BAF13" s="485"/>
      <c r="BAG13" s="486"/>
      <c r="BAH13" s="504">
        <v>0.52083333333333315</v>
      </c>
      <c r="BAI13" s="505"/>
      <c r="BAJ13" s="505"/>
      <c r="BAK13" s="506"/>
      <c r="BAL13" s="82">
        <v>0.52083333333333504</v>
      </c>
      <c r="BAM13" s="504">
        <v>0.52083333333333315</v>
      </c>
      <c r="BAN13" s="505"/>
      <c r="BAO13" s="505"/>
      <c r="BAP13" s="506"/>
      <c r="BAQ13" s="82">
        <v>0.52083333333333504</v>
      </c>
      <c r="BAR13" s="504">
        <v>0.52083333333333315</v>
      </c>
      <c r="BAS13" s="505"/>
      <c r="BAT13" s="505"/>
      <c r="BAU13" s="506"/>
      <c r="BAV13" s="490"/>
      <c r="BAW13" s="504">
        <v>0.52083333333333315</v>
      </c>
      <c r="BAX13" s="505"/>
      <c r="BAY13" s="505"/>
      <c r="BAZ13" s="506"/>
      <c r="BBA13" s="82">
        <v>0.52083333333333504</v>
      </c>
      <c r="BBB13" s="479"/>
      <c r="BBC13" s="492" t="s">
        <v>857</v>
      </c>
      <c r="BBD13" s="507" t="s">
        <v>1</v>
      </c>
      <c r="BBE13" s="485"/>
      <c r="BBF13" s="485"/>
      <c r="BBG13" s="485"/>
      <c r="BBH13" s="486"/>
      <c r="BBI13" s="504">
        <v>0.52083333333333315</v>
      </c>
      <c r="BBJ13" s="505"/>
      <c r="BBK13" s="505"/>
      <c r="BBL13" s="506"/>
      <c r="BBM13" s="82">
        <v>0.52083333333333504</v>
      </c>
      <c r="BBN13" s="504">
        <v>0.52083333333333315</v>
      </c>
      <c r="BBO13" s="505"/>
      <c r="BBP13" s="505"/>
      <c r="BBQ13" s="506"/>
      <c r="BBR13" s="82">
        <v>0.54166666666666896</v>
      </c>
      <c r="BBS13" s="504">
        <v>0.52083333333333315</v>
      </c>
      <c r="BBT13" s="505"/>
      <c r="BBU13" s="505"/>
      <c r="BBV13" s="506"/>
      <c r="BBW13" s="82">
        <v>0.52083333333333504</v>
      </c>
      <c r="BBX13" s="504">
        <v>0.47916666666666646</v>
      </c>
      <c r="BBY13" s="505"/>
      <c r="BBZ13" s="505"/>
      <c r="BCA13" s="506"/>
      <c r="BCB13" s="82">
        <v>0.500000000000001</v>
      </c>
      <c r="BCC13" s="479"/>
      <c r="BCD13" s="492" t="s">
        <v>857</v>
      </c>
      <c r="BCE13" s="507" t="s">
        <v>1</v>
      </c>
      <c r="BCF13" s="485"/>
      <c r="BCG13" s="485"/>
      <c r="BCH13" s="485"/>
      <c r="BCI13" s="486"/>
      <c r="BCJ13" s="504">
        <v>0.52083333333333337</v>
      </c>
      <c r="BCK13" s="505"/>
      <c r="BCL13" s="505"/>
      <c r="BCM13" s="506"/>
      <c r="BCN13" s="82">
        <v>0.52083333333333504</v>
      </c>
      <c r="BCO13" s="504">
        <v>0.52083333333333315</v>
      </c>
      <c r="BCP13" s="505"/>
      <c r="BCQ13" s="505"/>
      <c r="BCR13" s="506"/>
      <c r="BCS13" s="82">
        <v>0.52083333333333504</v>
      </c>
      <c r="BCT13" s="504">
        <v>0.52083333333333315</v>
      </c>
      <c r="BCU13" s="505"/>
      <c r="BCV13" s="505"/>
      <c r="BCW13" s="506"/>
      <c r="BCX13" s="82">
        <v>0.52083333333333504</v>
      </c>
      <c r="BCY13" s="504">
        <v>0.52083333333333315</v>
      </c>
      <c r="BCZ13" s="505"/>
      <c r="BDA13" s="505"/>
      <c r="BDB13" s="506"/>
      <c r="BDC13" s="82">
        <v>0.52083333333333504</v>
      </c>
      <c r="BDD13" s="479"/>
      <c r="BDE13" s="492" t="s">
        <v>857</v>
      </c>
      <c r="BDF13" s="507" t="s">
        <v>1</v>
      </c>
      <c r="BDG13" s="485"/>
      <c r="BDH13" s="485"/>
      <c r="BDI13" s="485"/>
      <c r="BDJ13" s="486"/>
      <c r="BDK13" s="504">
        <v>0.52083333333333315</v>
      </c>
      <c r="BDL13" s="505"/>
      <c r="BDM13" s="505"/>
      <c r="BDN13" s="506"/>
      <c r="BDO13" s="82">
        <v>0.52083333333333504</v>
      </c>
      <c r="BDP13" s="504">
        <v>0.52083333333333315</v>
      </c>
      <c r="BDQ13" s="505"/>
      <c r="BDR13" s="505"/>
      <c r="BDS13" s="506"/>
      <c r="BDT13" s="82">
        <v>0.52083333333333504</v>
      </c>
      <c r="BDU13" s="504">
        <v>0.52083333333333315</v>
      </c>
      <c r="BDV13" s="505"/>
      <c r="BDW13" s="505"/>
      <c r="BDX13" s="506"/>
      <c r="BDY13" s="82">
        <v>0.562500000000003</v>
      </c>
      <c r="BDZ13" s="504">
        <v>0.52083333333333315</v>
      </c>
      <c r="BEA13" s="505"/>
      <c r="BEB13" s="505"/>
      <c r="BEC13" s="506"/>
      <c r="BED13" s="82">
        <v>0.52083333333333504</v>
      </c>
      <c r="BEE13" s="479"/>
      <c r="BEF13" s="492" t="s">
        <v>857</v>
      </c>
      <c r="BEG13" s="507" t="s">
        <v>1</v>
      </c>
      <c r="BEH13" s="485"/>
      <c r="BEI13" s="485"/>
      <c r="BEJ13" s="485"/>
      <c r="BEK13" s="486"/>
      <c r="BEL13" s="504">
        <v>0.52083333333333315</v>
      </c>
      <c r="BEM13" s="505"/>
      <c r="BEN13" s="505"/>
      <c r="BEO13" s="506"/>
      <c r="BEP13" s="82">
        <v>0.52083333333333504</v>
      </c>
      <c r="BEQ13" s="504">
        <v>0.52083333333333315</v>
      </c>
      <c r="BER13" s="505"/>
      <c r="BES13" s="505"/>
      <c r="BET13" s="506"/>
      <c r="BEU13" s="490"/>
      <c r="BEV13" s="504">
        <v>0.52083333333333315</v>
      </c>
      <c r="BEW13" s="505"/>
      <c r="BEX13" s="505"/>
      <c r="BEY13" s="506"/>
      <c r="BEZ13" s="82">
        <v>0.52083333333333504</v>
      </c>
      <c r="BFA13" s="504">
        <v>0.52083333333333315</v>
      </c>
      <c r="BFB13" s="505"/>
      <c r="BFC13" s="505"/>
      <c r="BFD13" s="506"/>
      <c r="BFE13" s="82">
        <v>0.500000000000001</v>
      </c>
      <c r="BFF13" s="479"/>
      <c r="BFG13" s="492" t="s">
        <v>857</v>
      </c>
      <c r="BFH13" s="507" t="s">
        <v>1</v>
      </c>
      <c r="BFI13" s="485"/>
      <c r="BFJ13" s="485"/>
      <c r="BFK13" s="485"/>
      <c r="BFL13" s="486"/>
      <c r="BFM13" s="504">
        <v>0.52083333333333315</v>
      </c>
      <c r="BFN13" s="505"/>
      <c r="BFO13" s="505"/>
      <c r="BFP13" s="506"/>
      <c r="BFQ13" s="82">
        <v>0.500000000000001</v>
      </c>
      <c r="BFR13" s="504">
        <v>0.47916666666666646</v>
      </c>
      <c r="BFS13" s="505"/>
      <c r="BFT13" s="505"/>
      <c r="BFU13" s="506"/>
      <c r="BFV13" s="82">
        <v>0.41666666666666702</v>
      </c>
      <c r="BFW13" s="504"/>
      <c r="BFX13" s="505"/>
      <c r="BFY13" s="505"/>
      <c r="BFZ13" s="506"/>
      <c r="BGA13" s="82"/>
      <c r="BGB13" s="504"/>
      <c r="BGC13" s="505"/>
      <c r="BGD13" s="505"/>
      <c r="BGE13" s="506"/>
      <c r="BGF13" s="82"/>
    </row>
    <row r="14" spans="1:1540" ht="30" customHeight="1" x14ac:dyDescent="0.4">
      <c r="A14" s="478"/>
      <c r="B14" s="492"/>
      <c r="C14" s="508"/>
      <c r="D14" s="509"/>
      <c r="E14" s="509"/>
      <c r="F14" s="509"/>
      <c r="G14" s="510"/>
      <c r="H14" s="513" t="s">
        <v>160</v>
      </c>
      <c r="I14" s="514"/>
      <c r="J14" s="514"/>
      <c r="K14" s="515"/>
      <c r="L14" s="42" t="s">
        <v>160</v>
      </c>
      <c r="M14" s="513" t="s">
        <v>160</v>
      </c>
      <c r="N14" s="514"/>
      <c r="O14" s="514"/>
      <c r="P14" s="515"/>
      <c r="Q14" s="42" t="s">
        <v>160</v>
      </c>
      <c r="R14" s="513" t="s">
        <v>160</v>
      </c>
      <c r="S14" s="514"/>
      <c r="T14" s="514"/>
      <c r="U14" s="515"/>
      <c r="V14" s="42" t="s">
        <v>160</v>
      </c>
      <c r="W14" s="513" t="s">
        <v>160</v>
      </c>
      <c r="X14" s="514"/>
      <c r="Y14" s="514"/>
      <c r="Z14" s="515"/>
      <c r="AA14" s="42" t="s">
        <v>160</v>
      </c>
      <c r="AB14" s="479"/>
      <c r="AC14" s="492"/>
      <c r="AD14" s="508"/>
      <c r="AE14" s="509"/>
      <c r="AF14" s="509"/>
      <c r="AG14" s="509"/>
      <c r="AH14" s="510"/>
      <c r="AI14" s="513" t="s">
        <v>160</v>
      </c>
      <c r="AJ14" s="514"/>
      <c r="AK14" s="514"/>
      <c r="AL14" s="515"/>
      <c r="AM14" s="517"/>
      <c r="AN14" s="513" t="s">
        <v>673</v>
      </c>
      <c r="AO14" s="514"/>
      <c r="AP14" s="514"/>
      <c r="AQ14" s="515"/>
      <c r="AR14" s="42" t="s">
        <v>673</v>
      </c>
      <c r="AS14" s="513" t="s">
        <v>160</v>
      </c>
      <c r="AT14" s="514"/>
      <c r="AU14" s="514"/>
      <c r="AV14" s="515"/>
      <c r="AW14" s="42" t="s">
        <v>160</v>
      </c>
      <c r="AX14" s="513" t="s">
        <v>160</v>
      </c>
      <c r="AY14" s="514"/>
      <c r="AZ14" s="514"/>
      <c r="BA14" s="515"/>
      <c r="BB14" s="42" t="s">
        <v>160</v>
      </c>
      <c r="BC14" s="479"/>
      <c r="BD14" s="492"/>
      <c r="BE14" s="508"/>
      <c r="BF14" s="509"/>
      <c r="BG14" s="509"/>
      <c r="BH14" s="509"/>
      <c r="BI14" s="510"/>
      <c r="BJ14" s="513" t="s">
        <v>160</v>
      </c>
      <c r="BK14" s="514"/>
      <c r="BL14" s="514"/>
      <c r="BM14" s="515"/>
      <c r="BN14" s="42" t="s">
        <v>160</v>
      </c>
      <c r="BO14" s="513" t="s">
        <v>160</v>
      </c>
      <c r="BP14" s="514"/>
      <c r="BQ14" s="514"/>
      <c r="BR14" s="515"/>
      <c r="BS14" s="42" t="s">
        <v>160</v>
      </c>
      <c r="BT14" s="513" t="s">
        <v>160</v>
      </c>
      <c r="BU14" s="514"/>
      <c r="BV14" s="514"/>
      <c r="BW14" s="515"/>
      <c r="BX14" s="42" t="s">
        <v>160</v>
      </c>
      <c r="BY14" s="513" t="s">
        <v>160</v>
      </c>
      <c r="BZ14" s="514"/>
      <c r="CA14" s="514"/>
      <c r="CB14" s="515"/>
      <c r="CC14" s="42" t="s">
        <v>160</v>
      </c>
      <c r="CD14" s="479"/>
      <c r="CE14" s="492"/>
      <c r="CF14" s="508"/>
      <c r="CG14" s="509"/>
      <c r="CH14" s="509"/>
      <c r="CI14" s="509"/>
      <c r="CJ14" s="510"/>
      <c r="CK14" s="513" t="s">
        <v>160</v>
      </c>
      <c r="CL14" s="514"/>
      <c r="CM14" s="514"/>
      <c r="CN14" s="515"/>
      <c r="CO14" s="42" t="s">
        <v>160</v>
      </c>
      <c r="CP14" s="513" t="s">
        <v>160</v>
      </c>
      <c r="CQ14" s="514"/>
      <c r="CR14" s="514"/>
      <c r="CS14" s="515"/>
      <c r="CT14" s="42" t="s">
        <v>160</v>
      </c>
      <c r="CU14" s="513" t="s">
        <v>160</v>
      </c>
      <c r="CV14" s="514"/>
      <c r="CW14" s="514"/>
      <c r="CX14" s="515"/>
      <c r="CY14" s="517"/>
      <c r="CZ14" s="513" t="s">
        <v>160</v>
      </c>
      <c r="DA14" s="514"/>
      <c r="DB14" s="514"/>
      <c r="DC14" s="515"/>
      <c r="DD14" s="42" t="s">
        <v>160</v>
      </c>
      <c r="DE14" s="479"/>
      <c r="DF14" s="492"/>
      <c r="DG14" s="508"/>
      <c r="DH14" s="509"/>
      <c r="DI14" s="509"/>
      <c r="DJ14" s="509"/>
      <c r="DK14" s="510"/>
      <c r="DL14" s="513" t="s">
        <v>160</v>
      </c>
      <c r="DM14" s="514"/>
      <c r="DN14" s="514"/>
      <c r="DO14" s="515"/>
      <c r="DP14" s="517"/>
      <c r="DQ14" s="513" t="s">
        <v>160</v>
      </c>
      <c r="DR14" s="514"/>
      <c r="DS14" s="514"/>
      <c r="DT14" s="515"/>
      <c r="DU14" s="42" t="s">
        <v>160</v>
      </c>
      <c r="DV14" s="513" t="s">
        <v>160</v>
      </c>
      <c r="DW14" s="514"/>
      <c r="DX14" s="514"/>
      <c r="DY14" s="515"/>
      <c r="DZ14" s="42" t="s">
        <v>160</v>
      </c>
      <c r="EA14" s="513" t="s">
        <v>160</v>
      </c>
      <c r="EB14" s="514"/>
      <c r="EC14" s="514"/>
      <c r="ED14" s="515"/>
      <c r="EE14" s="42" t="s">
        <v>160</v>
      </c>
      <c r="EF14" s="479"/>
      <c r="EG14" s="492"/>
      <c r="EH14" s="508"/>
      <c r="EI14" s="509"/>
      <c r="EJ14" s="509"/>
      <c r="EK14" s="509"/>
      <c r="EL14" s="510"/>
      <c r="EM14" s="513" t="s">
        <v>160</v>
      </c>
      <c r="EN14" s="514"/>
      <c r="EO14" s="514"/>
      <c r="EP14" s="515"/>
      <c r="EQ14" s="42" t="s">
        <v>160</v>
      </c>
      <c r="ER14" s="513" t="s">
        <v>160</v>
      </c>
      <c r="ES14" s="514"/>
      <c r="ET14" s="514"/>
      <c r="EU14" s="515"/>
      <c r="EV14" s="42" t="s">
        <v>160</v>
      </c>
      <c r="EW14" s="513" t="s">
        <v>160</v>
      </c>
      <c r="EX14" s="514"/>
      <c r="EY14" s="514"/>
      <c r="EZ14" s="515"/>
      <c r="FA14" s="517"/>
      <c r="FB14" s="513" t="s">
        <v>160</v>
      </c>
      <c r="FC14" s="514"/>
      <c r="FD14" s="514"/>
      <c r="FE14" s="515"/>
      <c r="FF14" s="42" t="s">
        <v>160</v>
      </c>
      <c r="FG14" s="479"/>
      <c r="FH14" s="492"/>
      <c r="FI14" s="508"/>
      <c r="FJ14" s="509"/>
      <c r="FK14" s="509"/>
      <c r="FL14" s="509"/>
      <c r="FM14" s="510"/>
      <c r="FN14" s="513" t="s">
        <v>673</v>
      </c>
      <c r="FO14" s="514"/>
      <c r="FP14" s="514"/>
      <c r="FQ14" s="515"/>
      <c r="FR14" s="42" t="s">
        <v>160</v>
      </c>
      <c r="FS14" s="513" t="s">
        <v>160</v>
      </c>
      <c r="FT14" s="514"/>
      <c r="FU14" s="514"/>
      <c r="FV14" s="515"/>
      <c r="FW14" s="42" t="s">
        <v>160</v>
      </c>
      <c r="FX14" s="513" t="s">
        <v>160</v>
      </c>
      <c r="FY14" s="514"/>
      <c r="FZ14" s="514"/>
      <c r="GA14" s="515"/>
      <c r="GB14" s="42" t="s">
        <v>160</v>
      </c>
      <c r="GC14" s="513" t="s">
        <v>160</v>
      </c>
      <c r="GD14" s="514"/>
      <c r="GE14" s="514"/>
      <c r="GF14" s="515"/>
      <c r="GG14" s="42" t="s">
        <v>160</v>
      </c>
      <c r="GH14" s="479"/>
      <c r="GI14" s="492"/>
      <c r="GJ14" s="508"/>
      <c r="GK14" s="509"/>
      <c r="GL14" s="509"/>
      <c r="GM14" s="509"/>
      <c r="GN14" s="510"/>
      <c r="GO14" s="513" t="s">
        <v>160</v>
      </c>
      <c r="GP14" s="514"/>
      <c r="GQ14" s="514"/>
      <c r="GR14" s="515"/>
      <c r="GS14" s="42" t="s">
        <v>160</v>
      </c>
      <c r="GT14" s="513" t="s">
        <v>160</v>
      </c>
      <c r="GU14" s="514"/>
      <c r="GV14" s="514"/>
      <c r="GW14" s="515"/>
      <c r="GX14" s="42" t="s">
        <v>160</v>
      </c>
      <c r="GY14" s="513" t="s">
        <v>160</v>
      </c>
      <c r="GZ14" s="514"/>
      <c r="HA14" s="514"/>
      <c r="HB14" s="515"/>
      <c r="HC14" s="42" t="s">
        <v>160</v>
      </c>
      <c r="HD14" s="513" t="s">
        <v>673</v>
      </c>
      <c r="HE14" s="514"/>
      <c r="HF14" s="514"/>
      <c r="HG14" s="515"/>
      <c r="HH14" s="42" t="s">
        <v>160</v>
      </c>
      <c r="HI14" s="479"/>
      <c r="HJ14" s="492"/>
      <c r="HK14" s="508"/>
      <c r="HL14" s="509"/>
      <c r="HM14" s="509"/>
      <c r="HN14" s="509"/>
      <c r="HO14" s="510"/>
      <c r="HP14" s="513" t="s">
        <v>160</v>
      </c>
      <c r="HQ14" s="514"/>
      <c r="HR14" s="514"/>
      <c r="HS14" s="515"/>
      <c r="HT14" s="42" t="s">
        <v>160</v>
      </c>
      <c r="HU14" s="513" t="s">
        <v>160</v>
      </c>
      <c r="HV14" s="514"/>
      <c r="HW14" s="514"/>
      <c r="HX14" s="515"/>
      <c r="HY14" s="42" t="s">
        <v>160</v>
      </c>
      <c r="HZ14" s="513" t="s">
        <v>160</v>
      </c>
      <c r="IA14" s="514"/>
      <c r="IB14" s="514"/>
      <c r="IC14" s="515"/>
      <c r="ID14" s="42" t="s">
        <v>160</v>
      </c>
      <c r="IE14" s="513" t="s">
        <v>160</v>
      </c>
      <c r="IF14" s="514"/>
      <c r="IG14" s="514"/>
      <c r="IH14" s="515"/>
      <c r="II14" s="42" t="s">
        <v>160</v>
      </c>
      <c r="IJ14" s="478"/>
      <c r="IK14" s="492"/>
      <c r="IL14" s="508"/>
      <c r="IM14" s="509"/>
      <c r="IN14" s="509"/>
      <c r="IO14" s="509"/>
      <c r="IP14" s="510"/>
      <c r="IQ14" s="513" t="s">
        <v>160</v>
      </c>
      <c r="IR14" s="514"/>
      <c r="IS14" s="514"/>
      <c r="IT14" s="515"/>
      <c r="IU14" s="42" t="s">
        <v>160</v>
      </c>
      <c r="IV14" s="513" t="s">
        <v>160</v>
      </c>
      <c r="IW14" s="514"/>
      <c r="IX14" s="514"/>
      <c r="IY14" s="515"/>
      <c r="IZ14" s="42" t="s">
        <v>160</v>
      </c>
      <c r="JA14" s="513" t="s">
        <v>160</v>
      </c>
      <c r="JB14" s="514"/>
      <c r="JC14" s="514"/>
      <c r="JD14" s="515"/>
      <c r="JE14" s="517"/>
      <c r="JF14" s="513" t="s">
        <v>160</v>
      </c>
      <c r="JG14" s="514"/>
      <c r="JH14" s="514"/>
      <c r="JI14" s="515"/>
      <c r="JJ14" s="42" t="s">
        <v>160</v>
      </c>
      <c r="JK14" s="479"/>
      <c r="JL14" s="492"/>
      <c r="JM14" s="508"/>
      <c r="JN14" s="509"/>
      <c r="JO14" s="509"/>
      <c r="JP14" s="509"/>
      <c r="JQ14" s="510"/>
      <c r="JR14" s="513" t="s">
        <v>160</v>
      </c>
      <c r="JS14" s="514"/>
      <c r="JT14" s="514"/>
      <c r="JU14" s="515"/>
      <c r="JV14" s="42" t="s">
        <v>160</v>
      </c>
      <c r="JW14" s="513" t="s">
        <v>160</v>
      </c>
      <c r="JX14" s="514"/>
      <c r="JY14" s="514"/>
      <c r="JZ14" s="515"/>
      <c r="KA14" s="42" t="s">
        <v>160</v>
      </c>
      <c r="KB14" s="513" t="s">
        <v>160</v>
      </c>
      <c r="KC14" s="514"/>
      <c r="KD14" s="514"/>
      <c r="KE14" s="515"/>
      <c r="KF14" s="42" t="s">
        <v>160</v>
      </c>
      <c r="KG14" s="513" t="s">
        <v>160</v>
      </c>
      <c r="KH14" s="514"/>
      <c r="KI14" s="514"/>
      <c r="KJ14" s="515"/>
      <c r="KK14" s="42" t="s">
        <v>160</v>
      </c>
      <c r="KL14" s="479"/>
      <c r="KM14" s="492"/>
      <c r="KN14" s="508"/>
      <c r="KO14" s="509"/>
      <c r="KP14" s="509"/>
      <c r="KQ14" s="509"/>
      <c r="KR14" s="510"/>
      <c r="KS14" s="513" t="s">
        <v>160</v>
      </c>
      <c r="KT14" s="514"/>
      <c r="KU14" s="514"/>
      <c r="KV14" s="515"/>
      <c r="KW14" s="42" t="s">
        <v>160</v>
      </c>
      <c r="KX14" s="513" t="s">
        <v>160</v>
      </c>
      <c r="KY14" s="514"/>
      <c r="KZ14" s="514"/>
      <c r="LA14" s="515"/>
      <c r="LB14" s="42" t="s">
        <v>160</v>
      </c>
      <c r="LC14" s="513" t="s">
        <v>160</v>
      </c>
      <c r="LD14" s="514"/>
      <c r="LE14" s="514"/>
      <c r="LF14" s="515"/>
      <c r="LG14" s="42" t="s">
        <v>160</v>
      </c>
      <c r="LH14" s="513" t="s">
        <v>160</v>
      </c>
      <c r="LI14" s="514"/>
      <c r="LJ14" s="514"/>
      <c r="LK14" s="515"/>
      <c r="LL14" s="42" t="s">
        <v>160</v>
      </c>
      <c r="LM14" s="479"/>
      <c r="LN14" s="492"/>
      <c r="LO14" s="508"/>
      <c r="LP14" s="509"/>
      <c r="LQ14" s="509"/>
      <c r="LR14" s="509"/>
      <c r="LS14" s="510"/>
      <c r="LT14" s="513" t="s">
        <v>160</v>
      </c>
      <c r="LU14" s="514"/>
      <c r="LV14" s="514"/>
      <c r="LW14" s="515"/>
      <c r="LX14" s="517"/>
      <c r="LY14" s="513" t="s">
        <v>160</v>
      </c>
      <c r="LZ14" s="514"/>
      <c r="MA14" s="514"/>
      <c r="MB14" s="515"/>
      <c r="MC14" s="42" t="s">
        <v>160</v>
      </c>
      <c r="MD14" s="513" t="s">
        <v>160</v>
      </c>
      <c r="ME14" s="514"/>
      <c r="MF14" s="514"/>
      <c r="MG14" s="515"/>
      <c r="MH14" s="517"/>
      <c r="MI14" s="513" t="s">
        <v>160</v>
      </c>
      <c r="MJ14" s="514"/>
      <c r="MK14" s="514"/>
      <c r="ML14" s="515"/>
      <c r="MM14" s="42" t="s">
        <v>160</v>
      </c>
      <c r="MN14" s="479"/>
      <c r="MO14" s="492"/>
      <c r="MP14" s="508"/>
      <c r="MQ14" s="509"/>
      <c r="MR14" s="509"/>
      <c r="MS14" s="509"/>
      <c r="MT14" s="510"/>
      <c r="MU14" s="513" t="s">
        <v>160</v>
      </c>
      <c r="MV14" s="514"/>
      <c r="MW14" s="514"/>
      <c r="MX14" s="515"/>
      <c r="MY14" s="42" t="s">
        <v>160</v>
      </c>
      <c r="MZ14" s="513" t="s">
        <v>160</v>
      </c>
      <c r="NA14" s="514"/>
      <c r="NB14" s="514"/>
      <c r="NC14" s="515"/>
      <c r="ND14" s="517"/>
      <c r="NE14" s="513" t="s">
        <v>160</v>
      </c>
      <c r="NF14" s="514"/>
      <c r="NG14" s="514"/>
      <c r="NH14" s="515"/>
      <c r="NI14" s="42" t="s">
        <v>160</v>
      </c>
      <c r="NJ14" s="513" t="s">
        <v>160</v>
      </c>
      <c r="NK14" s="514"/>
      <c r="NL14" s="514"/>
      <c r="NM14" s="515"/>
      <c r="NN14" s="42" t="s">
        <v>160</v>
      </c>
      <c r="NO14" s="479"/>
      <c r="NP14" s="492"/>
      <c r="NQ14" s="508"/>
      <c r="NR14" s="509"/>
      <c r="NS14" s="509"/>
      <c r="NT14" s="509"/>
      <c r="NU14" s="510"/>
      <c r="NV14" s="513" t="s">
        <v>160</v>
      </c>
      <c r="NW14" s="514"/>
      <c r="NX14" s="514"/>
      <c r="NY14" s="515"/>
      <c r="NZ14" s="517"/>
      <c r="OA14" s="513" t="s">
        <v>160</v>
      </c>
      <c r="OB14" s="514"/>
      <c r="OC14" s="514"/>
      <c r="OD14" s="515"/>
      <c r="OE14" s="42" t="s">
        <v>160</v>
      </c>
      <c r="OF14" s="513" t="s">
        <v>160</v>
      </c>
      <c r="OG14" s="514"/>
      <c r="OH14" s="514"/>
      <c r="OI14" s="515"/>
      <c r="OJ14" s="517"/>
      <c r="OK14" s="513" t="s">
        <v>160</v>
      </c>
      <c r="OL14" s="514"/>
      <c r="OM14" s="514"/>
      <c r="ON14" s="515"/>
      <c r="OO14" s="517"/>
      <c r="OP14" s="479"/>
      <c r="OQ14" s="492"/>
      <c r="OR14" s="508"/>
      <c r="OS14" s="509"/>
      <c r="OT14" s="509"/>
      <c r="OU14" s="509"/>
      <c r="OV14" s="510"/>
      <c r="OW14" s="513" t="s">
        <v>160</v>
      </c>
      <c r="OX14" s="514"/>
      <c r="OY14" s="514"/>
      <c r="OZ14" s="515"/>
      <c r="PA14" s="517"/>
      <c r="PB14" s="513" t="s">
        <v>160</v>
      </c>
      <c r="PC14" s="514"/>
      <c r="PD14" s="514"/>
      <c r="PE14" s="515"/>
      <c r="PF14" s="42" t="s">
        <v>160</v>
      </c>
      <c r="PG14" s="513" t="s">
        <v>160</v>
      </c>
      <c r="PH14" s="514"/>
      <c r="PI14" s="514"/>
      <c r="PJ14" s="515"/>
      <c r="PK14" s="42" t="s">
        <v>160</v>
      </c>
      <c r="PL14" s="513" t="s">
        <v>160</v>
      </c>
      <c r="PM14" s="514"/>
      <c r="PN14" s="514"/>
      <c r="PO14" s="515"/>
      <c r="PP14" s="42" t="s">
        <v>160</v>
      </c>
      <c r="PQ14" s="479"/>
      <c r="PR14" s="492"/>
      <c r="PS14" s="508"/>
      <c r="PT14" s="509"/>
      <c r="PU14" s="509"/>
      <c r="PV14" s="509"/>
      <c r="PW14" s="510"/>
      <c r="PX14" s="513" t="s">
        <v>160</v>
      </c>
      <c r="PY14" s="514"/>
      <c r="PZ14" s="514"/>
      <c r="QA14" s="515"/>
      <c r="QB14" s="517"/>
      <c r="QC14" s="513" t="s">
        <v>160</v>
      </c>
      <c r="QD14" s="514"/>
      <c r="QE14" s="514"/>
      <c r="QF14" s="515"/>
      <c r="QG14" s="42" t="s">
        <v>160</v>
      </c>
      <c r="QH14" s="513" t="s">
        <v>160</v>
      </c>
      <c r="QI14" s="514"/>
      <c r="QJ14" s="514"/>
      <c r="QK14" s="515"/>
      <c r="QL14" s="517"/>
      <c r="QM14" s="513" t="s">
        <v>160</v>
      </c>
      <c r="QN14" s="514"/>
      <c r="QO14" s="514"/>
      <c r="QP14" s="515"/>
      <c r="QQ14" s="517"/>
      <c r="QR14" s="479"/>
      <c r="QS14" s="492"/>
      <c r="QT14" s="508"/>
      <c r="QU14" s="509"/>
      <c r="QV14" s="509"/>
      <c r="QW14" s="509"/>
      <c r="QX14" s="510"/>
      <c r="QY14" s="513" t="s">
        <v>160</v>
      </c>
      <c r="QZ14" s="514"/>
      <c r="RA14" s="514"/>
      <c r="RB14" s="515"/>
      <c r="RC14" s="517"/>
      <c r="RD14" s="513" t="s">
        <v>160</v>
      </c>
      <c r="RE14" s="514"/>
      <c r="RF14" s="514"/>
      <c r="RG14" s="515"/>
      <c r="RH14" s="517"/>
      <c r="RI14" s="513" t="s">
        <v>160</v>
      </c>
      <c r="RJ14" s="514"/>
      <c r="RK14" s="514"/>
      <c r="RL14" s="515"/>
      <c r="RM14" s="517"/>
      <c r="RN14" s="513" t="s">
        <v>160</v>
      </c>
      <c r="RO14" s="514"/>
      <c r="RP14" s="514"/>
      <c r="RQ14" s="515"/>
      <c r="RR14" s="517"/>
      <c r="RS14" s="479"/>
      <c r="RT14" s="492"/>
      <c r="RU14" s="508"/>
      <c r="RV14" s="509"/>
      <c r="RW14" s="509"/>
      <c r="RX14" s="509"/>
      <c r="RY14" s="510"/>
      <c r="RZ14" s="513" t="s">
        <v>160</v>
      </c>
      <c r="SA14" s="514"/>
      <c r="SB14" s="514"/>
      <c r="SC14" s="515"/>
      <c r="SD14" s="517"/>
      <c r="SE14" s="513" t="s">
        <v>160</v>
      </c>
      <c r="SF14" s="514"/>
      <c r="SG14" s="514"/>
      <c r="SH14" s="515"/>
      <c r="SI14" s="517"/>
      <c r="SJ14" s="513" t="s">
        <v>160</v>
      </c>
      <c r="SK14" s="514"/>
      <c r="SL14" s="514"/>
      <c r="SM14" s="515"/>
      <c r="SN14" s="517"/>
      <c r="SO14" s="513" t="s">
        <v>160</v>
      </c>
      <c r="SP14" s="514"/>
      <c r="SQ14" s="514"/>
      <c r="SR14" s="515"/>
      <c r="SS14" s="517"/>
      <c r="ST14" s="479"/>
      <c r="SU14" s="492"/>
      <c r="SV14" s="508"/>
      <c r="SW14" s="509"/>
      <c r="SX14" s="509"/>
      <c r="SY14" s="509"/>
      <c r="SZ14" s="510"/>
      <c r="TA14" s="513" t="s">
        <v>160</v>
      </c>
      <c r="TB14" s="514"/>
      <c r="TC14" s="514"/>
      <c r="TD14" s="515"/>
      <c r="TE14" s="517"/>
      <c r="TF14" s="513" t="s">
        <v>160</v>
      </c>
      <c r="TG14" s="514"/>
      <c r="TH14" s="514"/>
      <c r="TI14" s="515"/>
      <c r="TJ14" s="517"/>
      <c r="TK14" s="513" t="s">
        <v>160</v>
      </c>
      <c r="TL14" s="514"/>
      <c r="TM14" s="514"/>
      <c r="TN14" s="515"/>
      <c r="TO14" s="517"/>
      <c r="TP14" s="513" t="s">
        <v>160</v>
      </c>
      <c r="TQ14" s="514"/>
      <c r="TR14" s="514"/>
      <c r="TS14" s="515"/>
      <c r="TT14" s="517"/>
      <c r="TU14" s="479"/>
      <c r="TV14" s="492"/>
      <c r="TW14" s="508"/>
      <c r="TX14" s="509"/>
      <c r="TY14" s="509"/>
      <c r="TZ14" s="509"/>
      <c r="UA14" s="510"/>
      <c r="UB14" s="513" t="s">
        <v>160</v>
      </c>
      <c r="UC14" s="514"/>
      <c r="UD14" s="514"/>
      <c r="UE14" s="515"/>
      <c r="UF14" s="517"/>
      <c r="UG14" s="513" t="s">
        <v>160</v>
      </c>
      <c r="UH14" s="514"/>
      <c r="UI14" s="514"/>
      <c r="UJ14" s="515"/>
      <c r="UK14" s="517"/>
      <c r="UL14" s="513" t="s">
        <v>160</v>
      </c>
      <c r="UM14" s="514"/>
      <c r="UN14" s="514"/>
      <c r="UO14" s="515"/>
      <c r="UP14" s="517"/>
      <c r="UQ14" s="513" t="s">
        <v>160</v>
      </c>
      <c r="UR14" s="514"/>
      <c r="US14" s="514"/>
      <c r="UT14" s="515"/>
      <c r="UU14" s="42" t="s">
        <v>160</v>
      </c>
      <c r="UV14" s="479"/>
      <c r="UW14" s="492"/>
      <c r="UX14" s="508"/>
      <c r="UY14" s="509"/>
      <c r="UZ14" s="509"/>
      <c r="VA14" s="509"/>
      <c r="VB14" s="510"/>
      <c r="VC14" s="513" t="s">
        <v>160</v>
      </c>
      <c r="VD14" s="514"/>
      <c r="VE14" s="514"/>
      <c r="VF14" s="515"/>
      <c r="VG14" s="517"/>
      <c r="VH14" s="513" t="s">
        <v>160</v>
      </c>
      <c r="VI14" s="514"/>
      <c r="VJ14" s="514"/>
      <c r="VK14" s="515"/>
      <c r="VL14" s="517"/>
      <c r="VM14" s="513" t="s">
        <v>160</v>
      </c>
      <c r="VN14" s="514"/>
      <c r="VO14" s="514"/>
      <c r="VP14" s="515"/>
      <c r="VQ14" s="517"/>
      <c r="VR14" s="513" t="s">
        <v>160</v>
      </c>
      <c r="VS14" s="514"/>
      <c r="VT14" s="514"/>
      <c r="VU14" s="515"/>
      <c r="VV14" s="517"/>
      <c r="VW14" s="479"/>
      <c r="VX14" s="492"/>
      <c r="VY14" s="508"/>
      <c r="VZ14" s="509"/>
      <c r="WA14" s="509"/>
      <c r="WB14" s="509"/>
      <c r="WC14" s="510"/>
      <c r="WD14" s="513" t="s">
        <v>160</v>
      </c>
      <c r="WE14" s="514"/>
      <c r="WF14" s="514"/>
      <c r="WG14" s="515"/>
      <c r="WH14" s="517"/>
      <c r="WI14" s="513" t="s">
        <v>160</v>
      </c>
      <c r="WJ14" s="514"/>
      <c r="WK14" s="514"/>
      <c r="WL14" s="515"/>
      <c r="WM14" s="517"/>
      <c r="WN14" s="513" t="s">
        <v>160</v>
      </c>
      <c r="WO14" s="514"/>
      <c r="WP14" s="514"/>
      <c r="WQ14" s="515"/>
      <c r="WR14" s="517"/>
      <c r="WS14" s="513" t="s">
        <v>160</v>
      </c>
      <c r="WT14" s="514"/>
      <c r="WU14" s="514"/>
      <c r="WV14" s="515"/>
      <c r="WW14" s="42" t="s">
        <v>160</v>
      </c>
      <c r="WX14" s="479"/>
      <c r="WY14" s="492"/>
      <c r="WZ14" s="508"/>
      <c r="XA14" s="509"/>
      <c r="XB14" s="509"/>
      <c r="XC14" s="509"/>
      <c r="XD14" s="510"/>
      <c r="XE14" s="513" t="s">
        <v>160</v>
      </c>
      <c r="XF14" s="514"/>
      <c r="XG14" s="514"/>
      <c r="XH14" s="515"/>
      <c r="XI14" s="517"/>
      <c r="XJ14" s="513" t="s">
        <v>160</v>
      </c>
      <c r="XK14" s="514"/>
      <c r="XL14" s="514"/>
      <c r="XM14" s="515"/>
      <c r="XN14" s="517"/>
      <c r="XO14" s="513" t="s">
        <v>160</v>
      </c>
      <c r="XP14" s="514"/>
      <c r="XQ14" s="514"/>
      <c r="XR14" s="515"/>
      <c r="XS14" s="42" t="s">
        <v>160</v>
      </c>
      <c r="XT14" s="513" t="s">
        <v>160</v>
      </c>
      <c r="XU14" s="514"/>
      <c r="XV14" s="514"/>
      <c r="XW14" s="515"/>
      <c r="XX14" s="42" t="s">
        <v>160</v>
      </c>
      <c r="XY14" s="479"/>
      <c r="XZ14" s="492"/>
      <c r="YA14" s="508"/>
      <c r="YB14" s="509"/>
      <c r="YC14" s="509"/>
      <c r="YD14" s="509"/>
      <c r="YE14" s="510"/>
      <c r="YF14" s="513" t="s">
        <v>160</v>
      </c>
      <c r="YG14" s="514"/>
      <c r="YH14" s="514"/>
      <c r="YI14" s="515"/>
      <c r="YJ14" s="517"/>
      <c r="YK14" s="513" t="s">
        <v>160</v>
      </c>
      <c r="YL14" s="514"/>
      <c r="YM14" s="514"/>
      <c r="YN14" s="515"/>
      <c r="YO14" s="517"/>
      <c r="YP14" s="513" t="s">
        <v>160</v>
      </c>
      <c r="YQ14" s="514"/>
      <c r="YR14" s="514"/>
      <c r="YS14" s="515"/>
      <c r="YT14" s="42" t="s">
        <v>160</v>
      </c>
      <c r="YU14" s="513" t="s">
        <v>160</v>
      </c>
      <c r="YV14" s="514"/>
      <c r="YW14" s="514"/>
      <c r="YX14" s="515"/>
      <c r="YY14" s="42" t="s">
        <v>160</v>
      </c>
      <c r="YZ14" s="479"/>
      <c r="ZA14" s="492"/>
      <c r="ZB14" s="508"/>
      <c r="ZC14" s="509"/>
      <c r="ZD14" s="509"/>
      <c r="ZE14" s="509"/>
      <c r="ZF14" s="510"/>
      <c r="ZG14" s="513" t="s">
        <v>160</v>
      </c>
      <c r="ZH14" s="514"/>
      <c r="ZI14" s="514"/>
      <c r="ZJ14" s="515"/>
      <c r="ZK14" s="494"/>
      <c r="ZL14" s="513" t="s">
        <v>160</v>
      </c>
      <c r="ZM14" s="514"/>
      <c r="ZN14" s="514"/>
      <c r="ZO14" s="515"/>
      <c r="ZP14" s="494"/>
      <c r="ZQ14" s="513" t="s">
        <v>160</v>
      </c>
      <c r="ZR14" s="514"/>
      <c r="ZS14" s="514"/>
      <c r="ZT14" s="515"/>
      <c r="ZU14" s="42" t="s">
        <v>160</v>
      </c>
      <c r="ZV14" s="513" t="s">
        <v>160</v>
      </c>
      <c r="ZW14" s="514"/>
      <c r="ZX14" s="514"/>
      <c r="ZY14" s="515"/>
      <c r="ZZ14" s="42" t="s">
        <v>160</v>
      </c>
      <c r="AAA14" s="479"/>
      <c r="AAB14" s="492"/>
      <c r="AAC14" s="508"/>
      <c r="AAD14" s="509"/>
      <c r="AAE14" s="509"/>
      <c r="AAF14" s="509"/>
      <c r="AAG14" s="510"/>
      <c r="AAH14" s="513" t="s">
        <v>160</v>
      </c>
      <c r="AAI14" s="514"/>
      <c r="AAJ14" s="514"/>
      <c r="AAK14" s="515"/>
      <c r="AAL14" s="42" t="s">
        <v>160</v>
      </c>
      <c r="AAM14" s="513" t="s">
        <v>160</v>
      </c>
      <c r="AAN14" s="514"/>
      <c r="AAO14" s="514"/>
      <c r="AAP14" s="515"/>
      <c r="AAQ14" s="494"/>
      <c r="AAR14" s="513" t="s">
        <v>160</v>
      </c>
      <c r="AAS14" s="514"/>
      <c r="AAT14" s="514"/>
      <c r="AAU14" s="515"/>
      <c r="AAV14" s="494"/>
      <c r="AAW14" s="513" t="s">
        <v>160</v>
      </c>
      <c r="AAX14" s="514"/>
      <c r="AAY14" s="514"/>
      <c r="AAZ14" s="515"/>
      <c r="ABA14" s="494"/>
      <c r="ABB14" s="479"/>
      <c r="ABC14" s="492"/>
      <c r="ABD14" s="508"/>
      <c r="ABE14" s="509"/>
      <c r="ABF14" s="509"/>
      <c r="ABG14" s="509"/>
      <c r="ABH14" s="510"/>
      <c r="ABI14" s="513" t="s">
        <v>160</v>
      </c>
      <c r="ABJ14" s="514"/>
      <c r="ABK14" s="514"/>
      <c r="ABL14" s="515"/>
      <c r="ABM14" s="42" t="s">
        <v>160</v>
      </c>
      <c r="ABN14" s="513" t="s">
        <v>160</v>
      </c>
      <c r="ABO14" s="514"/>
      <c r="ABP14" s="514"/>
      <c r="ABQ14" s="515"/>
      <c r="ABR14" s="42" t="s">
        <v>160</v>
      </c>
      <c r="ABS14" s="513" t="s">
        <v>160</v>
      </c>
      <c r="ABT14" s="514"/>
      <c r="ABU14" s="514"/>
      <c r="ABV14" s="515"/>
      <c r="ABW14" s="494"/>
      <c r="ABX14" s="513" t="s">
        <v>160</v>
      </c>
      <c r="ABY14" s="514"/>
      <c r="ABZ14" s="514"/>
      <c r="ACA14" s="515"/>
      <c r="ACB14" s="42" t="s">
        <v>160</v>
      </c>
      <c r="ACC14" s="479"/>
      <c r="ACD14" s="492"/>
      <c r="ACE14" s="508"/>
      <c r="ACF14" s="509"/>
      <c r="ACG14" s="509"/>
      <c r="ACH14" s="509"/>
      <c r="ACI14" s="510"/>
      <c r="ACJ14" s="513" t="s">
        <v>160</v>
      </c>
      <c r="ACK14" s="514"/>
      <c r="ACL14" s="514"/>
      <c r="ACM14" s="515"/>
      <c r="ACN14" s="42" t="s">
        <v>160</v>
      </c>
      <c r="ACO14" s="513" t="s">
        <v>160</v>
      </c>
      <c r="ACP14" s="514"/>
      <c r="ACQ14" s="514"/>
      <c r="ACR14" s="515"/>
      <c r="ACS14" s="42" t="s">
        <v>160</v>
      </c>
      <c r="ACT14" s="513" t="s">
        <v>160</v>
      </c>
      <c r="ACU14" s="514"/>
      <c r="ACV14" s="514"/>
      <c r="ACW14" s="515"/>
      <c r="ACX14" s="42" t="s">
        <v>160</v>
      </c>
      <c r="ACY14" s="513" t="s">
        <v>160</v>
      </c>
      <c r="ACZ14" s="514"/>
      <c r="ADA14" s="514"/>
      <c r="ADB14" s="515"/>
      <c r="ADC14" s="494"/>
      <c r="ADD14" s="479"/>
      <c r="ADE14" s="492"/>
      <c r="ADF14" s="508"/>
      <c r="ADG14" s="509"/>
      <c r="ADH14" s="509"/>
      <c r="ADI14" s="509"/>
      <c r="ADJ14" s="510"/>
      <c r="ADK14" s="513" t="s">
        <v>160</v>
      </c>
      <c r="ADL14" s="514"/>
      <c r="ADM14" s="514"/>
      <c r="ADN14" s="515"/>
      <c r="ADO14" s="42" t="s">
        <v>160</v>
      </c>
      <c r="ADP14" s="513" t="s">
        <v>160</v>
      </c>
      <c r="ADQ14" s="514"/>
      <c r="ADR14" s="514"/>
      <c r="ADS14" s="515"/>
      <c r="ADT14" s="42" t="s">
        <v>160</v>
      </c>
      <c r="ADU14" s="513" t="s">
        <v>160</v>
      </c>
      <c r="ADV14" s="514"/>
      <c r="ADW14" s="514"/>
      <c r="ADX14" s="515"/>
      <c r="ADY14" s="42" t="s">
        <v>160</v>
      </c>
      <c r="ADZ14" s="513" t="s">
        <v>160</v>
      </c>
      <c r="AEA14" s="514"/>
      <c r="AEB14" s="514"/>
      <c r="AEC14" s="515"/>
      <c r="AED14" s="42" t="s">
        <v>160</v>
      </c>
      <c r="AEE14" s="479"/>
      <c r="AEF14" s="492"/>
      <c r="AEG14" s="508"/>
      <c r="AEH14" s="509"/>
      <c r="AEI14" s="509"/>
      <c r="AEJ14" s="509"/>
      <c r="AEK14" s="510"/>
      <c r="AEL14" s="513" t="s">
        <v>160</v>
      </c>
      <c r="AEM14" s="514"/>
      <c r="AEN14" s="514"/>
      <c r="AEO14" s="515"/>
      <c r="AEP14" s="42" t="s">
        <v>160</v>
      </c>
      <c r="AEQ14" s="513" t="s">
        <v>160</v>
      </c>
      <c r="AER14" s="514"/>
      <c r="AES14" s="514"/>
      <c r="AET14" s="515"/>
      <c r="AEU14" s="42" t="s">
        <v>160</v>
      </c>
      <c r="AEV14" s="513" t="s">
        <v>160</v>
      </c>
      <c r="AEW14" s="514"/>
      <c r="AEX14" s="514"/>
      <c r="AEY14" s="515"/>
      <c r="AEZ14" s="42" t="s">
        <v>160</v>
      </c>
      <c r="AFA14" s="513" t="s">
        <v>160</v>
      </c>
      <c r="AFB14" s="514"/>
      <c r="AFC14" s="514"/>
      <c r="AFD14" s="515"/>
      <c r="AFE14" s="42" t="s">
        <v>160</v>
      </c>
      <c r="AFF14" s="479"/>
      <c r="AFG14" s="492"/>
      <c r="AFH14" s="508"/>
      <c r="AFI14" s="509"/>
      <c r="AFJ14" s="509"/>
      <c r="AFK14" s="509"/>
      <c r="AFL14" s="510"/>
      <c r="AFM14" s="513" t="s">
        <v>160</v>
      </c>
      <c r="AFN14" s="514"/>
      <c r="AFO14" s="514"/>
      <c r="AFP14" s="515"/>
      <c r="AFQ14" s="42" t="s">
        <v>160</v>
      </c>
      <c r="AFR14" s="513" t="s">
        <v>160</v>
      </c>
      <c r="AFS14" s="514"/>
      <c r="AFT14" s="514"/>
      <c r="AFU14" s="515"/>
      <c r="AFV14" s="42" t="s">
        <v>160</v>
      </c>
      <c r="AFW14" s="513" t="s">
        <v>160</v>
      </c>
      <c r="AFX14" s="514"/>
      <c r="AFY14" s="514"/>
      <c r="AFZ14" s="515"/>
      <c r="AGA14" s="42" t="s">
        <v>160</v>
      </c>
      <c r="AGB14" s="513" t="s">
        <v>160</v>
      </c>
      <c r="AGC14" s="514"/>
      <c r="AGD14" s="514"/>
      <c r="AGE14" s="515"/>
      <c r="AGF14" s="42" t="s">
        <v>160</v>
      </c>
      <c r="AGG14" s="479"/>
      <c r="AGH14" s="492"/>
      <c r="AGI14" s="508"/>
      <c r="AGJ14" s="509"/>
      <c r="AGK14" s="509"/>
      <c r="AGL14" s="509"/>
      <c r="AGM14" s="510"/>
      <c r="AGN14" s="513" t="s">
        <v>160</v>
      </c>
      <c r="AGO14" s="514"/>
      <c r="AGP14" s="514"/>
      <c r="AGQ14" s="515"/>
      <c r="AGR14" s="42" t="s">
        <v>160</v>
      </c>
      <c r="AGS14" s="513" t="s">
        <v>160</v>
      </c>
      <c r="AGT14" s="514"/>
      <c r="AGU14" s="514"/>
      <c r="AGV14" s="515"/>
      <c r="AGW14" s="42" t="s">
        <v>160</v>
      </c>
      <c r="AGX14" s="513" t="s">
        <v>160</v>
      </c>
      <c r="AGY14" s="514"/>
      <c r="AGZ14" s="514"/>
      <c r="AHA14" s="515"/>
      <c r="AHB14" s="42" t="s">
        <v>160</v>
      </c>
      <c r="AHC14" s="513" t="s">
        <v>160</v>
      </c>
      <c r="AHD14" s="514"/>
      <c r="AHE14" s="514"/>
      <c r="AHF14" s="515"/>
      <c r="AHG14" s="42" t="s">
        <v>160</v>
      </c>
      <c r="AHH14" s="479"/>
      <c r="AHI14" s="492"/>
      <c r="AHJ14" s="508"/>
      <c r="AHK14" s="509"/>
      <c r="AHL14" s="509"/>
      <c r="AHM14" s="509"/>
      <c r="AHN14" s="510"/>
      <c r="AHO14" s="513" t="s">
        <v>160</v>
      </c>
      <c r="AHP14" s="514"/>
      <c r="AHQ14" s="514"/>
      <c r="AHR14" s="515"/>
      <c r="AHS14" s="42" t="s">
        <v>160</v>
      </c>
      <c r="AHT14" s="513" t="s">
        <v>160</v>
      </c>
      <c r="AHU14" s="514"/>
      <c r="AHV14" s="514"/>
      <c r="AHW14" s="515"/>
      <c r="AHX14" s="42" t="s">
        <v>160</v>
      </c>
      <c r="AHY14" s="513" t="s">
        <v>160</v>
      </c>
      <c r="AHZ14" s="514"/>
      <c r="AIA14" s="514"/>
      <c r="AIB14" s="515"/>
      <c r="AIC14" s="42" t="s">
        <v>160</v>
      </c>
      <c r="AID14" s="513" t="s">
        <v>160</v>
      </c>
      <c r="AIE14" s="514"/>
      <c r="AIF14" s="514"/>
      <c r="AIG14" s="515"/>
      <c r="AIH14" s="42" t="s">
        <v>160</v>
      </c>
      <c r="AII14" s="479"/>
      <c r="AIJ14" s="492"/>
      <c r="AIK14" s="508"/>
      <c r="AIL14" s="509"/>
      <c r="AIM14" s="509"/>
      <c r="AIN14" s="509"/>
      <c r="AIO14" s="510"/>
      <c r="AIP14" s="513" t="s">
        <v>160</v>
      </c>
      <c r="AIQ14" s="514"/>
      <c r="AIR14" s="514"/>
      <c r="AIS14" s="515"/>
      <c r="AIT14" s="42" t="s">
        <v>160</v>
      </c>
      <c r="AIU14" s="513" t="s">
        <v>160</v>
      </c>
      <c r="AIV14" s="514"/>
      <c r="AIW14" s="514"/>
      <c r="AIX14" s="515"/>
      <c r="AIY14" s="42" t="s">
        <v>160</v>
      </c>
      <c r="AIZ14" s="513" t="s">
        <v>160</v>
      </c>
      <c r="AJA14" s="514"/>
      <c r="AJB14" s="514"/>
      <c r="AJC14" s="515"/>
      <c r="AJD14" s="42" t="s">
        <v>160</v>
      </c>
      <c r="AJE14" s="513" t="s">
        <v>160</v>
      </c>
      <c r="AJF14" s="514"/>
      <c r="AJG14" s="514"/>
      <c r="AJH14" s="515"/>
      <c r="AJI14" s="490"/>
      <c r="AJJ14" s="479"/>
      <c r="AJK14" s="492"/>
      <c r="AJL14" s="508"/>
      <c r="AJM14" s="509"/>
      <c r="AJN14" s="509"/>
      <c r="AJO14" s="509"/>
      <c r="AJP14" s="510"/>
      <c r="AJQ14" s="513" t="s">
        <v>160</v>
      </c>
      <c r="AJR14" s="514"/>
      <c r="AJS14" s="514"/>
      <c r="AJT14" s="515"/>
      <c r="AJU14" s="42" t="s">
        <v>160</v>
      </c>
      <c r="AJV14" s="513" t="s">
        <v>160</v>
      </c>
      <c r="AJW14" s="514"/>
      <c r="AJX14" s="514"/>
      <c r="AJY14" s="515"/>
      <c r="AJZ14" s="490"/>
      <c r="AKA14" s="513" t="s">
        <v>160</v>
      </c>
      <c r="AKB14" s="514"/>
      <c r="AKC14" s="514"/>
      <c r="AKD14" s="515"/>
      <c r="AKE14" s="490"/>
      <c r="AKF14" s="513" t="s">
        <v>160</v>
      </c>
      <c r="AKG14" s="514"/>
      <c r="AKH14" s="514"/>
      <c r="AKI14" s="515"/>
      <c r="AKJ14" s="490"/>
      <c r="AKK14" s="479"/>
      <c r="AKL14" s="492"/>
      <c r="AKM14" s="508"/>
      <c r="AKN14" s="509"/>
      <c r="AKO14" s="509"/>
      <c r="AKP14" s="509"/>
      <c r="AKQ14" s="510"/>
      <c r="AKR14" s="513" t="s">
        <v>160</v>
      </c>
      <c r="AKS14" s="514"/>
      <c r="AKT14" s="514"/>
      <c r="AKU14" s="515"/>
      <c r="AKV14" s="490"/>
      <c r="AKW14" s="513" t="s">
        <v>160</v>
      </c>
      <c r="AKX14" s="514"/>
      <c r="AKY14" s="514"/>
      <c r="AKZ14" s="515"/>
      <c r="ALA14" s="490"/>
      <c r="ALB14" s="513" t="s">
        <v>160</v>
      </c>
      <c r="ALC14" s="514"/>
      <c r="ALD14" s="514"/>
      <c r="ALE14" s="515"/>
      <c r="ALF14" s="42" t="s">
        <v>160</v>
      </c>
      <c r="ALG14" s="513" t="s">
        <v>160</v>
      </c>
      <c r="ALH14" s="514"/>
      <c r="ALI14" s="514"/>
      <c r="ALJ14" s="515"/>
      <c r="ALK14" s="42" t="s">
        <v>160</v>
      </c>
      <c r="ALL14" s="479"/>
      <c r="ALM14" s="492"/>
      <c r="ALN14" s="508"/>
      <c r="ALO14" s="509"/>
      <c r="ALP14" s="509"/>
      <c r="ALQ14" s="509"/>
      <c r="ALR14" s="510"/>
      <c r="ALS14" s="513" t="s">
        <v>160</v>
      </c>
      <c r="ALT14" s="514"/>
      <c r="ALU14" s="514"/>
      <c r="ALV14" s="515"/>
      <c r="ALW14" s="42" t="s">
        <v>160</v>
      </c>
      <c r="ALX14" s="513" t="s">
        <v>160</v>
      </c>
      <c r="ALY14" s="514"/>
      <c r="ALZ14" s="514"/>
      <c r="AMA14" s="515"/>
      <c r="AMB14" s="42" t="s">
        <v>160</v>
      </c>
      <c r="AMC14" s="513" t="s">
        <v>160</v>
      </c>
      <c r="AMD14" s="514"/>
      <c r="AME14" s="514"/>
      <c r="AMF14" s="515"/>
      <c r="AMG14" s="42" t="s">
        <v>160</v>
      </c>
      <c r="AMH14" s="513" t="s">
        <v>160</v>
      </c>
      <c r="AMI14" s="514"/>
      <c r="AMJ14" s="514"/>
      <c r="AMK14" s="515"/>
      <c r="AML14" s="490"/>
      <c r="AMM14" s="479"/>
      <c r="AMN14" s="492"/>
      <c r="AMO14" s="508"/>
      <c r="AMP14" s="509"/>
      <c r="AMQ14" s="509"/>
      <c r="AMR14" s="509"/>
      <c r="AMS14" s="510"/>
      <c r="AMT14" s="513" t="s">
        <v>160</v>
      </c>
      <c r="AMU14" s="514"/>
      <c r="AMV14" s="514"/>
      <c r="AMW14" s="515"/>
      <c r="AMX14" s="42" t="s">
        <v>160</v>
      </c>
      <c r="AMY14" s="513" t="s">
        <v>160</v>
      </c>
      <c r="AMZ14" s="514"/>
      <c r="ANA14" s="514"/>
      <c r="ANB14" s="515"/>
      <c r="ANC14" s="42" t="s">
        <v>160</v>
      </c>
      <c r="AND14" s="513" t="s">
        <v>160</v>
      </c>
      <c r="ANE14" s="514"/>
      <c r="ANF14" s="514"/>
      <c r="ANG14" s="515"/>
      <c r="ANH14" s="490"/>
      <c r="ANI14" s="513" t="s">
        <v>160</v>
      </c>
      <c r="ANJ14" s="514"/>
      <c r="ANK14" s="514"/>
      <c r="ANL14" s="515"/>
      <c r="ANM14" s="490"/>
      <c r="ANN14" s="479"/>
      <c r="ANO14" s="492"/>
      <c r="ANP14" s="508"/>
      <c r="ANQ14" s="509"/>
      <c r="ANR14" s="509"/>
      <c r="ANS14" s="509"/>
      <c r="ANT14" s="510"/>
      <c r="ANU14" s="513" t="s">
        <v>160</v>
      </c>
      <c r="ANV14" s="514"/>
      <c r="ANW14" s="514"/>
      <c r="ANX14" s="515"/>
      <c r="ANY14" s="42" t="s">
        <v>160</v>
      </c>
      <c r="ANZ14" s="513" t="s">
        <v>160</v>
      </c>
      <c r="AOA14" s="514"/>
      <c r="AOB14" s="514"/>
      <c r="AOC14" s="515"/>
      <c r="AOD14" s="490"/>
      <c r="AOE14" s="513" t="s">
        <v>160</v>
      </c>
      <c r="AOF14" s="514"/>
      <c r="AOG14" s="514"/>
      <c r="AOH14" s="515"/>
      <c r="AOI14" s="521"/>
      <c r="AOJ14" s="522"/>
      <c r="AOK14" s="513" t="s">
        <v>160</v>
      </c>
      <c r="AOL14" s="514"/>
      <c r="AOM14" s="514"/>
      <c r="AON14" s="515"/>
      <c r="AOO14" s="490"/>
      <c r="AOP14" s="479"/>
      <c r="AOQ14" s="492"/>
      <c r="AOR14" s="508"/>
      <c r="AOS14" s="509"/>
      <c r="AOT14" s="509"/>
      <c r="AOU14" s="509"/>
      <c r="AOV14" s="510"/>
      <c r="AOW14" s="513" t="s">
        <v>160</v>
      </c>
      <c r="AOX14" s="514"/>
      <c r="AOY14" s="514"/>
      <c r="AOZ14" s="515"/>
      <c r="APA14" s="494" t="s">
        <v>160</v>
      </c>
      <c r="APB14" s="513" t="s">
        <v>160</v>
      </c>
      <c r="APC14" s="514"/>
      <c r="APD14" s="514"/>
      <c r="APE14" s="515"/>
      <c r="APF14" s="494" t="s">
        <v>160</v>
      </c>
      <c r="APG14" s="513" t="s">
        <v>160</v>
      </c>
      <c r="APH14" s="514"/>
      <c r="API14" s="514"/>
      <c r="APJ14" s="515"/>
      <c r="APK14" s="490"/>
      <c r="APL14" s="513" t="s">
        <v>160</v>
      </c>
      <c r="APM14" s="514"/>
      <c r="APN14" s="514"/>
      <c r="APO14" s="515"/>
      <c r="APP14" s="42" t="s">
        <v>160</v>
      </c>
      <c r="APQ14" s="479"/>
      <c r="APR14" s="492"/>
      <c r="APS14" s="508"/>
      <c r="APT14" s="509"/>
      <c r="APU14" s="509"/>
      <c r="APV14" s="509"/>
      <c r="APW14" s="510"/>
      <c r="APX14" s="513" t="s">
        <v>160</v>
      </c>
      <c r="APY14" s="514"/>
      <c r="APZ14" s="514"/>
      <c r="AQA14" s="515"/>
      <c r="AQB14" s="42" t="s">
        <v>160</v>
      </c>
      <c r="AQC14" s="513" t="s">
        <v>160</v>
      </c>
      <c r="AQD14" s="514"/>
      <c r="AQE14" s="514"/>
      <c r="AQF14" s="515"/>
      <c r="AQG14" s="494" t="s">
        <v>160</v>
      </c>
      <c r="AQH14" s="513" t="s">
        <v>160</v>
      </c>
      <c r="AQI14" s="514"/>
      <c r="AQJ14" s="514"/>
      <c r="AQK14" s="515"/>
      <c r="AQL14" s="490"/>
      <c r="AQM14" s="513" t="s">
        <v>160</v>
      </c>
      <c r="AQN14" s="514"/>
      <c r="AQO14" s="514"/>
      <c r="AQP14" s="515"/>
      <c r="AQQ14" s="490"/>
      <c r="AQR14" s="479"/>
      <c r="AQS14" s="492"/>
      <c r="AQT14" s="508"/>
      <c r="AQU14" s="509"/>
      <c r="AQV14" s="509"/>
      <c r="AQW14" s="509"/>
      <c r="AQX14" s="510"/>
      <c r="AQY14" s="513" t="s">
        <v>160</v>
      </c>
      <c r="AQZ14" s="514"/>
      <c r="ARA14" s="514"/>
      <c r="ARB14" s="515"/>
      <c r="ARC14" s="494" t="s">
        <v>160</v>
      </c>
      <c r="ARD14" s="513" t="s">
        <v>160</v>
      </c>
      <c r="ARE14" s="514"/>
      <c r="ARF14" s="514"/>
      <c r="ARG14" s="515"/>
      <c r="ARH14" s="42" t="s">
        <v>160</v>
      </c>
      <c r="ARI14" s="513" t="s">
        <v>160</v>
      </c>
      <c r="ARJ14" s="514"/>
      <c r="ARK14" s="514"/>
      <c r="ARL14" s="515"/>
      <c r="ARM14" s="42" t="s">
        <v>160</v>
      </c>
      <c r="ARN14" s="513" t="s">
        <v>160</v>
      </c>
      <c r="ARO14" s="514"/>
      <c r="ARP14" s="514"/>
      <c r="ARQ14" s="515"/>
      <c r="ARR14" s="494" t="s">
        <v>160</v>
      </c>
      <c r="ARS14" s="479"/>
      <c r="ART14" s="492"/>
      <c r="ARU14" s="508"/>
      <c r="ARV14" s="509"/>
      <c r="ARW14" s="509"/>
      <c r="ARX14" s="509"/>
      <c r="ARY14" s="510"/>
      <c r="ARZ14" s="513" t="s">
        <v>160</v>
      </c>
      <c r="ASA14" s="514"/>
      <c r="ASB14" s="514"/>
      <c r="ASC14" s="515"/>
      <c r="ASD14" s="494" t="s">
        <v>160</v>
      </c>
      <c r="ASE14" s="513" t="s">
        <v>160</v>
      </c>
      <c r="ASF14" s="514"/>
      <c r="ASG14" s="514"/>
      <c r="ASH14" s="515"/>
      <c r="ASI14" s="494" t="s">
        <v>160</v>
      </c>
      <c r="ASJ14" s="513" t="s">
        <v>160</v>
      </c>
      <c r="ASK14" s="514"/>
      <c r="ASL14" s="514"/>
      <c r="ASM14" s="515"/>
      <c r="ASN14" s="494" t="s">
        <v>160</v>
      </c>
      <c r="ASO14" s="513" t="s">
        <v>160</v>
      </c>
      <c r="ASP14" s="514"/>
      <c r="ASQ14" s="514"/>
      <c r="ASR14" s="515"/>
      <c r="ASS14" s="494" t="s">
        <v>160</v>
      </c>
      <c r="AST14" s="479"/>
      <c r="ASU14" s="492"/>
      <c r="ASV14" s="508"/>
      <c r="ASW14" s="509"/>
      <c r="ASX14" s="509"/>
      <c r="ASY14" s="509"/>
      <c r="ASZ14" s="510"/>
      <c r="ATA14" s="513" t="s">
        <v>160</v>
      </c>
      <c r="ATB14" s="514"/>
      <c r="ATC14" s="514"/>
      <c r="ATD14" s="515"/>
      <c r="ATE14" s="494" t="s">
        <v>160</v>
      </c>
      <c r="ATF14" s="513" t="s">
        <v>160</v>
      </c>
      <c r="ATG14" s="514"/>
      <c r="ATH14" s="514"/>
      <c r="ATI14" s="515"/>
      <c r="ATJ14" s="42" t="s">
        <v>160</v>
      </c>
      <c r="ATK14" s="513" t="s">
        <v>160</v>
      </c>
      <c r="ATL14" s="514"/>
      <c r="ATM14" s="514"/>
      <c r="ATN14" s="515"/>
      <c r="ATO14" s="42" t="s">
        <v>160</v>
      </c>
      <c r="ATP14" s="513" t="s">
        <v>160</v>
      </c>
      <c r="ATQ14" s="514"/>
      <c r="ATR14" s="514"/>
      <c r="ATS14" s="515"/>
      <c r="ATT14" s="490"/>
      <c r="ATU14" s="479"/>
      <c r="ATV14" s="492"/>
      <c r="ATW14" s="508"/>
      <c r="ATX14" s="509"/>
      <c r="ATY14" s="509"/>
      <c r="ATZ14" s="509"/>
      <c r="AUA14" s="510"/>
      <c r="AUB14" s="513" t="s">
        <v>160</v>
      </c>
      <c r="AUC14" s="514"/>
      <c r="AUD14" s="514"/>
      <c r="AUE14" s="515"/>
      <c r="AUF14" s="490"/>
      <c r="AUG14" s="513" t="s">
        <v>160</v>
      </c>
      <c r="AUH14" s="514"/>
      <c r="AUI14" s="514"/>
      <c r="AUJ14" s="515"/>
      <c r="AUK14" s="490"/>
      <c r="AUL14" s="513" t="s">
        <v>160</v>
      </c>
      <c r="AUM14" s="514"/>
      <c r="AUN14" s="514"/>
      <c r="AUO14" s="515"/>
      <c r="AUP14" s="490"/>
      <c r="AUQ14" s="513" t="s">
        <v>160</v>
      </c>
      <c r="AUR14" s="514"/>
      <c r="AUS14" s="514"/>
      <c r="AUT14" s="515"/>
      <c r="AUU14" s="490"/>
      <c r="AUV14" s="479"/>
      <c r="AUW14" s="492"/>
      <c r="AUX14" s="508"/>
      <c r="AUY14" s="509"/>
      <c r="AUZ14" s="509"/>
      <c r="AVA14" s="509"/>
      <c r="AVB14" s="510"/>
      <c r="AVC14" s="513" t="s">
        <v>160</v>
      </c>
      <c r="AVD14" s="514"/>
      <c r="AVE14" s="514"/>
      <c r="AVF14" s="515"/>
      <c r="AVG14" s="490"/>
      <c r="AVH14" s="513" t="s">
        <v>160</v>
      </c>
      <c r="AVI14" s="514"/>
      <c r="AVJ14" s="514"/>
      <c r="AVK14" s="515"/>
      <c r="AVL14" s="490"/>
      <c r="AVM14" s="513" t="s">
        <v>160</v>
      </c>
      <c r="AVN14" s="514"/>
      <c r="AVO14" s="514"/>
      <c r="AVP14" s="515"/>
      <c r="AVQ14" s="490"/>
      <c r="AVR14" s="513" t="s">
        <v>160</v>
      </c>
      <c r="AVS14" s="514"/>
      <c r="AVT14" s="514"/>
      <c r="AVU14" s="515"/>
      <c r="AVV14" s="42" t="s">
        <v>160</v>
      </c>
      <c r="AVW14" s="479"/>
      <c r="AVX14" s="492"/>
      <c r="AVY14" s="508"/>
      <c r="AVZ14" s="509"/>
      <c r="AWA14" s="509"/>
      <c r="AWB14" s="509"/>
      <c r="AWC14" s="510"/>
      <c r="AWD14" s="513" t="s">
        <v>160</v>
      </c>
      <c r="AWE14" s="514"/>
      <c r="AWF14" s="514"/>
      <c r="AWG14" s="515"/>
      <c r="AWH14" s="42" t="s">
        <v>160</v>
      </c>
      <c r="AWI14" s="513" t="s">
        <v>160</v>
      </c>
      <c r="AWJ14" s="514"/>
      <c r="AWK14" s="514"/>
      <c r="AWL14" s="515"/>
      <c r="AWM14" s="42" t="s">
        <v>160</v>
      </c>
      <c r="AWN14" s="513" t="s">
        <v>160</v>
      </c>
      <c r="AWO14" s="514"/>
      <c r="AWP14" s="514"/>
      <c r="AWQ14" s="515"/>
      <c r="AWR14" s="42" t="s">
        <v>160</v>
      </c>
      <c r="AWS14" s="513" t="s">
        <v>160</v>
      </c>
      <c r="AWT14" s="514"/>
      <c r="AWU14" s="514"/>
      <c r="AWV14" s="515"/>
      <c r="AWW14" s="490"/>
      <c r="AWX14" s="479"/>
      <c r="AWY14" s="492"/>
      <c r="AWZ14" s="508"/>
      <c r="AXA14" s="509"/>
      <c r="AXB14" s="509"/>
      <c r="AXC14" s="509"/>
      <c r="AXD14" s="510"/>
      <c r="AXE14" s="513" t="s">
        <v>160</v>
      </c>
      <c r="AXF14" s="514"/>
      <c r="AXG14" s="514"/>
      <c r="AXH14" s="515"/>
      <c r="AXI14" s="490"/>
      <c r="AXJ14" s="513" t="s">
        <v>160</v>
      </c>
      <c r="AXK14" s="514"/>
      <c r="AXL14" s="514"/>
      <c r="AXM14" s="515"/>
      <c r="AXN14" s="490"/>
      <c r="AXO14" s="513" t="s">
        <v>160</v>
      </c>
      <c r="AXP14" s="514"/>
      <c r="AXQ14" s="514"/>
      <c r="AXR14" s="515"/>
      <c r="AXS14" s="42" t="s">
        <v>160</v>
      </c>
      <c r="AXT14" s="513" t="s">
        <v>160</v>
      </c>
      <c r="AXU14" s="514"/>
      <c r="AXV14" s="514"/>
      <c r="AXW14" s="515"/>
      <c r="AXX14" s="42" t="s">
        <v>160</v>
      </c>
      <c r="AXY14" s="479"/>
      <c r="AXZ14" s="492"/>
      <c r="AYA14" s="508"/>
      <c r="AYB14" s="509"/>
      <c r="AYC14" s="509"/>
      <c r="AYD14" s="509"/>
      <c r="AYE14" s="510"/>
      <c r="AYF14" s="513" t="s">
        <v>160</v>
      </c>
      <c r="AYG14" s="514"/>
      <c r="AYH14" s="514"/>
      <c r="AYI14" s="515"/>
      <c r="AYJ14" s="490"/>
      <c r="AYK14" s="513" t="s">
        <v>160</v>
      </c>
      <c r="AYL14" s="514"/>
      <c r="AYM14" s="514"/>
      <c r="AYN14" s="515"/>
      <c r="AYO14" s="490"/>
      <c r="AYP14" s="513" t="s">
        <v>160</v>
      </c>
      <c r="AYQ14" s="514"/>
      <c r="AYR14" s="514"/>
      <c r="AYS14" s="515"/>
      <c r="AYT14" s="42" t="s">
        <v>160</v>
      </c>
      <c r="AYU14" s="513" t="s">
        <v>160</v>
      </c>
      <c r="AYV14" s="514"/>
      <c r="AYW14" s="514"/>
      <c r="AYX14" s="515"/>
      <c r="AYY14" s="490"/>
      <c r="AYZ14" s="479"/>
      <c r="AZA14" s="492"/>
      <c r="AZB14" s="508"/>
      <c r="AZC14" s="509"/>
      <c r="AZD14" s="509"/>
      <c r="AZE14" s="509"/>
      <c r="AZF14" s="510"/>
      <c r="AZG14" s="513" t="s">
        <v>160</v>
      </c>
      <c r="AZH14" s="514"/>
      <c r="AZI14" s="514"/>
      <c r="AZJ14" s="515"/>
      <c r="AZK14" s="490"/>
      <c r="AZL14" s="513" t="s">
        <v>160</v>
      </c>
      <c r="AZM14" s="514"/>
      <c r="AZN14" s="514"/>
      <c r="AZO14" s="515"/>
      <c r="AZP14" s="42" t="s">
        <v>160</v>
      </c>
      <c r="AZQ14" s="513" t="s">
        <v>160</v>
      </c>
      <c r="AZR14" s="514"/>
      <c r="AZS14" s="514"/>
      <c r="AZT14" s="515"/>
      <c r="AZU14" s="42" t="s">
        <v>160</v>
      </c>
      <c r="AZV14" s="513" t="s">
        <v>160</v>
      </c>
      <c r="AZW14" s="514"/>
      <c r="AZX14" s="514"/>
      <c r="AZY14" s="515"/>
      <c r="AZZ14" s="42" t="s">
        <v>160</v>
      </c>
      <c r="BAA14" s="478"/>
      <c r="BAB14" s="492"/>
      <c r="BAC14" s="508"/>
      <c r="BAD14" s="509"/>
      <c r="BAE14" s="509"/>
      <c r="BAF14" s="509"/>
      <c r="BAG14" s="510"/>
      <c r="BAH14" s="513" t="s">
        <v>160</v>
      </c>
      <c r="BAI14" s="514"/>
      <c r="BAJ14" s="514"/>
      <c r="BAK14" s="515"/>
      <c r="BAL14" s="42" t="s">
        <v>160</v>
      </c>
      <c r="BAM14" s="513" t="s">
        <v>160</v>
      </c>
      <c r="BAN14" s="514"/>
      <c r="BAO14" s="514"/>
      <c r="BAP14" s="515"/>
      <c r="BAQ14" s="42" t="s">
        <v>160</v>
      </c>
      <c r="BAR14" s="513" t="s">
        <v>160</v>
      </c>
      <c r="BAS14" s="514"/>
      <c r="BAT14" s="514"/>
      <c r="BAU14" s="515"/>
      <c r="BAV14" s="490"/>
      <c r="BAW14" s="513" t="s">
        <v>160</v>
      </c>
      <c r="BAX14" s="514"/>
      <c r="BAY14" s="514"/>
      <c r="BAZ14" s="515"/>
      <c r="BBA14" s="42" t="s">
        <v>160</v>
      </c>
      <c r="BBB14" s="479"/>
      <c r="BBC14" s="492"/>
      <c r="BBD14" s="508"/>
      <c r="BBE14" s="509"/>
      <c r="BBF14" s="509"/>
      <c r="BBG14" s="509"/>
      <c r="BBH14" s="510"/>
      <c r="BBI14" s="513" t="s">
        <v>160</v>
      </c>
      <c r="BBJ14" s="514"/>
      <c r="BBK14" s="514"/>
      <c r="BBL14" s="515"/>
      <c r="BBM14" s="42" t="s">
        <v>160</v>
      </c>
      <c r="BBN14" s="513" t="s">
        <v>160</v>
      </c>
      <c r="BBO14" s="514"/>
      <c r="BBP14" s="514"/>
      <c r="BBQ14" s="515"/>
      <c r="BBR14" s="42" t="s">
        <v>160</v>
      </c>
      <c r="BBS14" s="513" t="s">
        <v>160</v>
      </c>
      <c r="BBT14" s="514"/>
      <c r="BBU14" s="514"/>
      <c r="BBV14" s="515"/>
      <c r="BBW14" s="42" t="s">
        <v>160</v>
      </c>
      <c r="BBX14" s="513" t="s">
        <v>160</v>
      </c>
      <c r="BBY14" s="514"/>
      <c r="BBZ14" s="514"/>
      <c r="BCA14" s="515"/>
      <c r="BCB14" s="42" t="s">
        <v>160</v>
      </c>
      <c r="BCC14" s="479"/>
      <c r="BCD14" s="492"/>
      <c r="BCE14" s="508"/>
      <c r="BCF14" s="509"/>
      <c r="BCG14" s="509"/>
      <c r="BCH14" s="509"/>
      <c r="BCI14" s="510"/>
      <c r="BCJ14" s="513" t="s">
        <v>160</v>
      </c>
      <c r="BCK14" s="514"/>
      <c r="BCL14" s="514"/>
      <c r="BCM14" s="515"/>
      <c r="BCN14" s="42" t="s">
        <v>160</v>
      </c>
      <c r="BCO14" s="513" t="s">
        <v>160</v>
      </c>
      <c r="BCP14" s="514"/>
      <c r="BCQ14" s="514"/>
      <c r="BCR14" s="515"/>
      <c r="BCS14" s="42" t="s">
        <v>160</v>
      </c>
      <c r="BCT14" s="513" t="s">
        <v>160</v>
      </c>
      <c r="BCU14" s="514"/>
      <c r="BCV14" s="514"/>
      <c r="BCW14" s="515"/>
      <c r="BCX14" s="42" t="s">
        <v>160</v>
      </c>
      <c r="BCY14" s="513" t="s">
        <v>160</v>
      </c>
      <c r="BCZ14" s="514"/>
      <c r="BDA14" s="514"/>
      <c r="BDB14" s="515"/>
      <c r="BDC14" s="42" t="s">
        <v>160</v>
      </c>
      <c r="BDD14" s="479"/>
      <c r="BDE14" s="492"/>
      <c r="BDF14" s="508"/>
      <c r="BDG14" s="509"/>
      <c r="BDH14" s="509"/>
      <c r="BDI14" s="509"/>
      <c r="BDJ14" s="510"/>
      <c r="BDK14" s="513" t="s">
        <v>160</v>
      </c>
      <c r="BDL14" s="514"/>
      <c r="BDM14" s="514"/>
      <c r="BDN14" s="515"/>
      <c r="BDO14" s="42" t="s">
        <v>160</v>
      </c>
      <c r="BDP14" s="513" t="s">
        <v>160</v>
      </c>
      <c r="BDQ14" s="514"/>
      <c r="BDR14" s="514"/>
      <c r="BDS14" s="515"/>
      <c r="BDT14" s="42" t="s">
        <v>160</v>
      </c>
      <c r="BDU14" s="513" t="s">
        <v>160</v>
      </c>
      <c r="BDV14" s="514"/>
      <c r="BDW14" s="514"/>
      <c r="BDX14" s="515"/>
      <c r="BDY14" s="42" t="s">
        <v>160</v>
      </c>
      <c r="BDZ14" s="513" t="s">
        <v>160</v>
      </c>
      <c r="BEA14" s="514"/>
      <c r="BEB14" s="514"/>
      <c r="BEC14" s="515"/>
      <c r="BED14" s="42" t="s">
        <v>160</v>
      </c>
      <c r="BEE14" s="479"/>
      <c r="BEF14" s="492"/>
      <c r="BEG14" s="508"/>
      <c r="BEH14" s="509"/>
      <c r="BEI14" s="509"/>
      <c r="BEJ14" s="509"/>
      <c r="BEK14" s="510"/>
      <c r="BEL14" s="513" t="s">
        <v>160</v>
      </c>
      <c r="BEM14" s="514"/>
      <c r="BEN14" s="514"/>
      <c r="BEO14" s="515"/>
      <c r="BEP14" s="42" t="s">
        <v>160</v>
      </c>
      <c r="BEQ14" s="513" t="s">
        <v>160</v>
      </c>
      <c r="BER14" s="514"/>
      <c r="BES14" s="514"/>
      <c r="BET14" s="515"/>
      <c r="BEU14" s="490"/>
      <c r="BEV14" s="513" t="s">
        <v>160</v>
      </c>
      <c r="BEW14" s="514"/>
      <c r="BEX14" s="514"/>
      <c r="BEY14" s="515"/>
      <c r="BEZ14" s="42" t="s">
        <v>160</v>
      </c>
      <c r="BFA14" s="513" t="s">
        <v>160</v>
      </c>
      <c r="BFB14" s="514"/>
      <c r="BFC14" s="514"/>
      <c r="BFD14" s="515"/>
      <c r="BFE14" s="42" t="s">
        <v>160</v>
      </c>
      <c r="BFF14" s="479"/>
      <c r="BFG14" s="492"/>
      <c r="BFH14" s="508"/>
      <c r="BFI14" s="509"/>
      <c r="BFJ14" s="509"/>
      <c r="BFK14" s="509"/>
      <c r="BFL14" s="510"/>
      <c r="BFM14" s="513" t="s">
        <v>160</v>
      </c>
      <c r="BFN14" s="514"/>
      <c r="BFO14" s="514"/>
      <c r="BFP14" s="515"/>
      <c r="BFQ14" s="42" t="s">
        <v>160</v>
      </c>
      <c r="BFR14" s="513" t="s">
        <v>160</v>
      </c>
      <c r="BFS14" s="514"/>
      <c r="BFT14" s="514"/>
      <c r="BFU14" s="515"/>
      <c r="BFV14" s="42" t="s">
        <v>160</v>
      </c>
      <c r="BFW14" s="513"/>
      <c r="BFX14" s="514"/>
      <c r="BFY14" s="514"/>
      <c r="BFZ14" s="515"/>
      <c r="BGA14" s="42"/>
      <c r="BGB14" s="513"/>
      <c r="BGC14" s="514"/>
      <c r="BGD14" s="514"/>
      <c r="BGE14" s="515"/>
      <c r="BGF14" s="42"/>
    </row>
    <row r="15" spans="1:1540" ht="45" customHeight="1" x14ac:dyDescent="0.4">
      <c r="A15" s="478"/>
      <c r="B15" s="492"/>
      <c r="C15" s="511"/>
      <c r="D15" s="487"/>
      <c r="E15" s="487"/>
      <c r="F15" s="487"/>
      <c r="G15" s="488"/>
      <c r="H15" s="496">
        <v>0.49999999999999978</v>
      </c>
      <c r="I15" s="497"/>
      <c r="J15" s="497"/>
      <c r="K15" s="498"/>
      <c r="L15" s="81">
        <v>0.52083333333333337</v>
      </c>
      <c r="M15" s="496">
        <v>0.49999999999999978</v>
      </c>
      <c r="N15" s="497"/>
      <c r="O15" s="497"/>
      <c r="P15" s="498"/>
      <c r="Q15" s="81">
        <v>0.54166666666666641</v>
      </c>
      <c r="R15" s="496">
        <v>0.54166666666666652</v>
      </c>
      <c r="S15" s="497"/>
      <c r="T15" s="497"/>
      <c r="U15" s="498"/>
      <c r="V15" s="81">
        <v>0.52083333333333337</v>
      </c>
      <c r="W15" s="496">
        <v>0.54166666666666652</v>
      </c>
      <c r="X15" s="497"/>
      <c r="Y15" s="497"/>
      <c r="Z15" s="498"/>
      <c r="AA15" s="81">
        <v>0.52083333333333337</v>
      </c>
      <c r="AB15" s="479"/>
      <c r="AC15" s="492"/>
      <c r="AD15" s="511"/>
      <c r="AE15" s="487"/>
      <c r="AF15" s="487"/>
      <c r="AG15" s="487"/>
      <c r="AH15" s="488"/>
      <c r="AI15" s="496">
        <v>0.54166666666666652</v>
      </c>
      <c r="AJ15" s="497"/>
      <c r="AK15" s="497"/>
      <c r="AL15" s="498"/>
      <c r="AM15" s="517"/>
      <c r="AN15" s="496">
        <v>0.54166666666666663</v>
      </c>
      <c r="AO15" s="497"/>
      <c r="AP15" s="497"/>
      <c r="AQ15" s="498"/>
      <c r="AR15" s="81">
        <v>0.54166666666666663</v>
      </c>
      <c r="AS15" s="496">
        <v>0.52083333333333315</v>
      </c>
      <c r="AT15" s="497"/>
      <c r="AU15" s="497"/>
      <c r="AV15" s="498"/>
      <c r="AW15" s="81">
        <v>0.54166666666666663</v>
      </c>
      <c r="AX15" s="496">
        <v>0.54166666666666652</v>
      </c>
      <c r="AY15" s="497"/>
      <c r="AZ15" s="497"/>
      <c r="BA15" s="498"/>
      <c r="BB15" s="81">
        <v>0.54166666666666641</v>
      </c>
      <c r="BC15" s="479"/>
      <c r="BD15" s="492"/>
      <c r="BE15" s="511"/>
      <c r="BF15" s="487"/>
      <c r="BG15" s="487"/>
      <c r="BH15" s="487"/>
      <c r="BI15" s="488"/>
      <c r="BJ15" s="496">
        <v>0.54166666666666652</v>
      </c>
      <c r="BK15" s="497"/>
      <c r="BL15" s="497"/>
      <c r="BM15" s="498"/>
      <c r="BN15" s="81">
        <v>0.54166666666666641</v>
      </c>
      <c r="BO15" s="496">
        <v>0.54166666666666652</v>
      </c>
      <c r="BP15" s="497"/>
      <c r="BQ15" s="497"/>
      <c r="BR15" s="498"/>
      <c r="BS15" s="81">
        <v>0.54166666666666641</v>
      </c>
      <c r="BT15" s="496">
        <v>0.54166666666666652</v>
      </c>
      <c r="BU15" s="497"/>
      <c r="BV15" s="497"/>
      <c r="BW15" s="498"/>
      <c r="BX15" s="81">
        <v>0.54166666666666641</v>
      </c>
      <c r="BY15" s="496">
        <v>0.47916666666666646</v>
      </c>
      <c r="BZ15" s="497"/>
      <c r="CA15" s="497"/>
      <c r="CB15" s="498"/>
      <c r="CC15" s="81">
        <v>0.47916666666666669</v>
      </c>
      <c r="CD15" s="479"/>
      <c r="CE15" s="492"/>
      <c r="CF15" s="511"/>
      <c r="CG15" s="487"/>
      <c r="CH15" s="487"/>
      <c r="CI15" s="487"/>
      <c r="CJ15" s="488"/>
      <c r="CK15" s="496">
        <v>0.54166666666666663</v>
      </c>
      <c r="CL15" s="497"/>
      <c r="CM15" s="497"/>
      <c r="CN15" s="498"/>
      <c r="CO15" s="81">
        <v>0.54166666666666641</v>
      </c>
      <c r="CP15" s="496">
        <v>0.54166666666666652</v>
      </c>
      <c r="CQ15" s="497"/>
      <c r="CR15" s="497"/>
      <c r="CS15" s="498"/>
      <c r="CT15" s="81">
        <v>0.54166666666666641</v>
      </c>
      <c r="CU15" s="496">
        <v>0.54166666666666652</v>
      </c>
      <c r="CV15" s="497"/>
      <c r="CW15" s="497"/>
      <c r="CX15" s="498"/>
      <c r="CY15" s="517"/>
      <c r="CZ15" s="496">
        <v>0.54166666666666652</v>
      </c>
      <c r="DA15" s="497"/>
      <c r="DB15" s="497"/>
      <c r="DC15" s="498"/>
      <c r="DD15" s="81">
        <v>0.54166666666666641</v>
      </c>
      <c r="DE15" s="479"/>
      <c r="DF15" s="492"/>
      <c r="DG15" s="511"/>
      <c r="DH15" s="487"/>
      <c r="DI15" s="487"/>
      <c r="DJ15" s="487"/>
      <c r="DK15" s="488"/>
      <c r="DL15" s="496">
        <v>0.54166666666666652</v>
      </c>
      <c r="DM15" s="497"/>
      <c r="DN15" s="497"/>
      <c r="DO15" s="498"/>
      <c r="DP15" s="517"/>
      <c r="DQ15" s="496">
        <v>0.54166666666666652</v>
      </c>
      <c r="DR15" s="497"/>
      <c r="DS15" s="497"/>
      <c r="DT15" s="498"/>
      <c r="DU15" s="81">
        <v>0.52083333333333337</v>
      </c>
      <c r="DV15" s="496">
        <v>0.52083333333333315</v>
      </c>
      <c r="DW15" s="497"/>
      <c r="DX15" s="497"/>
      <c r="DY15" s="498"/>
      <c r="DZ15" s="81">
        <v>0.52083333333333337</v>
      </c>
      <c r="EA15" s="496">
        <v>0.54166666666666652</v>
      </c>
      <c r="EB15" s="497"/>
      <c r="EC15" s="497"/>
      <c r="ED15" s="498"/>
      <c r="EE15" s="81">
        <v>0.54166666666666641</v>
      </c>
      <c r="EF15" s="479"/>
      <c r="EG15" s="492"/>
      <c r="EH15" s="511"/>
      <c r="EI15" s="487"/>
      <c r="EJ15" s="487"/>
      <c r="EK15" s="487"/>
      <c r="EL15" s="488"/>
      <c r="EM15" s="496">
        <v>0.54166666666666652</v>
      </c>
      <c r="EN15" s="497"/>
      <c r="EO15" s="497"/>
      <c r="EP15" s="498"/>
      <c r="EQ15" s="81">
        <v>0.54166666666666641</v>
      </c>
      <c r="ER15" s="496">
        <v>0.54166666666666652</v>
      </c>
      <c r="ES15" s="497"/>
      <c r="ET15" s="497"/>
      <c r="EU15" s="498"/>
      <c r="EV15" s="81">
        <v>0.52083333333333337</v>
      </c>
      <c r="EW15" s="496">
        <v>0.54166666666666652</v>
      </c>
      <c r="EX15" s="497"/>
      <c r="EY15" s="497"/>
      <c r="EZ15" s="498"/>
      <c r="FA15" s="517"/>
      <c r="FB15" s="496">
        <v>0.49999999999999978</v>
      </c>
      <c r="FC15" s="497"/>
      <c r="FD15" s="497"/>
      <c r="FE15" s="498"/>
      <c r="FF15" s="81">
        <v>0.58333333333333337</v>
      </c>
      <c r="FG15" s="479"/>
      <c r="FH15" s="492"/>
      <c r="FI15" s="511"/>
      <c r="FJ15" s="487"/>
      <c r="FK15" s="487"/>
      <c r="FL15" s="487"/>
      <c r="FM15" s="488"/>
      <c r="FN15" s="496">
        <v>0.54166666666666663</v>
      </c>
      <c r="FO15" s="497"/>
      <c r="FP15" s="497"/>
      <c r="FQ15" s="498"/>
      <c r="FR15" s="81">
        <v>0.52083333333333337</v>
      </c>
      <c r="FS15" s="496">
        <v>0.52083333333333315</v>
      </c>
      <c r="FT15" s="497"/>
      <c r="FU15" s="497"/>
      <c r="FV15" s="498"/>
      <c r="FW15" s="81">
        <v>0.54166666666666663</v>
      </c>
      <c r="FX15" s="496">
        <v>0.49999999999999978</v>
      </c>
      <c r="FY15" s="497"/>
      <c r="FZ15" s="497"/>
      <c r="GA15" s="498"/>
      <c r="GB15" s="81">
        <v>0.50000000000000033</v>
      </c>
      <c r="GC15" s="496">
        <v>0.49999999999999978</v>
      </c>
      <c r="GD15" s="497"/>
      <c r="GE15" s="497"/>
      <c r="GF15" s="498"/>
      <c r="GG15" s="81">
        <v>0.5</v>
      </c>
      <c r="GH15" s="479"/>
      <c r="GI15" s="492"/>
      <c r="GJ15" s="511"/>
      <c r="GK15" s="487"/>
      <c r="GL15" s="487"/>
      <c r="GM15" s="487"/>
      <c r="GN15" s="488"/>
      <c r="GO15" s="496">
        <v>0.49999999999999978</v>
      </c>
      <c r="GP15" s="497"/>
      <c r="GQ15" s="497"/>
      <c r="GR15" s="498"/>
      <c r="GS15" s="81">
        <v>0.45833333333333331</v>
      </c>
      <c r="GT15" s="496">
        <v>0.54166666666666652</v>
      </c>
      <c r="GU15" s="497"/>
      <c r="GV15" s="497"/>
      <c r="GW15" s="498"/>
      <c r="GX15" s="81">
        <v>0.54166666666666663</v>
      </c>
      <c r="GY15" s="496">
        <v>0.54166666666666663</v>
      </c>
      <c r="GZ15" s="497"/>
      <c r="HA15" s="497"/>
      <c r="HB15" s="498"/>
      <c r="HC15" s="81">
        <v>0.52083333333333337</v>
      </c>
      <c r="HD15" s="496">
        <v>0.54166666666666652</v>
      </c>
      <c r="HE15" s="497"/>
      <c r="HF15" s="497"/>
      <c r="HG15" s="498"/>
      <c r="HH15" s="81">
        <v>0.54166666666666663</v>
      </c>
      <c r="HI15" s="479"/>
      <c r="HJ15" s="492"/>
      <c r="HK15" s="511"/>
      <c r="HL15" s="487"/>
      <c r="HM15" s="487"/>
      <c r="HN15" s="487"/>
      <c r="HO15" s="488"/>
      <c r="HP15" s="496">
        <v>0.54166666666666652</v>
      </c>
      <c r="HQ15" s="497"/>
      <c r="HR15" s="497"/>
      <c r="HS15" s="498"/>
      <c r="HT15" s="81">
        <v>0.52083333333333337</v>
      </c>
      <c r="HU15" s="496">
        <v>0.54166666666666652</v>
      </c>
      <c r="HV15" s="497"/>
      <c r="HW15" s="497"/>
      <c r="HX15" s="498"/>
      <c r="HY15" s="81">
        <v>0.54166666666666641</v>
      </c>
      <c r="HZ15" s="496">
        <v>0.52083333333333315</v>
      </c>
      <c r="IA15" s="497"/>
      <c r="IB15" s="497"/>
      <c r="IC15" s="498"/>
      <c r="ID15" s="81">
        <v>0.54166666666666641</v>
      </c>
      <c r="IE15" s="496">
        <v>0.54166666666666652</v>
      </c>
      <c r="IF15" s="497"/>
      <c r="IG15" s="497"/>
      <c r="IH15" s="498"/>
      <c r="II15" s="81">
        <v>0.54166666666666641</v>
      </c>
      <c r="IJ15" s="478"/>
      <c r="IK15" s="492"/>
      <c r="IL15" s="511"/>
      <c r="IM15" s="487"/>
      <c r="IN15" s="487"/>
      <c r="IO15" s="487"/>
      <c r="IP15" s="488"/>
      <c r="IQ15" s="496">
        <v>0.54166666666666652</v>
      </c>
      <c r="IR15" s="497"/>
      <c r="IS15" s="497"/>
      <c r="IT15" s="498"/>
      <c r="IU15" s="81">
        <v>0.52083333333333337</v>
      </c>
      <c r="IV15" s="496">
        <v>0.54166666666666652</v>
      </c>
      <c r="IW15" s="497"/>
      <c r="IX15" s="497"/>
      <c r="IY15" s="498"/>
      <c r="IZ15" s="81">
        <v>0.52083333333333337</v>
      </c>
      <c r="JA15" s="496">
        <v>0.54166666666666652</v>
      </c>
      <c r="JB15" s="497"/>
      <c r="JC15" s="497"/>
      <c r="JD15" s="498"/>
      <c r="JE15" s="517"/>
      <c r="JF15" s="496">
        <v>0.52083333333333315</v>
      </c>
      <c r="JG15" s="497"/>
      <c r="JH15" s="497"/>
      <c r="JI15" s="498"/>
      <c r="JJ15" s="81">
        <v>0.56250000000000033</v>
      </c>
      <c r="JK15" s="479"/>
      <c r="JL15" s="492"/>
      <c r="JM15" s="511"/>
      <c r="JN15" s="487"/>
      <c r="JO15" s="487"/>
      <c r="JP15" s="487"/>
      <c r="JQ15" s="488"/>
      <c r="JR15" s="496">
        <v>0.52083333333333315</v>
      </c>
      <c r="JS15" s="497"/>
      <c r="JT15" s="497"/>
      <c r="JU15" s="498"/>
      <c r="JV15" s="81">
        <v>0.52083333333333337</v>
      </c>
      <c r="JW15" s="496">
        <v>0.52083333333333315</v>
      </c>
      <c r="JX15" s="497"/>
      <c r="JY15" s="497"/>
      <c r="JZ15" s="498"/>
      <c r="KA15" s="81">
        <v>0.4791666666666663</v>
      </c>
      <c r="KB15" s="496">
        <v>0.54166666666666663</v>
      </c>
      <c r="KC15" s="497"/>
      <c r="KD15" s="497"/>
      <c r="KE15" s="498"/>
      <c r="KF15" s="81">
        <v>0.54166666666666641</v>
      </c>
      <c r="KG15" s="496">
        <v>0.54166666666666652</v>
      </c>
      <c r="KH15" s="497"/>
      <c r="KI15" s="497"/>
      <c r="KJ15" s="498"/>
      <c r="KK15" s="81">
        <v>0.54166666666666641</v>
      </c>
      <c r="KL15" s="479"/>
      <c r="KM15" s="492"/>
      <c r="KN15" s="511"/>
      <c r="KO15" s="487"/>
      <c r="KP15" s="487"/>
      <c r="KQ15" s="487"/>
      <c r="KR15" s="488"/>
      <c r="KS15" s="496">
        <v>0.54166666666666652</v>
      </c>
      <c r="KT15" s="497"/>
      <c r="KU15" s="497"/>
      <c r="KV15" s="498"/>
      <c r="KW15" s="81">
        <v>0.54166666666666641</v>
      </c>
      <c r="KX15" s="496">
        <v>0.54166666666666652</v>
      </c>
      <c r="KY15" s="497"/>
      <c r="KZ15" s="497"/>
      <c r="LA15" s="498"/>
      <c r="LB15" s="81">
        <v>0.54166666666666641</v>
      </c>
      <c r="LC15" s="496">
        <v>0.54166666666666652</v>
      </c>
      <c r="LD15" s="497"/>
      <c r="LE15" s="497"/>
      <c r="LF15" s="498"/>
      <c r="LG15" s="81">
        <v>0.4791666666666663</v>
      </c>
      <c r="LH15" s="496">
        <v>0.45833333333333315</v>
      </c>
      <c r="LI15" s="497"/>
      <c r="LJ15" s="497"/>
      <c r="LK15" s="498"/>
      <c r="LL15" s="81">
        <v>0.4791666666666663</v>
      </c>
      <c r="LM15" s="479"/>
      <c r="LN15" s="492"/>
      <c r="LO15" s="511"/>
      <c r="LP15" s="487"/>
      <c r="LQ15" s="487"/>
      <c r="LR15" s="487"/>
      <c r="LS15" s="488"/>
      <c r="LT15" s="496">
        <v>0.54166666666666652</v>
      </c>
      <c r="LU15" s="497"/>
      <c r="LV15" s="497"/>
      <c r="LW15" s="498"/>
      <c r="LX15" s="517"/>
      <c r="LY15" s="496">
        <v>0.54166666666666652</v>
      </c>
      <c r="LZ15" s="497"/>
      <c r="MA15" s="497"/>
      <c r="MB15" s="498"/>
      <c r="MC15" s="81">
        <v>0.62500000000000033</v>
      </c>
      <c r="MD15" s="496">
        <v>0.54166666666666652</v>
      </c>
      <c r="ME15" s="497"/>
      <c r="MF15" s="497"/>
      <c r="MG15" s="498"/>
      <c r="MH15" s="517"/>
      <c r="MI15" s="496">
        <v>0.54166666666666652</v>
      </c>
      <c r="MJ15" s="497"/>
      <c r="MK15" s="497"/>
      <c r="ML15" s="498"/>
      <c r="MM15" s="81">
        <v>0.54166666666666641</v>
      </c>
      <c r="MN15" s="479"/>
      <c r="MO15" s="492"/>
      <c r="MP15" s="511"/>
      <c r="MQ15" s="487"/>
      <c r="MR15" s="487"/>
      <c r="MS15" s="487"/>
      <c r="MT15" s="488"/>
      <c r="MU15" s="496">
        <v>0.49999999999999978</v>
      </c>
      <c r="MV15" s="497"/>
      <c r="MW15" s="497"/>
      <c r="MX15" s="498"/>
      <c r="MY15" s="81">
        <v>0.41666666666666669</v>
      </c>
      <c r="MZ15" s="496">
        <v>0.52083333333333315</v>
      </c>
      <c r="NA15" s="497"/>
      <c r="NB15" s="497"/>
      <c r="NC15" s="498"/>
      <c r="ND15" s="517"/>
      <c r="NE15" s="496">
        <v>0.54166666666666663</v>
      </c>
      <c r="NF15" s="497"/>
      <c r="NG15" s="497"/>
      <c r="NH15" s="498"/>
      <c r="NI15" s="81">
        <v>0.52083333333333437</v>
      </c>
      <c r="NJ15" s="496">
        <v>0.52083333333333315</v>
      </c>
      <c r="NK15" s="497"/>
      <c r="NL15" s="497"/>
      <c r="NM15" s="498"/>
      <c r="NN15" s="81">
        <v>0.52083333333333437</v>
      </c>
      <c r="NO15" s="479"/>
      <c r="NP15" s="492"/>
      <c r="NQ15" s="511"/>
      <c r="NR15" s="487"/>
      <c r="NS15" s="487"/>
      <c r="NT15" s="487"/>
      <c r="NU15" s="488"/>
      <c r="NV15" s="496">
        <v>0.54166666666666652</v>
      </c>
      <c r="NW15" s="497"/>
      <c r="NX15" s="497"/>
      <c r="NY15" s="498"/>
      <c r="NZ15" s="517"/>
      <c r="OA15" s="496">
        <v>0.49999999999999978</v>
      </c>
      <c r="OB15" s="497"/>
      <c r="OC15" s="497"/>
      <c r="OD15" s="498"/>
      <c r="OE15" s="81">
        <v>0.50000000000000033</v>
      </c>
      <c r="OF15" s="496">
        <v>0.54166666666666652</v>
      </c>
      <c r="OG15" s="497"/>
      <c r="OH15" s="497"/>
      <c r="OI15" s="498"/>
      <c r="OJ15" s="517"/>
      <c r="OK15" s="496">
        <v>0.54166666666666652</v>
      </c>
      <c r="OL15" s="497"/>
      <c r="OM15" s="497"/>
      <c r="ON15" s="498"/>
      <c r="OO15" s="517"/>
      <c r="OP15" s="479"/>
      <c r="OQ15" s="492"/>
      <c r="OR15" s="511"/>
      <c r="OS15" s="487"/>
      <c r="OT15" s="487"/>
      <c r="OU15" s="487"/>
      <c r="OV15" s="488"/>
      <c r="OW15" s="496">
        <v>0.54166666666666652</v>
      </c>
      <c r="OX15" s="497"/>
      <c r="OY15" s="497"/>
      <c r="OZ15" s="498"/>
      <c r="PA15" s="517"/>
      <c r="PB15" s="496">
        <v>0.54166666666666652</v>
      </c>
      <c r="PC15" s="497"/>
      <c r="PD15" s="497"/>
      <c r="PE15" s="498"/>
      <c r="PF15" s="81">
        <v>0.54166666666666841</v>
      </c>
      <c r="PG15" s="496">
        <v>0.54166666666666652</v>
      </c>
      <c r="PH15" s="497"/>
      <c r="PI15" s="497"/>
      <c r="PJ15" s="498"/>
      <c r="PK15" s="81">
        <v>0.43750000000000033</v>
      </c>
      <c r="PL15" s="496">
        <v>0.54166666666666652</v>
      </c>
      <c r="PM15" s="497"/>
      <c r="PN15" s="497"/>
      <c r="PO15" s="498"/>
      <c r="PP15" s="81">
        <v>0.50000000000000033</v>
      </c>
      <c r="PQ15" s="479"/>
      <c r="PR15" s="492"/>
      <c r="PS15" s="511"/>
      <c r="PT15" s="487"/>
      <c r="PU15" s="487"/>
      <c r="PV15" s="487"/>
      <c r="PW15" s="488"/>
      <c r="PX15" s="496">
        <v>0.52083333333333315</v>
      </c>
      <c r="PY15" s="497"/>
      <c r="PZ15" s="497"/>
      <c r="QA15" s="498"/>
      <c r="QB15" s="517"/>
      <c r="QC15" s="496">
        <v>0.54166666666666652</v>
      </c>
      <c r="QD15" s="497"/>
      <c r="QE15" s="497"/>
      <c r="QF15" s="498"/>
      <c r="QG15" s="81">
        <v>0.52083333333333437</v>
      </c>
      <c r="QH15" s="496">
        <v>0.54166666666666652</v>
      </c>
      <c r="QI15" s="497"/>
      <c r="QJ15" s="497"/>
      <c r="QK15" s="498"/>
      <c r="QL15" s="517"/>
      <c r="QM15" s="496">
        <v>0.52083333333333315</v>
      </c>
      <c r="QN15" s="497"/>
      <c r="QO15" s="497"/>
      <c r="QP15" s="498"/>
      <c r="QQ15" s="517"/>
      <c r="QR15" s="479"/>
      <c r="QS15" s="492"/>
      <c r="QT15" s="511"/>
      <c r="QU15" s="487"/>
      <c r="QV15" s="487"/>
      <c r="QW15" s="487"/>
      <c r="QX15" s="488"/>
      <c r="QY15" s="496">
        <v>0.54166666666666652</v>
      </c>
      <c r="QZ15" s="497"/>
      <c r="RA15" s="497"/>
      <c r="RB15" s="498"/>
      <c r="RC15" s="517"/>
      <c r="RD15" s="496">
        <v>0.52083333333333315</v>
      </c>
      <c r="RE15" s="497"/>
      <c r="RF15" s="497"/>
      <c r="RG15" s="498"/>
      <c r="RH15" s="517"/>
      <c r="RI15" s="496">
        <v>0.43749999999999983</v>
      </c>
      <c r="RJ15" s="497"/>
      <c r="RK15" s="497"/>
      <c r="RL15" s="498"/>
      <c r="RM15" s="517"/>
      <c r="RN15" s="496">
        <v>0.54166666666666652</v>
      </c>
      <c r="RO15" s="497"/>
      <c r="RP15" s="497"/>
      <c r="RQ15" s="498"/>
      <c r="RR15" s="517"/>
      <c r="RS15" s="479"/>
      <c r="RT15" s="492"/>
      <c r="RU15" s="511"/>
      <c r="RV15" s="487"/>
      <c r="RW15" s="487"/>
      <c r="RX15" s="487"/>
      <c r="RY15" s="488"/>
      <c r="RZ15" s="496">
        <v>0.54166666666666652</v>
      </c>
      <c r="SA15" s="497"/>
      <c r="SB15" s="497"/>
      <c r="SC15" s="498"/>
      <c r="SD15" s="517"/>
      <c r="SE15" s="496">
        <v>0.52083333333333315</v>
      </c>
      <c r="SF15" s="497"/>
      <c r="SG15" s="497"/>
      <c r="SH15" s="498"/>
      <c r="SI15" s="517"/>
      <c r="SJ15" s="496">
        <v>0.54166666666666652</v>
      </c>
      <c r="SK15" s="497"/>
      <c r="SL15" s="497"/>
      <c r="SM15" s="498"/>
      <c r="SN15" s="517"/>
      <c r="SO15" s="496">
        <v>0.47916666666666646</v>
      </c>
      <c r="SP15" s="497"/>
      <c r="SQ15" s="497"/>
      <c r="SR15" s="498"/>
      <c r="SS15" s="517"/>
      <c r="ST15" s="479"/>
      <c r="SU15" s="492"/>
      <c r="SV15" s="511"/>
      <c r="SW15" s="487"/>
      <c r="SX15" s="487"/>
      <c r="SY15" s="487"/>
      <c r="SZ15" s="488"/>
      <c r="TA15" s="496">
        <v>0.54166666666666652</v>
      </c>
      <c r="TB15" s="497"/>
      <c r="TC15" s="497"/>
      <c r="TD15" s="498"/>
      <c r="TE15" s="517"/>
      <c r="TF15" s="496">
        <v>0.45833333333333315</v>
      </c>
      <c r="TG15" s="497"/>
      <c r="TH15" s="497"/>
      <c r="TI15" s="498"/>
      <c r="TJ15" s="517"/>
      <c r="TK15" s="496">
        <v>0.45833333333333315</v>
      </c>
      <c r="TL15" s="497"/>
      <c r="TM15" s="497"/>
      <c r="TN15" s="498"/>
      <c r="TO15" s="517"/>
      <c r="TP15" s="496">
        <v>0.45833333333333315</v>
      </c>
      <c r="TQ15" s="497"/>
      <c r="TR15" s="497"/>
      <c r="TS15" s="498"/>
      <c r="TT15" s="517"/>
      <c r="TU15" s="479"/>
      <c r="TV15" s="492"/>
      <c r="TW15" s="511"/>
      <c r="TX15" s="487"/>
      <c r="TY15" s="487"/>
      <c r="TZ15" s="487"/>
      <c r="UA15" s="488"/>
      <c r="UB15" s="496">
        <v>0.45833333333333315</v>
      </c>
      <c r="UC15" s="497"/>
      <c r="UD15" s="497"/>
      <c r="UE15" s="498"/>
      <c r="UF15" s="517"/>
      <c r="UG15" s="496">
        <v>0.52083333333333337</v>
      </c>
      <c r="UH15" s="497"/>
      <c r="UI15" s="497"/>
      <c r="UJ15" s="498"/>
      <c r="UK15" s="517"/>
      <c r="UL15" s="496">
        <v>0.52083333333333315</v>
      </c>
      <c r="UM15" s="497"/>
      <c r="UN15" s="497"/>
      <c r="UO15" s="498"/>
      <c r="UP15" s="517"/>
      <c r="UQ15" s="496">
        <v>0.52083333333333315</v>
      </c>
      <c r="UR15" s="497"/>
      <c r="US15" s="497"/>
      <c r="UT15" s="498"/>
      <c r="UU15" s="81">
        <v>0.45833333333333331</v>
      </c>
      <c r="UV15" s="479"/>
      <c r="UW15" s="492"/>
      <c r="UX15" s="511"/>
      <c r="UY15" s="487"/>
      <c r="UZ15" s="487"/>
      <c r="VA15" s="487"/>
      <c r="VB15" s="488"/>
      <c r="VC15" s="496">
        <v>0.52083333333333315</v>
      </c>
      <c r="VD15" s="497"/>
      <c r="VE15" s="497"/>
      <c r="VF15" s="498"/>
      <c r="VG15" s="517"/>
      <c r="VH15" s="496">
        <v>0.52083333333333315</v>
      </c>
      <c r="VI15" s="497"/>
      <c r="VJ15" s="497"/>
      <c r="VK15" s="498"/>
      <c r="VL15" s="517"/>
      <c r="VM15" s="496">
        <v>0.52083333333333315</v>
      </c>
      <c r="VN15" s="497"/>
      <c r="VO15" s="497"/>
      <c r="VP15" s="498"/>
      <c r="VQ15" s="517"/>
      <c r="VR15" s="496">
        <v>0.45833333333333331</v>
      </c>
      <c r="VS15" s="497"/>
      <c r="VT15" s="497"/>
      <c r="VU15" s="498"/>
      <c r="VV15" s="517"/>
      <c r="VW15" s="479"/>
      <c r="VX15" s="492"/>
      <c r="VY15" s="511"/>
      <c r="VZ15" s="487"/>
      <c r="WA15" s="487"/>
      <c r="WB15" s="487"/>
      <c r="WC15" s="488"/>
      <c r="WD15" s="496">
        <v>0.52083333333333315</v>
      </c>
      <c r="WE15" s="497"/>
      <c r="WF15" s="497"/>
      <c r="WG15" s="498"/>
      <c r="WH15" s="517"/>
      <c r="WI15" s="496">
        <v>0.49999999999999978</v>
      </c>
      <c r="WJ15" s="497"/>
      <c r="WK15" s="497"/>
      <c r="WL15" s="498"/>
      <c r="WM15" s="517"/>
      <c r="WN15" s="496">
        <v>0.47916666666666669</v>
      </c>
      <c r="WO15" s="497"/>
      <c r="WP15" s="497"/>
      <c r="WQ15" s="498"/>
      <c r="WR15" s="517"/>
      <c r="WS15" s="496">
        <v>0.45833333333333315</v>
      </c>
      <c r="WT15" s="497"/>
      <c r="WU15" s="497"/>
      <c r="WV15" s="498"/>
      <c r="WW15" s="81">
        <v>0.4791666666666663</v>
      </c>
      <c r="WX15" s="479"/>
      <c r="WY15" s="492"/>
      <c r="WZ15" s="511"/>
      <c r="XA15" s="487"/>
      <c r="XB15" s="487"/>
      <c r="XC15" s="487"/>
      <c r="XD15" s="488"/>
      <c r="XE15" s="496">
        <v>0.52083333333333315</v>
      </c>
      <c r="XF15" s="497"/>
      <c r="XG15" s="497"/>
      <c r="XH15" s="498"/>
      <c r="XI15" s="517"/>
      <c r="XJ15" s="496">
        <v>0.54166666666666663</v>
      </c>
      <c r="XK15" s="497"/>
      <c r="XL15" s="497"/>
      <c r="XM15" s="498"/>
      <c r="XN15" s="517"/>
      <c r="XO15" s="496">
        <v>0.52083333333333315</v>
      </c>
      <c r="XP15" s="497"/>
      <c r="XQ15" s="497"/>
      <c r="XR15" s="498"/>
      <c r="XS15" s="81">
        <v>0.45833333333333331</v>
      </c>
      <c r="XT15" s="496">
        <v>0.47916666666666646</v>
      </c>
      <c r="XU15" s="497"/>
      <c r="XV15" s="497"/>
      <c r="XW15" s="498"/>
      <c r="XX15" s="81">
        <v>0.43750000000000033</v>
      </c>
      <c r="XY15" s="479"/>
      <c r="XZ15" s="492"/>
      <c r="YA15" s="511"/>
      <c r="YB15" s="487"/>
      <c r="YC15" s="487"/>
      <c r="YD15" s="487"/>
      <c r="YE15" s="488"/>
      <c r="YF15" s="496">
        <v>0.52083333333333315</v>
      </c>
      <c r="YG15" s="497"/>
      <c r="YH15" s="497"/>
      <c r="YI15" s="498"/>
      <c r="YJ15" s="517"/>
      <c r="YK15" s="496">
        <v>0.45833333333333315</v>
      </c>
      <c r="YL15" s="497"/>
      <c r="YM15" s="497"/>
      <c r="YN15" s="498"/>
      <c r="YO15" s="517"/>
      <c r="YP15" s="496">
        <v>0.49999999999999978</v>
      </c>
      <c r="YQ15" s="497"/>
      <c r="YR15" s="497"/>
      <c r="YS15" s="498"/>
      <c r="YT15" s="81">
        <v>0.50000000000000033</v>
      </c>
      <c r="YU15" s="496">
        <v>0.49999999999999978</v>
      </c>
      <c r="YV15" s="497"/>
      <c r="YW15" s="497"/>
      <c r="YX15" s="498"/>
      <c r="YY15" s="81">
        <v>0.4791666666666663</v>
      </c>
      <c r="YZ15" s="479"/>
      <c r="ZA15" s="492"/>
      <c r="ZB15" s="511"/>
      <c r="ZC15" s="487"/>
      <c r="ZD15" s="487"/>
      <c r="ZE15" s="487"/>
      <c r="ZF15" s="488"/>
      <c r="ZG15" s="496">
        <v>0.52083333333333315</v>
      </c>
      <c r="ZH15" s="497"/>
      <c r="ZI15" s="497"/>
      <c r="ZJ15" s="498"/>
      <c r="ZK15" s="493"/>
      <c r="ZL15" s="496">
        <v>0.52083333333333315</v>
      </c>
      <c r="ZM15" s="497"/>
      <c r="ZN15" s="497"/>
      <c r="ZO15" s="498"/>
      <c r="ZP15" s="493"/>
      <c r="ZQ15" s="496">
        <v>0.45833333333333315</v>
      </c>
      <c r="ZR15" s="497"/>
      <c r="ZS15" s="497"/>
      <c r="ZT15" s="498"/>
      <c r="ZU15" s="81">
        <v>0.52083333333333437</v>
      </c>
      <c r="ZV15" s="496">
        <v>0.49999999999999978</v>
      </c>
      <c r="ZW15" s="497"/>
      <c r="ZX15" s="497"/>
      <c r="ZY15" s="498"/>
      <c r="ZZ15" s="81">
        <v>0.52083333333333437</v>
      </c>
      <c r="AAA15" s="479"/>
      <c r="AAB15" s="492"/>
      <c r="AAC15" s="511"/>
      <c r="AAD15" s="487"/>
      <c r="AAE15" s="487"/>
      <c r="AAF15" s="487"/>
      <c r="AAG15" s="488"/>
      <c r="AAH15" s="496">
        <v>0.54166666666666663</v>
      </c>
      <c r="AAI15" s="497"/>
      <c r="AAJ15" s="497"/>
      <c r="AAK15" s="498"/>
      <c r="AAL15" s="81">
        <v>0.54166666666666841</v>
      </c>
      <c r="AAM15" s="496">
        <v>0.52083333333333315</v>
      </c>
      <c r="AAN15" s="497"/>
      <c r="AAO15" s="497"/>
      <c r="AAP15" s="498"/>
      <c r="AAQ15" s="493"/>
      <c r="AAR15" s="496">
        <v>0.54166666666666652</v>
      </c>
      <c r="AAS15" s="497"/>
      <c r="AAT15" s="497"/>
      <c r="AAU15" s="498"/>
      <c r="AAV15" s="493"/>
      <c r="AAW15" s="496">
        <v>0.52083333333333315</v>
      </c>
      <c r="AAX15" s="497"/>
      <c r="AAY15" s="497"/>
      <c r="AAZ15" s="498"/>
      <c r="ABA15" s="493"/>
      <c r="ABB15" s="479"/>
      <c r="ABC15" s="492"/>
      <c r="ABD15" s="511"/>
      <c r="ABE15" s="487"/>
      <c r="ABF15" s="487"/>
      <c r="ABG15" s="487"/>
      <c r="ABH15" s="488"/>
      <c r="ABI15" s="496">
        <v>0.52083333333333315</v>
      </c>
      <c r="ABJ15" s="497"/>
      <c r="ABK15" s="497"/>
      <c r="ABL15" s="498"/>
      <c r="ABM15" s="81">
        <v>0.54166666666666841</v>
      </c>
      <c r="ABN15" s="496">
        <v>0.52083333333333315</v>
      </c>
      <c r="ABO15" s="497"/>
      <c r="ABP15" s="497"/>
      <c r="ABQ15" s="498"/>
      <c r="ABR15" s="81">
        <v>0.52083333333333437</v>
      </c>
      <c r="ABS15" s="496">
        <v>0.52083333333333315</v>
      </c>
      <c r="ABT15" s="497"/>
      <c r="ABU15" s="497"/>
      <c r="ABV15" s="498"/>
      <c r="ABW15" s="493"/>
      <c r="ABX15" s="496">
        <v>0.52083333333333315</v>
      </c>
      <c r="ABY15" s="497"/>
      <c r="ABZ15" s="497"/>
      <c r="ACA15" s="498"/>
      <c r="ACB15" s="81">
        <v>0.54166666666666663</v>
      </c>
      <c r="ACC15" s="479"/>
      <c r="ACD15" s="492"/>
      <c r="ACE15" s="511"/>
      <c r="ACF15" s="487"/>
      <c r="ACG15" s="487"/>
      <c r="ACH15" s="487"/>
      <c r="ACI15" s="488"/>
      <c r="ACJ15" s="496">
        <v>0.52083333333333315</v>
      </c>
      <c r="ACK15" s="497"/>
      <c r="ACL15" s="497"/>
      <c r="ACM15" s="498"/>
      <c r="ACN15" s="81">
        <v>0.54166666666666841</v>
      </c>
      <c r="ACO15" s="496">
        <v>0.54166666666666652</v>
      </c>
      <c r="ACP15" s="497"/>
      <c r="ACQ15" s="497"/>
      <c r="ACR15" s="498"/>
      <c r="ACS15" s="81">
        <v>0.54166666666666841</v>
      </c>
      <c r="ACT15" s="496">
        <v>0.54166666666666652</v>
      </c>
      <c r="ACU15" s="497"/>
      <c r="ACV15" s="497"/>
      <c r="ACW15" s="498"/>
      <c r="ACX15" s="81">
        <v>0.47916666666666669</v>
      </c>
      <c r="ACY15" s="496">
        <v>0.52083333333333315</v>
      </c>
      <c r="ACZ15" s="497"/>
      <c r="ADA15" s="497"/>
      <c r="ADB15" s="498"/>
      <c r="ADC15" s="493"/>
      <c r="ADD15" s="479"/>
      <c r="ADE15" s="492"/>
      <c r="ADF15" s="511"/>
      <c r="ADG15" s="487"/>
      <c r="ADH15" s="487"/>
      <c r="ADI15" s="487"/>
      <c r="ADJ15" s="488"/>
      <c r="ADK15" s="496">
        <v>0.5</v>
      </c>
      <c r="ADL15" s="497"/>
      <c r="ADM15" s="497"/>
      <c r="ADN15" s="498"/>
      <c r="ADO15" s="81">
        <v>0.45833333333333331</v>
      </c>
      <c r="ADP15" s="496">
        <v>0.54166666666666652</v>
      </c>
      <c r="ADQ15" s="497"/>
      <c r="ADR15" s="497"/>
      <c r="ADS15" s="498"/>
      <c r="ADT15" s="81">
        <v>0.54166666666666841</v>
      </c>
      <c r="ADU15" s="496">
        <v>0.54166666666666652</v>
      </c>
      <c r="ADV15" s="497"/>
      <c r="ADW15" s="497"/>
      <c r="ADX15" s="498"/>
      <c r="ADY15" s="81">
        <v>0.54166666666666841</v>
      </c>
      <c r="ADZ15" s="496">
        <v>0.54166666666666652</v>
      </c>
      <c r="AEA15" s="497"/>
      <c r="AEB15" s="497"/>
      <c r="AEC15" s="498"/>
      <c r="AED15" s="81">
        <v>0.52083333333333437</v>
      </c>
      <c r="AEE15" s="479"/>
      <c r="AEF15" s="492"/>
      <c r="AEG15" s="511"/>
      <c r="AEH15" s="487"/>
      <c r="AEI15" s="487"/>
      <c r="AEJ15" s="487"/>
      <c r="AEK15" s="488"/>
      <c r="AEL15" s="496">
        <v>0.54166666666666652</v>
      </c>
      <c r="AEM15" s="497"/>
      <c r="AEN15" s="497"/>
      <c r="AEO15" s="498"/>
      <c r="AEP15" s="81">
        <v>0.52083333333333437</v>
      </c>
      <c r="AEQ15" s="496">
        <v>0.52083333333333315</v>
      </c>
      <c r="AER15" s="497"/>
      <c r="AES15" s="497"/>
      <c r="AET15" s="498"/>
      <c r="AEU15" s="81">
        <v>0.54166666666666841</v>
      </c>
      <c r="AEV15" s="496">
        <v>0.5</v>
      </c>
      <c r="AEW15" s="497"/>
      <c r="AEX15" s="497"/>
      <c r="AEY15" s="498"/>
      <c r="AEZ15" s="81">
        <v>0.52083333333333437</v>
      </c>
      <c r="AFA15" s="496">
        <v>0.54166666666666652</v>
      </c>
      <c r="AFB15" s="497"/>
      <c r="AFC15" s="497"/>
      <c r="AFD15" s="498"/>
      <c r="AFE15" s="81">
        <v>0.52083333333333437</v>
      </c>
      <c r="AFF15" s="479"/>
      <c r="AFG15" s="492"/>
      <c r="AFH15" s="511"/>
      <c r="AFI15" s="487"/>
      <c r="AFJ15" s="487"/>
      <c r="AFK15" s="487"/>
      <c r="AFL15" s="488"/>
      <c r="AFM15" s="496">
        <v>0.54166666666666652</v>
      </c>
      <c r="AFN15" s="497"/>
      <c r="AFO15" s="497"/>
      <c r="AFP15" s="498"/>
      <c r="AFQ15" s="81">
        <v>0.52083333333333437</v>
      </c>
      <c r="AFR15" s="496">
        <v>0.54166666666666652</v>
      </c>
      <c r="AFS15" s="497"/>
      <c r="AFT15" s="497"/>
      <c r="AFU15" s="498"/>
      <c r="AFV15" s="81">
        <v>0.52083333333333437</v>
      </c>
      <c r="AFW15" s="496">
        <v>0.54166666666666652</v>
      </c>
      <c r="AFX15" s="497"/>
      <c r="AFY15" s="497"/>
      <c r="AFZ15" s="498"/>
      <c r="AGA15" s="81">
        <v>0.54166666666666841</v>
      </c>
      <c r="AGB15" s="496">
        <v>0.54166666666666652</v>
      </c>
      <c r="AGC15" s="497"/>
      <c r="AGD15" s="497"/>
      <c r="AGE15" s="498"/>
      <c r="AGF15" s="81">
        <v>0.52083333333333437</v>
      </c>
      <c r="AGG15" s="479"/>
      <c r="AGH15" s="492"/>
      <c r="AGI15" s="511"/>
      <c r="AGJ15" s="487"/>
      <c r="AGK15" s="487"/>
      <c r="AGL15" s="487"/>
      <c r="AGM15" s="488"/>
      <c r="AGN15" s="496">
        <v>0.52083333333333315</v>
      </c>
      <c r="AGO15" s="497"/>
      <c r="AGP15" s="497"/>
      <c r="AGQ15" s="498"/>
      <c r="AGR15" s="81">
        <v>0.54166666666666663</v>
      </c>
      <c r="AGS15" s="496">
        <v>0.49999999999999978</v>
      </c>
      <c r="AGT15" s="497"/>
      <c r="AGU15" s="497"/>
      <c r="AGV15" s="498"/>
      <c r="AGW15" s="81">
        <v>0.50000000000000033</v>
      </c>
      <c r="AGX15" s="496">
        <v>0.54166666666666652</v>
      </c>
      <c r="AGY15" s="497"/>
      <c r="AGZ15" s="497"/>
      <c r="AHA15" s="498"/>
      <c r="AHB15" s="81">
        <v>0.54166666666666663</v>
      </c>
      <c r="AHC15" s="496">
        <v>0.52083333333333315</v>
      </c>
      <c r="AHD15" s="497"/>
      <c r="AHE15" s="497"/>
      <c r="AHF15" s="498"/>
      <c r="AHG15" s="81">
        <v>0.52083333333333337</v>
      </c>
      <c r="AHH15" s="479"/>
      <c r="AHI15" s="492"/>
      <c r="AHJ15" s="511"/>
      <c r="AHK15" s="487"/>
      <c r="AHL15" s="487"/>
      <c r="AHM15" s="487"/>
      <c r="AHN15" s="488"/>
      <c r="AHO15" s="496">
        <v>0.54166666666666652</v>
      </c>
      <c r="AHP15" s="497"/>
      <c r="AHQ15" s="497"/>
      <c r="AHR15" s="498"/>
      <c r="AHS15" s="81">
        <v>0.52083333333333337</v>
      </c>
      <c r="AHT15" s="496">
        <v>0.54166666666666652</v>
      </c>
      <c r="AHU15" s="497"/>
      <c r="AHV15" s="497"/>
      <c r="AHW15" s="498"/>
      <c r="AHX15" s="81">
        <v>0.52083333333333437</v>
      </c>
      <c r="AHY15" s="496">
        <v>0.52083333333333315</v>
      </c>
      <c r="AHZ15" s="497"/>
      <c r="AIA15" s="497"/>
      <c r="AIB15" s="498"/>
      <c r="AIC15" s="81">
        <v>0.52083333333333437</v>
      </c>
      <c r="AID15" s="496">
        <v>0.52083333333333315</v>
      </c>
      <c r="AIE15" s="497"/>
      <c r="AIF15" s="497"/>
      <c r="AIG15" s="498"/>
      <c r="AIH15" s="81">
        <v>0.4791666666666663</v>
      </c>
      <c r="AII15" s="479"/>
      <c r="AIJ15" s="492"/>
      <c r="AIK15" s="511"/>
      <c r="AIL15" s="487"/>
      <c r="AIM15" s="487"/>
      <c r="AIN15" s="487"/>
      <c r="AIO15" s="488"/>
      <c r="AIP15" s="496">
        <v>0.49999999999999978</v>
      </c>
      <c r="AIQ15" s="497"/>
      <c r="AIR15" s="497"/>
      <c r="AIS15" s="498"/>
      <c r="AIT15" s="81">
        <v>0.50000000000000033</v>
      </c>
      <c r="AIU15" s="496">
        <v>0.52083333333333315</v>
      </c>
      <c r="AIV15" s="497"/>
      <c r="AIW15" s="497"/>
      <c r="AIX15" s="498"/>
      <c r="AIY15" s="81">
        <v>0.52083333333333437</v>
      </c>
      <c r="AIZ15" s="496">
        <v>0.52083333333333315</v>
      </c>
      <c r="AJA15" s="497"/>
      <c r="AJB15" s="497"/>
      <c r="AJC15" s="498"/>
      <c r="AJD15" s="81">
        <v>0.54166666666666841</v>
      </c>
      <c r="AJE15" s="496">
        <v>0.54166666666666652</v>
      </c>
      <c r="AJF15" s="497"/>
      <c r="AJG15" s="497"/>
      <c r="AJH15" s="498"/>
      <c r="AJI15" s="490"/>
      <c r="AJJ15" s="479"/>
      <c r="AJK15" s="492"/>
      <c r="AJL15" s="511"/>
      <c r="AJM15" s="487"/>
      <c r="AJN15" s="487"/>
      <c r="AJO15" s="487"/>
      <c r="AJP15" s="488"/>
      <c r="AJQ15" s="496">
        <v>0.52083333333333315</v>
      </c>
      <c r="AJR15" s="497"/>
      <c r="AJS15" s="497"/>
      <c r="AJT15" s="498"/>
      <c r="AJU15" s="81">
        <v>0.4791666666666663</v>
      </c>
      <c r="AJV15" s="496">
        <v>0.56249999999999989</v>
      </c>
      <c r="AJW15" s="497"/>
      <c r="AJX15" s="497"/>
      <c r="AJY15" s="498"/>
      <c r="AJZ15" s="490"/>
      <c r="AKA15" s="496">
        <v>0.52083333333333315</v>
      </c>
      <c r="AKB15" s="497"/>
      <c r="AKC15" s="497"/>
      <c r="AKD15" s="498"/>
      <c r="AKE15" s="490"/>
      <c r="AKF15" s="496">
        <v>0.52083333333333315</v>
      </c>
      <c r="AKG15" s="497"/>
      <c r="AKH15" s="497"/>
      <c r="AKI15" s="498"/>
      <c r="AKJ15" s="490"/>
      <c r="AKK15" s="479"/>
      <c r="AKL15" s="492"/>
      <c r="AKM15" s="511"/>
      <c r="AKN15" s="487"/>
      <c r="AKO15" s="487"/>
      <c r="AKP15" s="487"/>
      <c r="AKQ15" s="488"/>
      <c r="AKR15" s="496">
        <v>0.52083333333333315</v>
      </c>
      <c r="AKS15" s="497"/>
      <c r="AKT15" s="497"/>
      <c r="AKU15" s="498"/>
      <c r="AKV15" s="490"/>
      <c r="AKW15" s="496">
        <v>0.54166666666666652</v>
      </c>
      <c r="AKX15" s="497"/>
      <c r="AKY15" s="497"/>
      <c r="AKZ15" s="498"/>
      <c r="ALA15" s="490"/>
      <c r="ALB15" s="496">
        <v>0.49999999999999978</v>
      </c>
      <c r="ALC15" s="497"/>
      <c r="ALD15" s="497"/>
      <c r="ALE15" s="498"/>
      <c r="ALF15" s="81">
        <v>0.50000000000000033</v>
      </c>
      <c r="ALG15" s="496">
        <v>0.52083333333333315</v>
      </c>
      <c r="ALH15" s="497"/>
      <c r="ALI15" s="497"/>
      <c r="ALJ15" s="498"/>
      <c r="ALK15" s="81">
        <v>0.54166666666666841</v>
      </c>
      <c r="ALL15" s="479"/>
      <c r="ALM15" s="492"/>
      <c r="ALN15" s="511"/>
      <c r="ALO15" s="487"/>
      <c r="ALP15" s="487"/>
      <c r="ALQ15" s="487"/>
      <c r="ALR15" s="488"/>
      <c r="ALS15" s="496">
        <v>0.52083333333333315</v>
      </c>
      <c r="ALT15" s="497"/>
      <c r="ALU15" s="497"/>
      <c r="ALV15" s="498"/>
      <c r="ALW15" s="81">
        <v>0.54166666666666663</v>
      </c>
      <c r="ALX15" s="496">
        <v>0.52083333333333315</v>
      </c>
      <c r="ALY15" s="497"/>
      <c r="ALZ15" s="497"/>
      <c r="AMA15" s="498"/>
      <c r="AMB15" s="81">
        <v>0.54166666666666841</v>
      </c>
      <c r="AMC15" s="496">
        <v>0.49999999999999978</v>
      </c>
      <c r="AMD15" s="497"/>
      <c r="AME15" s="497"/>
      <c r="AMF15" s="498"/>
      <c r="AMG15" s="81">
        <v>0.52083333333333437</v>
      </c>
      <c r="AMH15" s="496">
        <v>0.54166666666666652</v>
      </c>
      <c r="AMI15" s="497"/>
      <c r="AMJ15" s="497"/>
      <c r="AMK15" s="498"/>
      <c r="AML15" s="490"/>
      <c r="AMM15" s="479"/>
      <c r="AMN15" s="492"/>
      <c r="AMO15" s="511"/>
      <c r="AMP15" s="487"/>
      <c r="AMQ15" s="487"/>
      <c r="AMR15" s="487"/>
      <c r="AMS15" s="488"/>
      <c r="AMT15" s="496">
        <v>0.52083333333333315</v>
      </c>
      <c r="AMU15" s="497"/>
      <c r="AMV15" s="497"/>
      <c r="AMW15" s="498"/>
      <c r="AMX15" s="81">
        <v>0.54166666666666841</v>
      </c>
      <c r="AMY15" s="496">
        <v>0.52083333333333315</v>
      </c>
      <c r="AMZ15" s="497"/>
      <c r="ANA15" s="497"/>
      <c r="ANB15" s="498"/>
      <c r="ANC15" s="81">
        <v>0.4791666666666663</v>
      </c>
      <c r="AND15" s="496">
        <v>0.54166666666666652</v>
      </c>
      <c r="ANE15" s="497"/>
      <c r="ANF15" s="497"/>
      <c r="ANG15" s="498"/>
      <c r="ANH15" s="490"/>
      <c r="ANI15" s="496">
        <v>0.54166666666666652</v>
      </c>
      <c r="ANJ15" s="497"/>
      <c r="ANK15" s="497"/>
      <c r="ANL15" s="498"/>
      <c r="ANM15" s="490"/>
      <c r="ANN15" s="479"/>
      <c r="ANO15" s="492"/>
      <c r="ANP15" s="511"/>
      <c r="ANQ15" s="487"/>
      <c r="ANR15" s="487"/>
      <c r="ANS15" s="487"/>
      <c r="ANT15" s="488"/>
      <c r="ANU15" s="496">
        <v>0.54166666666666652</v>
      </c>
      <c r="ANV15" s="497"/>
      <c r="ANW15" s="497"/>
      <c r="ANX15" s="498"/>
      <c r="ANY15" s="81">
        <v>0.54166666666666841</v>
      </c>
      <c r="ANZ15" s="496">
        <v>0.52083333333333315</v>
      </c>
      <c r="AOA15" s="497"/>
      <c r="AOB15" s="497"/>
      <c r="AOC15" s="498"/>
      <c r="AOD15" s="490"/>
      <c r="AOE15" s="496">
        <v>0.52083333333333315</v>
      </c>
      <c r="AOF15" s="497"/>
      <c r="AOG15" s="497"/>
      <c r="AOH15" s="498"/>
      <c r="AOI15" s="521"/>
      <c r="AOJ15" s="522"/>
      <c r="AOK15" s="496">
        <v>0.52083333333333315</v>
      </c>
      <c r="AOL15" s="497"/>
      <c r="AOM15" s="497"/>
      <c r="AON15" s="498"/>
      <c r="AOO15" s="490"/>
      <c r="AOP15" s="479"/>
      <c r="AOQ15" s="492"/>
      <c r="AOR15" s="511"/>
      <c r="AOS15" s="487"/>
      <c r="AOT15" s="487"/>
      <c r="AOU15" s="487"/>
      <c r="AOV15" s="488"/>
      <c r="AOW15" s="496">
        <v>0.54166666666666652</v>
      </c>
      <c r="AOX15" s="497"/>
      <c r="AOY15" s="497"/>
      <c r="AOZ15" s="498"/>
      <c r="APA15" s="493">
        <v>0.54166666666666841</v>
      </c>
      <c r="APB15" s="496">
        <v>0.52083333333333315</v>
      </c>
      <c r="APC15" s="497"/>
      <c r="APD15" s="497"/>
      <c r="APE15" s="498"/>
      <c r="APF15" s="493">
        <v>0.54166666666666841</v>
      </c>
      <c r="APG15" s="496">
        <v>0.54166666666666652</v>
      </c>
      <c r="APH15" s="497"/>
      <c r="API15" s="497"/>
      <c r="APJ15" s="498"/>
      <c r="APK15" s="490"/>
      <c r="APL15" s="496">
        <v>0.52083333333333315</v>
      </c>
      <c r="APM15" s="497"/>
      <c r="APN15" s="497"/>
      <c r="APO15" s="498"/>
      <c r="APP15" s="81">
        <v>0.52083333333333437</v>
      </c>
      <c r="APQ15" s="479"/>
      <c r="APR15" s="492"/>
      <c r="APS15" s="511"/>
      <c r="APT15" s="487"/>
      <c r="APU15" s="487"/>
      <c r="APV15" s="487"/>
      <c r="APW15" s="488"/>
      <c r="APX15" s="496">
        <v>0.54166666666666652</v>
      </c>
      <c r="APY15" s="497"/>
      <c r="APZ15" s="497"/>
      <c r="AQA15" s="498"/>
      <c r="AQB15" s="81">
        <v>0.54166666666666841</v>
      </c>
      <c r="AQC15" s="496">
        <v>0.52083333333333315</v>
      </c>
      <c r="AQD15" s="497"/>
      <c r="AQE15" s="497"/>
      <c r="AQF15" s="498"/>
      <c r="AQG15" s="493">
        <v>0.54166666666666841</v>
      </c>
      <c r="AQH15" s="496">
        <v>0.54166666666666652</v>
      </c>
      <c r="AQI15" s="497"/>
      <c r="AQJ15" s="497"/>
      <c r="AQK15" s="498"/>
      <c r="AQL15" s="490"/>
      <c r="AQM15" s="496">
        <v>0.52083333333333315</v>
      </c>
      <c r="AQN15" s="497"/>
      <c r="AQO15" s="497"/>
      <c r="AQP15" s="498"/>
      <c r="AQQ15" s="490"/>
      <c r="AQR15" s="479"/>
      <c r="AQS15" s="492"/>
      <c r="AQT15" s="511"/>
      <c r="AQU15" s="487"/>
      <c r="AQV15" s="487"/>
      <c r="AQW15" s="487"/>
      <c r="AQX15" s="488"/>
      <c r="AQY15" s="496">
        <v>0.54166666666666652</v>
      </c>
      <c r="AQZ15" s="497"/>
      <c r="ARA15" s="497"/>
      <c r="ARB15" s="498"/>
      <c r="ARC15" s="493">
        <v>0.54166666666666841</v>
      </c>
      <c r="ARD15" s="496">
        <v>0.54166666666666652</v>
      </c>
      <c r="ARE15" s="497"/>
      <c r="ARF15" s="497"/>
      <c r="ARG15" s="498"/>
      <c r="ARH15" s="81">
        <v>0.54166666666666841</v>
      </c>
      <c r="ARI15" s="496">
        <v>0.52083333333333315</v>
      </c>
      <c r="ARJ15" s="497"/>
      <c r="ARK15" s="497"/>
      <c r="ARL15" s="498"/>
      <c r="ARM15" s="81">
        <v>0.54166666666666841</v>
      </c>
      <c r="ARN15" s="496">
        <v>0.52083333333333315</v>
      </c>
      <c r="ARO15" s="497"/>
      <c r="ARP15" s="497"/>
      <c r="ARQ15" s="498"/>
      <c r="ARR15" s="493">
        <v>0.54166666666666841</v>
      </c>
      <c r="ARS15" s="479"/>
      <c r="ART15" s="492"/>
      <c r="ARU15" s="511"/>
      <c r="ARV15" s="487"/>
      <c r="ARW15" s="487"/>
      <c r="ARX15" s="487"/>
      <c r="ARY15" s="488"/>
      <c r="ARZ15" s="496">
        <v>0.52083333333333315</v>
      </c>
      <c r="ASA15" s="497"/>
      <c r="ASB15" s="497"/>
      <c r="ASC15" s="498"/>
      <c r="ASD15" s="493">
        <v>0.54166666666666841</v>
      </c>
      <c r="ASE15" s="496">
        <v>0.54166666666666652</v>
      </c>
      <c r="ASF15" s="497"/>
      <c r="ASG15" s="497"/>
      <c r="ASH15" s="498"/>
      <c r="ASI15" s="493">
        <v>0.54166666666666841</v>
      </c>
      <c r="ASJ15" s="496">
        <v>0.54166666666666652</v>
      </c>
      <c r="ASK15" s="497"/>
      <c r="ASL15" s="497"/>
      <c r="ASM15" s="498"/>
      <c r="ASN15" s="493">
        <v>0.54166666666666841</v>
      </c>
      <c r="ASO15" s="496">
        <v>0.52083333333333315</v>
      </c>
      <c r="ASP15" s="497"/>
      <c r="ASQ15" s="497"/>
      <c r="ASR15" s="498"/>
      <c r="ASS15" s="493">
        <v>0.54166666666666841</v>
      </c>
      <c r="AST15" s="479"/>
      <c r="ASU15" s="492"/>
      <c r="ASV15" s="511"/>
      <c r="ASW15" s="487"/>
      <c r="ASX15" s="487"/>
      <c r="ASY15" s="487"/>
      <c r="ASZ15" s="488"/>
      <c r="ATA15" s="496">
        <v>0.54166666666666652</v>
      </c>
      <c r="ATB15" s="497"/>
      <c r="ATC15" s="497"/>
      <c r="ATD15" s="498"/>
      <c r="ATE15" s="493">
        <v>0.54166666666666841</v>
      </c>
      <c r="ATF15" s="496">
        <v>0.52083333333333315</v>
      </c>
      <c r="ATG15" s="497"/>
      <c r="ATH15" s="497"/>
      <c r="ATI15" s="498"/>
      <c r="ATJ15" s="81">
        <v>0.56250000000000233</v>
      </c>
      <c r="ATK15" s="496">
        <v>0.52083333333333315</v>
      </c>
      <c r="ATL15" s="497"/>
      <c r="ATM15" s="497"/>
      <c r="ATN15" s="498"/>
      <c r="ATO15" s="81">
        <v>0.54166666666666841</v>
      </c>
      <c r="ATP15" s="496">
        <v>0.54166666666666652</v>
      </c>
      <c r="ATQ15" s="497"/>
      <c r="ATR15" s="497"/>
      <c r="ATS15" s="498"/>
      <c r="ATT15" s="490"/>
      <c r="ATU15" s="479"/>
      <c r="ATV15" s="492"/>
      <c r="ATW15" s="511"/>
      <c r="ATX15" s="487"/>
      <c r="ATY15" s="487"/>
      <c r="ATZ15" s="487"/>
      <c r="AUA15" s="488"/>
      <c r="AUB15" s="496">
        <v>0.54166666666666652</v>
      </c>
      <c r="AUC15" s="497"/>
      <c r="AUD15" s="497"/>
      <c r="AUE15" s="498"/>
      <c r="AUF15" s="490"/>
      <c r="AUG15" s="496">
        <v>0.54166666666666652</v>
      </c>
      <c r="AUH15" s="497"/>
      <c r="AUI15" s="497"/>
      <c r="AUJ15" s="498"/>
      <c r="AUK15" s="490"/>
      <c r="AUL15" s="496">
        <v>0.54166666666666652</v>
      </c>
      <c r="AUM15" s="497"/>
      <c r="AUN15" s="497"/>
      <c r="AUO15" s="498"/>
      <c r="AUP15" s="490"/>
      <c r="AUQ15" s="496">
        <v>0.56249999999999989</v>
      </c>
      <c r="AUR15" s="497"/>
      <c r="AUS15" s="497"/>
      <c r="AUT15" s="498"/>
      <c r="AUU15" s="490"/>
      <c r="AUV15" s="479"/>
      <c r="AUW15" s="492"/>
      <c r="AUX15" s="511"/>
      <c r="AUY15" s="487"/>
      <c r="AUZ15" s="487"/>
      <c r="AVA15" s="487"/>
      <c r="AVB15" s="488"/>
      <c r="AVC15" s="496">
        <v>0.54166666666666652</v>
      </c>
      <c r="AVD15" s="497"/>
      <c r="AVE15" s="497"/>
      <c r="AVF15" s="498"/>
      <c r="AVG15" s="490"/>
      <c r="AVH15" s="496">
        <v>0.54166666666666652</v>
      </c>
      <c r="AVI15" s="497"/>
      <c r="AVJ15" s="497"/>
      <c r="AVK15" s="498"/>
      <c r="AVL15" s="490"/>
      <c r="AVM15" s="496">
        <v>0.54166666666666652</v>
      </c>
      <c r="AVN15" s="497"/>
      <c r="AVO15" s="497"/>
      <c r="AVP15" s="498"/>
      <c r="AVQ15" s="490"/>
      <c r="AVR15" s="496">
        <v>0.54166666666666652</v>
      </c>
      <c r="AVS15" s="497"/>
      <c r="AVT15" s="497"/>
      <c r="AVU15" s="498"/>
      <c r="AVV15" s="81">
        <v>0.58333333333333637</v>
      </c>
      <c r="AVW15" s="479"/>
      <c r="AVX15" s="492"/>
      <c r="AVY15" s="511"/>
      <c r="AVZ15" s="487"/>
      <c r="AWA15" s="487"/>
      <c r="AWB15" s="487"/>
      <c r="AWC15" s="488"/>
      <c r="AWD15" s="496">
        <v>0.56249999999999989</v>
      </c>
      <c r="AWE15" s="497"/>
      <c r="AWF15" s="497"/>
      <c r="AWG15" s="498"/>
      <c r="AWH15" s="81">
        <v>0.54166666666666841</v>
      </c>
      <c r="AWI15" s="496">
        <v>0.54166666666666652</v>
      </c>
      <c r="AWJ15" s="497"/>
      <c r="AWK15" s="497"/>
      <c r="AWL15" s="498"/>
      <c r="AWM15" s="81">
        <v>0.56250000000000233</v>
      </c>
      <c r="AWN15" s="496">
        <v>0.54166666666666652</v>
      </c>
      <c r="AWO15" s="497"/>
      <c r="AWP15" s="497"/>
      <c r="AWQ15" s="498"/>
      <c r="AWR15" s="81">
        <v>0.54166666666666841</v>
      </c>
      <c r="AWS15" s="496">
        <v>0.54166666666666652</v>
      </c>
      <c r="AWT15" s="497"/>
      <c r="AWU15" s="497"/>
      <c r="AWV15" s="498"/>
      <c r="AWW15" s="490"/>
      <c r="AWX15" s="479"/>
      <c r="AWY15" s="492"/>
      <c r="AWZ15" s="511"/>
      <c r="AXA15" s="487"/>
      <c r="AXB15" s="487"/>
      <c r="AXC15" s="487"/>
      <c r="AXD15" s="488"/>
      <c r="AXE15" s="496">
        <v>0.54166666666666652</v>
      </c>
      <c r="AXF15" s="497"/>
      <c r="AXG15" s="497"/>
      <c r="AXH15" s="498"/>
      <c r="AXI15" s="490"/>
      <c r="AXJ15" s="496">
        <v>0.54166666666666652</v>
      </c>
      <c r="AXK15" s="497"/>
      <c r="AXL15" s="497"/>
      <c r="AXM15" s="498"/>
      <c r="AXN15" s="490"/>
      <c r="AXO15" s="496">
        <v>0.54166666666666652</v>
      </c>
      <c r="AXP15" s="497"/>
      <c r="AXQ15" s="497"/>
      <c r="AXR15" s="498"/>
      <c r="AXS15" s="81">
        <v>0.54166666666666841</v>
      </c>
      <c r="AXT15" s="496">
        <v>0.52083333333333315</v>
      </c>
      <c r="AXU15" s="497"/>
      <c r="AXV15" s="497"/>
      <c r="AXW15" s="498"/>
      <c r="AXX15" s="81">
        <v>0.54166666666666841</v>
      </c>
      <c r="AXY15" s="479"/>
      <c r="AXZ15" s="492"/>
      <c r="AYA15" s="511"/>
      <c r="AYB15" s="487"/>
      <c r="AYC15" s="487"/>
      <c r="AYD15" s="487"/>
      <c r="AYE15" s="488"/>
      <c r="AYF15" s="496">
        <v>0.49999999999999978</v>
      </c>
      <c r="AYG15" s="497"/>
      <c r="AYH15" s="497"/>
      <c r="AYI15" s="498"/>
      <c r="AYJ15" s="490"/>
      <c r="AYK15" s="496">
        <v>0.56249999999999989</v>
      </c>
      <c r="AYL15" s="497"/>
      <c r="AYM15" s="497"/>
      <c r="AYN15" s="498"/>
      <c r="AYO15" s="490"/>
      <c r="AYP15" s="496">
        <v>0.58333333333333326</v>
      </c>
      <c r="AYQ15" s="497"/>
      <c r="AYR15" s="497"/>
      <c r="AYS15" s="498"/>
      <c r="AYT15" s="81">
        <v>0.56250000000000233</v>
      </c>
      <c r="AYU15" s="496">
        <v>0.54166666666666652</v>
      </c>
      <c r="AYV15" s="497"/>
      <c r="AYW15" s="497"/>
      <c r="AYX15" s="498"/>
      <c r="AYY15" s="490"/>
      <c r="AYZ15" s="479"/>
      <c r="AZA15" s="492"/>
      <c r="AZB15" s="511"/>
      <c r="AZC15" s="487"/>
      <c r="AZD15" s="487"/>
      <c r="AZE15" s="487"/>
      <c r="AZF15" s="488"/>
      <c r="AZG15" s="496">
        <v>0.54166666666666652</v>
      </c>
      <c r="AZH15" s="497"/>
      <c r="AZI15" s="497"/>
      <c r="AZJ15" s="498"/>
      <c r="AZK15" s="490"/>
      <c r="AZL15" s="496">
        <v>0.54166666666666652</v>
      </c>
      <c r="AZM15" s="497"/>
      <c r="AZN15" s="497"/>
      <c r="AZO15" s="498"/>
      <c r="AZP15" s="81">
        <v>0.52083333333333337</v>
      </c>
      <c r="AZQ15" s="496">
        <v>0.54166666666666652</v>
      </c>
      <c r="AZR15" s="497"/>
      <c r="AZS15" s="497"/>
      <c r="AZT15" s="498"/>
      <c r="AZU15" s="81">
        <v>0.54166666666666841</v>
      </c>
      <c r="AZV15" s="496">
        <v>0.54166666666666652</v>
      </c>
      <c r="AZW15" s="497"/>
      <c r="AZX15" s="497"/>
      <c r="AZY15" s="498"/>
      <c r="AZZ15" s="81">
        <v>0.56250000000000233</v>
      </c>
      <c r="BAA15" s="478"/>
      <c r="BAB15" s="492"/>
      <c r="BAC15" s="511"/>
      <c r="BAD15" s="487"/>
      <c r="BAE15" s="487"/>
      <c r="BAF15" s="487"/>
      <c r="BAG15" s="488"/>
      <c r="BAH15" s="496">
        <v>0.54166666666666652</v>
      </c>
      <c r="BAI15" s="497"/>
      <c r="BAJ15" s="497"/>
      <c r="BAK15" s="498"/>
      <c r="BAL15" s="81">
        <v>0.54166666666666841</v>
      </c>
      <c r="BAM15" s="496">
        <v>0.54166666666666652</v>
      </c>
      <c r="BAN15" s="497"/>
      <c r="BAO15" s="497"/>
      <c r="BAP15" s="498"/>
      <c r="BAQ15" s="81">
        <v>0.54166666666666841</v>
      </c>
      <c r="BAR15" s="496">
        <v>0.54166666666666652</v>
      </c>
      <c r="BAS15" s="497"/>
      <c r="BAT15" s="497"/>
      <c r="BAU15" s="498"/>
      <c r="BAV15" s="490"/>
      <c r="BAW15" s="496">
        <v>0.54166666666666652</v>
      </c>
      <c r="BAX15" s="497"/>
      <c r="BAY15" s="497"/>
      <c r="BAZ15" s="498"/>
      <c r="BBA15" s="81">
        <v>0.54166666666666841</v>
      </c>
      <c r="BBB15" s="479"/>
      <c r="BBC15" s="492"/>
      <c r="BBD15" s="511"/>
      <c r="BBE15" s="487"/>
      <c r="BBF15" s="487"/>
      <c r="BBG15" s="487"/>
      <c r="BBH15" s="488"/>
      <c r="BBI15" s="496">
        <v>0.54166666666666652</v>
      </c>
      <c r="BBJ15" s="497"/>
      <c r="BBK15" s="497"/>
      <c r="BBL15" s="498"/>
      <c r="BBM15" s="81">
        <v>0.54166666666666841</v>
      </c>
      <c r="BBN15" s="496">
        <v>0.54166666666666652</v>
      </c>
      <c r="BBO15" s="497"/>
      <c r="BBP15" s="497"/>
      <c r="BBQ15" s="498"/>
      <c r="BBR15" s="81">
        <v>0.56250000000000233</v>
      </c>
      <c r="BBS15" s="496">
        <v>0.54166666666666652</v>
      </c>
      <c r="BBT15" s="497"/>
      <c r="BBU15" s="497"/>
      <c r="BBV15" s="498"/>
      <c r="BBW15" s="81">
        <v>0.54166666666666841</v>
      </c>
      <c r="BBX15" s="496">
        <v>0.49999999999999978</v>
      </c>
      <c r="BBY15" s="497"/>
      <c r="BBZ15" s="497"/>
      <c r="BCA15" s="498"/>
      <c r="BCB15" s="81">
        <v>0.52083333333333437</v>
      </c>
      <c r="BCC15" s="479"/>
      <c r="BCD15" s="492"/>
      <c r="BCE15" s="511"/>
      <c r="BCF15" s="487"/>
      <c r="BCG15" s="487"/>
      <c r="BCH15" s="487"/>
      <c r="BCI15" s="488"/>
      <c r="BCJ15" s="496">
        <v>0.54166666666666663</v>
      </c>
      <c r="BCK15" s="497"/>
      <c r="BCL15" s="497"/>
      <c r="BCM15" s="498"/>
      <c r="BCN15" s="81">
        <v>0.54166666666666841</v>
      </c>
      <c r="BCO15" s="496">
        <v>0.54166666666666652</v>
      </c>
      <c r="BCP15" s="497"/>
      <c r="BCQ15" s="497"/>
      <c r="BCR15" s="498"/>
      <c r="BCS15" s="81">
        <v>0.54166666666666841</v>
      </c>
      <c r="BCT15" s="496">
        <v>0.54166666666666652</v>
      </c>
      <c r="BCU15" s="497"/>
      <c r="BCV15" s="497"/>
      <c r="BCW15" s="498"/>
      <c r="BCX15" s="81">
        <v>0.54166666666666841</v>
      </c>
      <c r="BCY15" s="496">
        <v>0.54166666666666652</v>
      </c>
      <c r="BCZ15" s="497"/>
      <c r="BDA15" s="497"/>
      <c r="BDB15" s="498"/>
      <c r="BDC15" s="81">
        <v>0.54166666666666841</v>
      </c>
      <c r="BDD15" s="479"/>
      <c r="BDE15" s="492"/>
      <c r="BDF15" s="511"/>
      <c r="BDG15" s="487"/>
      <c r="BDH15" s="487"/>
      <c r="BDI15" s="487"/>
      <c r="BDJ15" s="488"/>
      <c r="BDK15" s="496">
        <v>0.54166666666666652</v>
      </c>
      <c r="BDL15" s="497"/>
      <c r="BDM15" s="497"/>
      <c r="BDN15" s="498"/>
      <c r="BDO15" s="81">
        <v>0.54166666666666841</v>
      </c>
      <c r="BDP15" s="496">
        <v>0.54166666666666652</v>
      </c>
      <c r="BDQ15" s="497"/>
      <c r="BDR15" s="497"/>
      <c r="BDS15" s="498"/>
      <c r="BDT15" s="81">
        <v>0.54166666666666841</v>
      </c>
      <c r="BDU15" s="496">
        <v>0.54166666666666652</v>
      </c>
      <c r="BDV15" s="497"/>
      <c r="BDW15" s="497"/>
      <c r="BDX15" s="498"/>
      <c r="BDY15" s="81">
        <v>0.58333333333333637</v>
      </c>
      <c r="BDZ15" s="496">
        <v>0.54166666666666652</v>
      </c>
      <c r="BEA15" s="497"/>
      <c r="BEB15" s="497"/>
      <c r="BEC15" s="498"/>
      <c r="BED15" s="81">
        <v>0.54166666666666841</v>
      </c>
      <c r="BEE15" s="479"/>
      <c r="BEF15" s="492"/>
      <c r="BEG15" s="511"/>
      <c r="BEH15" s="487"/>
      <c r="BEI15" s="487"/>
      <c r="BEJ15" s="487"/>
      <c r="BEK15" s="488"/>
      <c r="BEL15" s="496">
        <v>0.54166666666666652</v>
      </c>
      <c r="BEM15" s="497"/>
      <c r="BEN15" s="497"/>
      <c r="BEO15" s="498"/>
      <c r="BEP15" s="81">
        <v>0.54166666666666841</v>
      </c>
      <c r="BEQ15" s="496">
        <v>0.54166666666666652</v>
      </c>
      <c r="BER15" s="497"/>
      <c r="BES15" s="497"/>
      <c r="BET15" s="498"/>
      <c r="BEU15" s="490"/>
      <c r="BEV15" s="496">
        <v>0.54166666666666652</v>
      </c>
      <c r="BEW15" s="497"/>
      <c r="BEX15" s="497"/>
      <c r="BEY15" s="498"/>
      <c r="BEZ15" s="81">
        <v>0.54166666666666841</v>
      </c>
      <c r="BFA15" s="496">
        <v>0.54166666666666652</v>
      </c>
      <c r="BFB15" s="497"/>
      <c r="BFC15" s="497"/>
      <c r="BFD15" s="498"/>
      <c r="BFE15" s="81">
        <v>0.52083333333333437</v>
      </c>
      <c r="BFF15" s="479"/>
      <c r="BFG15" s="492"/>
      <c r="BFH15" s="511"/>
      <c r="BFI15" s="487"/>
      <c r="BFJ15" s="487"/>
      <c r="BFK15" s="487"/>
      <c r="BFL15" s="488"/>
      <c r="BFM15" s="496">
        <v>0.54166666666666652</v>
      </c>
      <c r="BFN15" s="497"/>
      <c r="BFO15" s="497"/>
      <c r="BFP15" s="498"/>
      <c r="BFQ15" s="81">
        <v>0.52083333333333437</v>
      </c>
      <c r="BFR15" s="496">
        <v>0.49999999999999978</v>
      </c>
      <c r="BFS15" s="497"/>
      <c r="BFT15" s="497"/>
      <c r="BFU15" s="498"/>
      <c r="BFV15" s="81">
        <v>0.43750000000000033</v>
      </c>
      <c r="BFW15" s="496"/>
      <c r="BFX15" s="497"/>
      <c r="BFY15" s="497"/>
      <c r="BFZ15" s="498"/>
      <c r="BGA15" s="81"/>
      <c r="BGB15" s="496"/>
      <c r="BGC15" s="497"/>
      <c r="BGD15" s="497"/>
      <c r="BGE15" s="498"/>
      <c r="BGF15" s="81"/>
    </row>
    <row r="16" spans="1:1540" ht="45" customHeight="1" x14ac:dyDescent="0.4">
      <c r="A16" s="478"/>
      <c r="B16" s="492"/>
      <c r="C16" s="512" t="s">
        <v>11</v>
      </c>
      <c r="D16" s="458"/>
      <c r="E16" s="458"/>
      <c r="F16" s="458"/>
      <c r="G16" s="465"/>
      <c r="H16" s="49">
        <v>5.6</v>
      </c>
      <c r="I16" s="46"/>
      <c r="J16" s="438" t="s">
        <v>160</v>
      </c>
      <c r="K16" s="363">
        <v>552</v>
      </c>
      <c r="L16" s="24">
        <v>409.8</v>
      </c>
      <c r="M16" s="49">
        <v>9</v>
      </c>
      <c r="N16" s="46"/>
      <c r="O16" s="438" t="s">
        <v>160</v>
      </c>
      <c r="P16" s="363">
        <v>617</v>
      </c>
      <c r="Q16" s="24">
        <v>402</v>
      </c>
      <c r="R16" s="49">
        <v>0</v>
      </c>
      <c r="S16" s="46"/>
      <c r="T16" s="438" t="s">
        <v>160</v>
      </c>
      <c r="U16" s="363">
        <v>450</v>
      </c>
      <c r="V16" s="24">
        <v>339</v>
      </c>
      <c r="W16" s="49">
        <v>0</v>
      </c>
      <c r="X16" s="46"/>
      <c r="Y16" s="438" t="s">
        <v>160</v>
      </c>
      <c r="Z16" s="363">
        <v>345</v>
      </c>
      <c r="AA16" s="24">
        <v>162</v>
      </c>
      <c r="AB16" s="479"/>
      <c r="AC16" s="492"/>
      <c r="AD16" s="512" t="s">
        <v>11</v>
      </c>
      <c r="AE16" s="458"/>
      <c r="AF16" s="458"/>
      <c r="AG16" s="458"/>
      <c r="AH16" s="465"/>
      <c r="AI16" s="49">
        <v>0</v>
      </c>
      <c r="AJ16" s="46"/>
      <c r="AK16" s="438" t="s">
        <v>160</v>
      </c>
      <c r="AL16" s="363">
        <v>218</v>
      </c>
      <c r="AM16" s="518"/>
      <c r="AN16" s="49">
        <v>0</v>
      </c>
      <c r="AO16" s="46"/>
      <c r="AP16" s="438" t="s">
        <v>160</v>
      </c>
      <c r="AQ16" s="363">
        <v>555</v>
      </c>
      <c r="AR16" s="24">
        <v>573</v>
      </c>
      <c r="AS16" s="49">
        <v>32</v>
      </c>
      <c r="AT16" s="46"/>
      <c r="AU16" s="438" t="s">
        <v>160</v>
      </c>
      <c r="AV16" s="363">
        <v>634</v>
      </c>
      <c r="AW16" s="24">
        <v>587</v>
      </c>
      <c r="AX16" s="49">
        <v>0</v>
      </c>
      <c r="AY16" s="46"/>
      <c r="AZ16" s="438" t="s">
        <v>160</v>
      </c>
      <c r="BA16" s="363">
        <v>448</v>
      </c>
      <c r="BB16" s="24">
        <v>306</v>
      </c>
      <c r="BC16" s="479"/>
      <c r="BD16" s="492"/>
      <c r="BE16" s="512" t="s">
        <v>11</v>
      </c>
      <c r="BF16" s="458"/>
      <c r="BG16" s="458"/>
      <c r="BH16" s="458"/>
      <c r="BI16" s="465"/>
      <c r="BJ16" s="49">
        <v>0</v>
      </c>
      <c r="BK16" s="46"/>
      <c r="BL16" s="438" t="s">
        <v>160</v>
      </c>
      <c r="BM16" s="363">
        <v>477.4</v>
      </c>
      <c r="BN16" s="24">
        <v>213</v>
      </c>
      <c r="BO16" s="49">
        <v>0</v>
      </c>
      <c r="BP16" s="46"/>
      <c r="BQ16" s="438" t="s">
        <v>160</v>
      </c>
      <c r="BR16" s="363">
        <v>466</v>
      </c>
      <c r="BS16" s="24">
        <v>180</v>
      </c>
      <c r="BT16" s="49">
        <v>0</v>
      </c>
      <c r="BU16" s="46"/>
      <c r="BV16" s="438" t="s">
        <v>160</v>
      </c>
      <c r="BW16" s="363">
        <v>396</v>
      </c>
      <c r="BX16" s="24">
        <v>341</v>
      </c>
      <c r="BY16" s="49">
        <v>0</v>
      </c>
      <c r="BZ16" s="46"/>
      <c r="CA16" s="438" t="s">
        <v>160</v>
      </c>
      <c r="CB16" s="363">
        <v>563</v>
      </c>
      <c r="CC16" s="24">
        <v>462</v>
      </c>
      <c r="CD16" s="479"/>
      <c r="CE16" s="492"/>
      <c r="CF16" s="512" t="s">
        <v>11</v>
      </c>
      <c r="CG16" s="458"/>
      <c r="CH16" s="458"/>
      <c r="CI16" s="458"/>
      <c r="CJ16" s="465"/>
      <c r="CK16" s="49">
        <v>2</v>
      </c>
      <c r="CL16" s="46"/>
      <c r="CM16" s="438" t="s">
        <v>160</v>
      </c>
      <c r="CN16" s="363">
        <v>444</v>
      </c>
      <c r="CO16" s="24">
        <v>387</v>
      </c>
      <c r="CP16" s="49">
        <v>12</v>
      </c>
      <c r="CQ16" s="46"/>
      <c r="CR16" s="438" t="s">
        <v>160</v>
      </c>
      <c r="CS16" s="363">
        <v>452</v>
      </c>
      <c r="CT16" s="24">
        <v>285</v>
      </c>
      <c r="CU16" s="49">
        <v>0</v>
      </c>
      <c r="CV16" s="46"/>
      <c r="CW16" s="438" t="s">
        <v>160</v>
      </c>
      <c r="CX16" s="363">
        <v>132</v>
      </c>
      <c r="CY16" s="518"/>
      <c r="CZ16" s="49">
        <v>0</v>
      </c>
      <c r="DA16" s="46"/>
      <c r="DB16" s="438" t="s">
        <v>160</v>
      </c>
      <c r="DC16" s="363">
        <v>385</v>
      </c>
      <c r="DD16" s="24">
        <v>219</v>
      </c>
      <c r="DE16" s="479"/>
      <c r="DF16" s="492"/>
      <c r="DG16" s="512" t="s">
        <v>11</v>
      </c>
      <c r="DH16" s="458"/>
      <c r="DI16" s="458"/>
      <c r="DJ16" s="458"/>
      <c r="DK16" s="465"/>
      <c r="DL16" s="49">
        <v>0</v>
      </c>
      <c r="DM16" s="46"/>
      <c r="DN16" s="438" t="s">
        <v>160</v>
      </c>
      <c r="DO16" s="363">
        <v>244</v>
      </c>
      <c r="DP16" s="518"/>
      <c r="DQ16" s="49">
        <v>0</v>
      </c>
      <c r="DR16" s="46"/>
      <c r="DS16" s="438" t="s">
        <v>160</v>
      </c>
      <c r="DT16" s="363">
        <v>529</v>
      </c>
      <c r="DU16" s="24">
        <v>495</v>
      </c>
      <c r="DV16" s="49">
        <v>12</v>
      </c>
      <c r="DW16" s="46"/>
      <c r="DX16" s="438" t="s">
        <v>160</v>
      </c>
      <c r="DY16" s="363">
        <v>599</v>
      </c>
      <c r="DZ16" s="24">
        <v>505</v>
      </c>
      <c r="EA16" s="49">
        <v>14</v>
      </c>
      <c r="EB16" s="46"/>
      <c r="EC16" s="438" t="s">
        <v>160</v>
      </c>
      <c r="ED16" s="363">
        <v>561</v>
      </c>
      <c r="EE16" s="24">
        <v>536</v>
      </c>
      <c r="EF16" s="479"/>
      <c r="EG16" s="492"/>
      <c r="EH16" s="512" t="s">
        <v>11</v>
      </c>
      <c r="EI16" s="458"/>
      <c r="EJ16" s="458"/>
      <c r="EK16" s="458"/>
      <c r="EL16" s="465"/>
      <c r="EM16" s="49">
        <v>3</v>
      </c>
      <c r="EN16" s="46"/>
      <c r="EO16" s="438" t="s">
        <v>160</v>
      </c>
      <c r="EP16" s="363">
        <v>542</v>
      </c>
      <c r="EQ16" s="24">
        <v>420</v>
      </c>
      <c r="ER16" s="49">
        <v>4</v>
      </c>
      <c r="ES16" s="46"/>
      <c r="ET16" s="438" t="s">
        <v>160</v>
      </c>
      <c r="EU16" s="363">
        <v>593</v>
      </c>
      <c r="EV16" s="24">
        <v>413</v>
      </c>
      <c r="EW16" s="49">
        <v>0</v>
      </c>
      <c r="EX16" s="46"/>
      <c r="EY16" s="438" t="s">
        <v>160</v>
      </c>
      <c r="EZ16" s="363">
        <v>70</v>
      </c>
      <c r="FA16" s="518"/>
      <c r="FB16" s="49">
        <v>6.2</v>
      </c>
      <c r="FC16" s="46"/>
      <c r="FD16" s="438" t="s">
        <v>160</v>
      </c>
      <c r="FE16" s="363">
        <v>531</v>
      </c>
      <c r="FF16" s="24">
        <v>337</v>
      </c>
      <c r="FG16" s="479"/>
      <c r="FH16" s="492"/>
      <c r="FI16" s="512" t="s">
        <v>11</v>
      </c>
      <c r="FJ16" s="458"/>
      <c r="FK16" s="458"/>
      <c r="FL16" s="458"/>
      <c r="FM16" s="465"/>
      <c r="FN16" s="49">
        <v>12</v>
      </c>
      <c r="FO16" s="46"/>
      <c r="FP16" s="438" t="s">
        <v>160</v>
      </c>
      <c r="FQ16" s="363">
        <v>616</v>
      </c>
      <c r="FR16" s="24">
        <v>561</v>
      </c>
      <c r="FS16" s="49">
        <v>2.5</v>
      </c>
      <c r="FT16" s="46"/>
      <c r="FU16" s="438" t="s">
        <v>160</v>
      </c>
      <c r="FV16" s="363">
        <v>541</v>
      </c>
      <c r="FW16" s="24">
        <v>513</v>
      </c>
      <c r="FX16" s="49">
        <v>74</v>
      </c>
      <c r="FY16" s="46"/>
      <c r="FZ16" s="438" t="s">
        <v>160</v>
      </c>
      <c r="GA16" s="363">
        <v>709</v>
      </c>
      <c r="GB16" s="24">
        <v>570</v>
      </c>
      <c r="GC16" s="49">
        <v>5</v>
      </c>
      <c r="GD16" s="46"/>
      <c r="GE16" s="438" t="s">
        <v>160</v>
      </c>
      <c r="GF16" s="363">
        <v>421</v>
      </c>
      <c r="GG16" s="24">
        <v>115</v>
      </c>
      <c r="GH16" s="479"/>
      <c r="GI16" s="492"/>
      <c r="GJ16" s="512" t="s">
        <v>11</v>
      </c>
      <c r="GK16" s="458"/>
      <c r="GL16" s="458"/>
      <c r="GM16" s="458"/>
      <c r="GN16" s="465"/>
      <c r="GO16" s="49">
        <v>0</v>
      </c>
      <c r="GP16" s="46"/>
      <c r="GQ16" s="438" t="s">
        <v>160</v>
      </c>
      <c r="GR16" s="363">
        <v>349</v>
      </c>
      <c r="GS16" s="24">
        <v>251</v>
      </c>
      <c r="GT16" s="49">
        <v>86</v>
      </c>
      <c r="GU16" s="46"/>
      <c r="GV16" s="438" t="s">
        <v>160</v>
      </c>
      <c r="GW16" s="363">
        <v>575</v>
      </c>
      <c r="GX16" s="24">
        <v>488</v>
      </c>
      <c r="GY16" s="49">
        <v>0</v>
      </c>
      <c r="GZ16" s="46"/>
      <c r="HA16" s="438" t="s">
        <v>160</v>
      </c>
      <c r="HB16" s="363">
        <v>526</v>
      </c>
      <c r="HC16" s="24">
        <v>564</v>
      </c>
      <c r="HD16" s="49">
        <v>0</v>
      </c>
      <c r="HE16" s="46"/>
      <c r="HF16" s="438" t="s">
        <v>160</v>
      </c>
      <c r="HG16" s="363">
        <v>514</v>
      </c>
      <c r="HH16" s="24">
        <v>471</v>
      </c>
      <c r="HI16" s="479"/>
      <c r="HJ16" s="492"/>
      <c r="HK16" s="512" t="s">
        <v>11</v>
      </c>
      <c r="HL16" s="458"/>
      <c r="HM16" s="458"/>
      <c r="HN16" s="458"/>
      <c r="HO16" s="465"/>
      <c r="HP16" s="49">
        <v>0</v>
      </c>
      <c r="HQ16" s="46"/>
      <c r="HR16" s="438" t="s">
        <v>160</v>
      </c>
      <c r="HS16" s="363">
        <v>526</v>
      </c>
      <c r="HT16" s="24">
        <v>399</v>
      </c>
      <c r="HU16" s="49">
        <v>0</v>
      </c>
      <c r="HV16" s="46"/>
      <c r="HW16" s="438" t="s">
        <v>160</v>
      </c>
      <c r="HX16" s="363">
        <v>493</v>
      </c>
      <c r="HY16" s="24">
        <v>318</v>
      </c>
      <c r="HZ16" s="49">
        <v>1</v>
      </c>
      <c r="IA16" s="46"/>
      <c r="IB16" s="438" t="s">
        <v>160</v>
      </c>
      <c r="IC16" s="363">
        <v>612</v>
      </c>
      <c r="ID16" s="24">
        <v>464</v>
      </c>
      <c r="IE16" s="49">
        <v>0</v>
      </c>
      <c r="IF16" s="46"/>
      <c r="IG16" s="438" t="s">
        <v>160</v>
      </c>
      <c r="IH16" s="363">
        <v>420</v>
      </c>
      <c r="II16" s="24">
        <v>345</v>
      </c>
      <c r="IJ16" s="478"/>
      <c r="IK16" s="492"/>
      <c r="IL16" s="512" t="s">
        <v>11</v>
      </c>
      <c r="IM16" s="458"/>
      <c r="IN16" s="458"/>
      <c r="IO16" s="458"/>
      <c r="IP16" s="465"/>
      <c r="IQ16" s="49">
        <v>4</v>
      </c>
      <c r="IR16" s="46"/>
      <c r="IS16" s="438" t="s">
        <v>160</v>
      </c>
      <c r="IT16" s="363">
        <v>341</v>
      </c>
      <c r="IU16" s="24">
        <v>285.39999999999998</v>
      </c>
      <c r="IV16" s="49">
        <v>0</v>
      </c>
      <c r="IW16" s="46"/>
      <c r="IX16" s="438" t="s">
        <v>160</v>
      </c>
      <c r="IY16" s="363">
        <v>339</v>
      </c>
      <c r="IZ16" s="24">
        <v>207</v>
      </c>
      <c r="JA16" s="49">
        <v>0</v>
      </c>
      <c r="JB16" s="46"/>
      <c r="JC16" s="438" t="s">
        <v>160</v>
      </c>
      <c r="JD16" s="363">
        <v>95</v>
      </c>
      <c r="JE16" s="518"/>
      <c r="JF16" s="49">
        <v>0</v>
      </c>
      <c r="JG16" s="46"/>
      <c r="JH16" s="438" t="s">
        <v>160</v>
      </c>
      <c r="JI16" s="363">
        <v>506</v>
      </c>
      <c r="JJ16" s="24">
        <v>229</v>
      </c>
      <c r="JK16" s="479"/>
      <c r="JL16" s="492"/>
      <c r="JM16" s="512" t="s">
        <v>11</v>
      </c>
      <c r="JN16" s="458"/>
      <c r="JO16" s="458"/>
      <c r="JP16" s="458"/>
      <c r="JQ16" s="465"/>
      <c r="JR16" s="49">
        <v>2</v>
      </c>
      <c r="JS16" s="46"/>
      <c r="JT16" s="438" t="s">
        <v>160</v>
      </c>
      <c r="JU16" s="363">
        <v>517</v>
      </c>
      <c r="JV16" s="24">
        <v>400</v>
      </c>
      <c r="JW16" s="49">
        <v>0</v>
      </c>
      <c r="JX16" s="46"/>
      <c r="JY16" s="438" t="s">
        <v>160</v>
      </c>
      <c r="JZ16" s="363">
        <v>271</v>
      </c>
      <c r="KA16" s="24">
        <v>140</v>
      </c>
      <c r="KB16" s="49">
        <v>0</v>
      </c>
      <c r="KC16" s="46"/>
      <c r="KD16" s="438" t="s">
        <v>160</v>
      </c>
      <c r="KE16" s="363">
        <v>361.2</v>
      </c>
      <c r="KF16" s="24">
        <v>231</v>
      </c>
      <c r="KG16" s="49">
        <v>2</v>
      </c>
      <c r="KH16" s="46"/>
      <c r="KI16" s="438" t="s">
        <v>160</v>
      </c>
      <c r="KJ16" s="363">
        <v>387</v>
      </c>
      <c r="KK16" s="24">
        <v>340</v>
      </c>
      <c r="KL16" s="479"/>
      <c r="KM16" s="492"/>
      <c r="KN16" s="512" t="s">
        <v>11</v>
      </c>
      <c r="KO16" s="458"/>
      <c r="KP16" s="458"/>
      <c r="KQ16" s="458"/>
      <c r="KR16" s="465"/>
      <c r="KS16" s="49">
        <v>0</v>
      </c>
      <c r="KT16" s="46"/>
      <c r="KU16" s="438" t="s">
        <v>160</v>
      </c>
      <c r="KV16" s="363">
        <v>317</v>
      </c>
      <c r="KW16" s="24">
        <v>115</v>
      </c>
      <c r="KX16" s="49">
        <v>0</v>
      </c>
      <c r="KY16" s="46"/>
      <c r="KZ16" s="438" t="s">
        <v>160</v>
      </c>
      <c r="LA16" s="363">
        <v>293</v>
      </c>
      <c r="LB16" s="24">
        <v>93</v>
      </c>
      <c r="LC16" s="49">
        <v>8.9</v>
      </c>
      <c r="LD16" s="46"/>
      <c r="LE16" s="438" t="s">
        <v>160</v>
      </c>
      <c r="LF16" s="363">
        <v>390</v>
      </c>
      <c r="LG16" s="24">
        <v>212</v>
      </c>
      <c r="LH16" s="49">
        <v>0</v>
      </c>
      <c r="LI16" s="46"/>
      <c r="LJ16" s="438" t="s">
        <v>160</v>
      </c>
      <c r="LK16" s="363">
        <v>320</v>
      </c>
      <c r="LL16" s="24">
        <v>76</v>
      </c>
      <c r="LM16" s="479"/>
      <c r="LN16" s="492"/>
      <c r="LO16" s="512" t="s">
        <v>11</v>
      </c>
      <c r="LP16" s="458"/>
      <c r="LQ16" s="458"/>
      <c r="LR16" s="458"/>
      <c r="LS16" s="465"/>
      <c r="LT16" s="49">
        <v>0</v>
      </c>
      <c r="LU16" s="46"/>
      <c r="LV16" s="438" t="s">
        <v>160</v>
      </c>
      <c r="LW16" s="363">
        <v>8</v>
      </c>
      <c r="LX16" s="518"/>
      <c r="LY16" s="49">
        <v>0</v>
      </c>
      <c r="LZ16" s="46"/>
      <c r="MA16" s="438" t="s">
        <v>160</v>
      </c>
      <c r="MB16" s="363">
        <v>136</v>
      </c>
      <c r="MC16" s="24">
        <v>58</v>
      </c>
      <c r="MD16" s="49">
        <v>0</v>
      </c>
      <c r="ME16" s="46"/>
      <c r="MF16" s="438" t="s">
        <v>160</v>
      </c>
      <c r="MG16" s="363">
        <v>51</v>
      </c>
      <c r="MH16" s="518"/>
      <c r="MI16" s="49">
        <v>9</v>
      </c>
      <c r="MJ16" s="46"/>
      <c r="MK16" s="438" t="s">
        <v>160</v>
      </c>
      <c r="ML16" s="363">
        <v>537</v>
      </c>
      <c r="MM16" s="24">
        <v>382</v>
      </c>
      <c r="MN16" s="479"/>
      <c r="MO16" s="492"/>
      <c r="MP16" s="512" t="s">
        <v>11</v>
      </c>
      <c r="MQ16" s="458"/>
      <c r="MR16" s="458"/>
      <c r="MS16" s="458"/>
      <c r="MT16" s="465"/>
      <c r="MU16" s="49">
        <v>0</v>
      </c>
      <c r="MV16" s="46"/>
      <c r="MW16" s="438" t="s">
        <v>160</v>
      </c>
      <c r="MX16" s="363">
        <v>543</v>
      </c>
      <c r="MY16" s="24">
        <v>352</v>
      </c>
      <c r="MZ16" s="49">
        <v>0</v>
      </c>
      <c r="NA16" s="46"/>
      <c r="NB16" s="438" t="s">
        <v>160</v>
      </c>
      <c r="NC16" s="363">
        <v>4</v>
      </c>
      <c r="ND16" s="518"/>
      <c r="NE16" s="49">
        <v>0</v>
      </c>
      <c r="NF16" s="46"/>
      <c r="NG16" s="438" t="s">
        <v>160</v>
      </c>
      <c r="NH16" s="363">
        <v>294</v>
      </c>
      <c r="NI16" s="24">
        <v>152</v>
      </c>
      <c r="NJ16" s="49">
        <v>0</v>
      </c>
      <c r="NK16" s="46"/>
      <c r="NL16" s="438" t="s">
        <v>160</v>
      </c>
      <c r="NM16" s="363">
        <v>333</v>
      </c>
      <c r="NN16" s="24">
        <v>76</v>
      </c>
      <c r="NO16" s="479"/>
      <c r="NP16" s="492"/>
      <c r="NQ16" s="512" t="s">
        <v>11</v>
      </c>
      <c r="NR16" s="458"/>
      <c r="NS16" s="458"/>
      <c r="NT16" s="458"/>
      <c r="NU16" s="465"/>
      <c r="NV16" s="49">
        <v>0</v>
      </c>
      <c r="NW16" s="46"/>
      <c r="NX16" s="438" t="s">
        <v>160</v>
      </c>
      <c r="NY16" s="363">
        <v>142</v>
      </c>
      <c r="NZ16" s="518"/>
      <c r="OA16" s="49">
        <v>0</v>
      </c>
      <c r="OB16" s="46"/>
      <c r="OC16" s="438" t="s">
        <v>160</v>
      </c>
      <c r="OD16" s="363">
        <v>345</v>
      </c>
      <c r="OE16" s="24">
        <v>48</v>
      </c>
      <c r="OF16" s="49">
        <v>0</v>
      </c>
      <c r="OG16" s="46"/>
      <c r="OH16" s="438" t="s">
        <v>160</v>
      </c>
      <c r="OI16" s="363">
        <v>230</v>
      </c>
      <c r="OJ16" s="518"/>
      <c r="OK16" s="49">
        <v>0</v>
      </c>
      <c r="OL16" s="46"/>
      <c r="OM16" s="438" t="s">
        <v>160</v>
      </c>
      <c r="ON16" s="363">
        <v>134</v>
      </c>
      <c r="OO16" s="518"/>
      <c r="OP16" s="479"/>
      <c r="OQ16" s="492"/>
      <c r="OR16" s="512" t="s">
        <v>11</v>
      </c>
      <c r="OS16" s="458"/>
      <c r="OT16" s="458"/>
      <c r="OU16" s="458"/>
      <c r="OV16" s="465"/>
      <c r="OW16" s="49">
        <v>0</v>
      </c>
      <c r="OX16" s="46"/>
      <c r="OY16" s="438" t="s">
        <v>160</v>
      </c>
      <c r="OZ16" s="363">
        <v>148</v>
      </c>
      <c r="PA16" s="518"/>
      <c r="PB16" s="49">
        <v>0</v>
      </c>
      <c r="PC16" s="46"/>
      <c r="PD16" s="438" t="s">
        <v>160</v>
      </c>
      <c r="PE16" s="363">
        <v>301</v>
      </c>
      <c r="PF16" s="24">
        <v>111</v>
      </c>
      <c r="PG16" s="49">
        <v>0</v>
      </c>
      <c r="PH16" s="46"/>
      <c r="PI16" s="438" t="s">
        <v>160</v>
      </c>
      <c r="PJ16" s="363">
        <v>187</v>
      </c>
      <c r="PK16" s="24">
        <v>48</v>
      </c>
      <c r="PL16" s="49">
        <v>0</v>
      </c>
      <c r="PM16" s="46"/>
      <c r="PN16" s="438" t="s">
        <v>160</v>
      </c>
      <c r="PO16" s="363">
        <v>330</v>
      </c>
      <c r="PP16" s="24">
        <v>89</v>
      </c>
      <c r="PQ16" s="479"/>
      <c r="PR16" s="492"/>
      <c r="PS16" s="512" t="s">
        <v>11</v>
      </c>
      <c r="PT16" s="458"/>
      <c r="PU16" s="458"/>
      <c r="PV16" s="458"/>
      <c r="PW16" s="465"/>
      <c r="PX16" s="49">
        <v>0</v>
      </c>
      <c r="PY16" s="46"/>
      <c r="PZ16" s="438" t="s">
        <v>160</v>
      </c>
      <c r="QA16" s="363">
        <v>215</v>
      </c>
      <c r="QB16" s="518"/>
      <c r="QC16" s="49">
        <v>3.4</v>
      </c>
      <c r="QD16" s="46"/>
      <c r="QE16" s="438" t="s">
        <v>160</v>
      </c>
      <c r="QF16" s="363">
        <v>186</v>
      </c>
      <c r="QG16" s="24">
        <v>14</v>
      </c>
      <c r="QH16" s="49">
        <v>0</v>
      </c>
      <c r="QI16" s="46"/>
      <c r="QJ16" s="438" t="s">
        <v>160</v>
      </c>
      <c r="QK16" s="363">
        <v>163</v>
      </c>
      <c r="QL16" s="518"/>
      <c r="QM16" s="49">
        <v>0</v>
      </c>
      <c r="QN16" s="46"/>
      <c r="QO16" s="438" t="s">
        <v>160</v>
      </c>
      <c r="QP16" s="363">
        <v>213</v>
      </c>
      <c r="QQ16" s="518"/>
      <c r="QR16" s="479"/>
      <c r="QS16" s="492"/>
      <c r="QT16" s="512" t="s">
        <v>11</v>
      </c>
      <c r="QU16" s="458"/>
      <c r="QV16" s="458"/>
      <c r="QW16" s="458"/>
      <c r="QX16" s="465"/>
      <c r="QY16" s="49">
        <v>0</v>
      </c>
      <c r="QZ16" s="46"/>
      <c r="RA16" s="438" t="s">
        <v>160</v>
      </c>
      <c r="RB16" s="363">
        <v>76</v>
      </c>
      <c r="RC16" s="518"/>
      <c r="RD16" s="49">
        <v>0</v>
      </c>
      <c r="RE16" s="46"/>
      <c r="RF16" s="438" t="s">
        <v>160</v>
      </c>
      <c r="RG16" s="363">
        <v>97</v>
      </c>
      <c r="RH16" s="518"/>
      <c r="RI16" s="49">
        <v>0</v>
      </c>
      <c r="RJ16" s="46"/>
      <c r="RK16" s="438" t="s">
        <v>160</v>
      </c>
      <c r="RL16" s="363">
        <v>1</v>
      </c>
      <c r="RM16" s="518"/>
      <c r="RN16" s="49">
        <v>0</v>
      </c>
      <c r="RO16" s="46"/>
      <c r="RP16" s="438" t="s">
        <v>160</v>
      </c>
      <c r="RQ16" s="363">
        <v>128</v>
      </c>
      <c r="RR16" s="518"/>
      <c r="RS16" s="479"/>
      <c r="RT16" s="492"/>
      <c r="RU16" s="512" t="s">
        <v>11</v>
      </c>
      <c r="RV16" s="458"/>
      <c r="RW16" s="458"/>
      <c r="RX16" s="458"/>
      <c r="RY16" s="465"/>
      <c r="RZ16" s="49">
        <v>0</v>
      </c>
      <c r="SA16" s="46"/>
      <c r="SB16" s="438" t="s">
        <v>160</v>
      </c>
      <c r="SC16" s="363">
        <v>48</v>
      </c>
      <c r="SD16" s="518"/>
      <c r="SE16" s="49">
        <v>0</v>
      </c>
      <c r="SF16" s="46"/>
      <c r="SG16" s="438" t="s">
        <v>160</v>
      </c>
      <c r="SH16" s="363">
        <v>316</v>
      </c>
      <c r="SI16" s="518"/>
      <c r="SJ16" s="49">
        <v>0</v>
      </c>
      <c r="SK16" s="46"/>
      <c r="SL16" s="438" t="s">
        <v>160</v>
      </c>
      <c r="SM16" s="363">
        <v>67</v>
      </c>
      <c r="SN16" s="518"/>
      <c r="SO16" s="49">
        <v>0</v>
      </c>
      <c r="SP16" s="46"/>
      <c r="SQ16" s="438" t="s">
        <v>160</v>
      </c>
      <c r="SR16" s="363">
        <v>88</v>
      </c>
      <c r="SS16" s="518"/>
      <c r="ST16" s="479"/>
      <c r="SU16" s="492"/>
      <c r="SV16" s="512" t="s">
        <v>11</v>
      </c>
      <c r="SW16" s="458"/>
      <c r="SX16" s="458"/>
      <c r="SY16" s="458"/>
      <c r="SZ16" s="465"/>
      <c r="TA16" s="49">
        <v>0</v>
      </c>
      <c r="TB16" s="46"/>
      <c r="TC16" s="438" t="s">
        <v>160</v>
      </c>
      <c r="TD16" s="363">
        <v>60</v>
      </c>
      <c r="TE16" s="518"/>
      <c r="TF16" s="49">
        <v>0</v>
      </c>
      <c r="TG16" s="46"/>
      <c r="TH16" s="438" t="s">
        <v>160</v>
      </c>
      <c r="TI16" s="363">
        <v>95</v>
      </c>
      <c r="TJ16" s="518"/>
      <c r="TK16" s="49">
        <v>0</v>
      </c>
      <c r="TL16" s="46"/>
      <c r="TM16" s="438" t="s">
        <v>160</v>
      </c>
      <c r="TN16" s="363">
        <v>140</v>
      </c>
      <c r="TO16" s="518"/>
      <c r="TP16" s="49">
        <v>0</v>
      </c>
      <c r="TQ16" s="46"/>
      <c r="TR16" s="438" t="s">
        <v>160</v>
      </c>
      <c r="TS16" s="363">
        <v>88</v>
      </c>
      <c r="TT16" s="518"/>
      <c r="TU16" s="479"/>
      <c r="TV16" s="492"/>
      <c r="TW16" s="512" t="s">
        <v>11</v>
      </c>
      <c r="TX16" s="458"/>
      <c r="TY16" s="458"/>
      <c r="TZ16" s="458"/>
      <c r="UA16" s="465"/>
      <c r="UB16" s="49">
        <v>0</v>
      </c>
      <c r="UC16" s="46"/>
      <c r="UD16" s="438" t="s">
        <v>160</v>
      </c>
      <c r="UE16" s="363">
        <v>43</v>
      </c>
      <c r="UF16" s="518"/>
      <c r="UG16" s="49">
        <v>0</v>
      </c>
      <c r="UH16" s="46"/>
      <c r="UI16" s="438" t="s">
        <v>160</v>
      </c>
      <c r="UJ16" s="363">
        <v>122</v>
      </c>
      <c r="UK16" s="518"/>
      <c r="UL16" s="49">
        <v>0</v>
      </c>
      <c r="UM16" s="46"/>
      <c r="UN16" s="438" t="s">
        <v>160</v>
      </c>
      <c r="UO16" s="363">
        <v>157</v>
      </c>
      <c r="UP16" s="518"/>
      <c r="UQ16" s="49">
        <v>0</v>
      </c>
      <c r="UR16" s="46"/>
      <c r="US16" s="438" t="s">
        <v>160</v>
      </c>
      <c r="UT16" s="363">
        <v>225</v>
      </c>
      <c r="UU16" s="24">
        <v>132</v>
      </c>
      <c r="UV16" s="479"/>
      <c r="UW16" s="492"/>
      <c r="UX16" s="512" t="s">
        <v>11</v>
      </c>
      <c r="UY16" s="458"/>
      <c r="UZ16" s="458"/>
      <c r="VA16" s="458"/>
      <c r="VB16" s="465"/>
      <c r="VC16" s="49">
        <v>0</v>
      </c>
      <c r="VD16" s="46"/>
      <c r="VE16" s="438" t="s">
        <v>160</v>
      </c>
      <c r="VF16" s="363">
        <v>214</v>
      </c>
      <c r="VG16" s="518"/>
      <c r="VH16" s="49">
        <v>0</v>
      </c>
      <c r="VI16" s="46"/>
      <c r="VJ16" s="438" t="s">
        <v>160</v>
      </c>
      <c r="VK16" s="363">
        <v>204</v>
      </c>
      <c r="VL16" s="518"/>
      <c r="VM16" s="49">
        <v>0</v>
      </c>
      <c r="VN16" s="46"/>
      <c r="VO16" s="438" t="s">
        <v>160</v>
      </c>
      <c r="VP16" s="363">
        <v>103</v>
      </c>
      <c r="VQ16" s="518"/>
      <c r="VR16" s="49">
        <v>0</v>
      </c>
      <c r="VS16" s="46"/>
      <c r="VT16" s="438" t="s">
        <v>160</v>
      </c>
      <c r="VU16" s="363">
        <v>41</v>
      </c>
      <c r="VV16" s="518"/>
      <c r="VW16" s="479"/>
      <c r="VX16" s="492"/>
      <c r="VY16" s="512" t="s">
        <v>11</v>
      </c>
      <c r="VZ16" s="458"/>
      <c r="WA16" s="458"/>
      <c r="WB16" s="458"/>
      <c r="WC16" s="465"/>
      <c r="WD16" s="49">
        <v>0</v>
      </c>
      <c r="WE16" s="46"/>
      <c r="WF16" s="438" t="s">
        <v>160</v>
      </c>
      <c r="WG16" s="363">
        <v>201</v>
      </c>
      <c r="WH16" s="518"/>
      <c r="WI16" s="49">
        <v>0</v>
      </c>
      <c r="WJ16" s="46"/>
      <c r="WK16" s="438" t="s">
        <v>160</v>
      </c>
      <c r="WL16" s="363">
        <v>27</v>
      </c>
      <c r="WM16" s="518"/>
      <c r="WN16" s="49">
        <v>0</v>
      </c>
      <c r="WO16" s="46"/>
      <c r="WP16" s="438" t="s">
        <v>160</v>
      </c>
      <c r="WQ16" s="363">
        <v>194</v>
      </c>
      <c r="WR16" s="518"/>
      <c r="WS16" s="49">
        <v>0</v>
      </c>
      <c r="WT16" s="46"/>
      <c r="WU16" s="438" t="s">
        <v>160</v>
      </c>
      <c r="WV16" s="363">
        <v>245</v>
      </c>
      <c r="WW16" s="24">
        <v>73</v>
      </c>
      <c r="WX16" s="479"/>
      <c r="WY16" s="492"/>
      <c r="WZ16" s="512" t="s">
        <v>11</v>
      </c>
      <c r="XA16" s="458"/>
      <c r="XB16" s="458"/>
      <c r="XC16" s="458"/>
      <c r="XD16" s="465"/>
      <c r="XE16" s="49">
        <v>0</v>
      </c>
      <c r="XF16" s="46"/>
      <c r="XG16" s="438" t="s">
        <v>160</v>
      </c>
      <c r="XH16" s="363">
        <v>86</v>
      </c>
      <c r="XI16" s="518"/>
      <c r="XJ16" s="49">
        <v>0</v>
      </c>
      <c r="XK16" s="46"/>
      <c r="XL16" s="438" t="s">
        <v>160</v>
      </c>
      <c r="XM16" s="363">
        <v>31</v>
      </c>
      <c r="XN16" s="518"/>
      <c r="XO16" s="49">
        <v>0</v>
      </c>
      <c r="XP16" s="46"/>
      <c r="XQ16" s="438" t="s">
        <v>160</v>
      </c>
      <c r="XR16" s="363">
        <v>180</v>
      </c>
      <c r="XS16" s="24">
        <v>17</v>
      </c>
      <c r="XT16" s="49">
        <v>0</v>
      </c>
      <c r="XU16" s="46"/>
      <c r="XV16" s="438" t="s">
        <v>160</v>
      </c>
      <c r="XW16" s="363">
        <v>162</v>
      </c>
      <c r="XX16" s="24">
        <v>64</v>
      </c>
      <c r="XY16" s="479"/>
      <c r="XZ16" s="492"/>
      <c r="YA16" s="512" t="s">
        <v>11</v>
      </c>
      <c r="YB16" s="458"/>
      <c r="YC16" s="458"/>
      <c r="YD16" s="458"/>
      <c r="YE16" s="465"/>
      <c r="YF16" s="49">
        <v>0</v>
      </c>
      <c r="YG16" s="46"/>
      <c r="YH16" s="438" t="s">
        <v>160</v>
      </c>
      <c r="YI16" s="363">
        <v>101</v>
      </c>
      <c r="YJ16" s="518"/>
      <c r="YK16" s="49">
        <v>0</v>
      </c>
      <c r="YL16" s="46"/>
      <c r="YM16" s="438" t="s">
        <v>160</v>
      </c>
      <c r="YN16" s="363">
        <v>164</v>
      </c>
      <c r="YO16" s="518"/>
      <c r="YP16" s="49">
        <v>0</v>
      </c>
      <c r="YQ16" s="46"/>
      <c r="YR16" s="438" t="s">
        <v>160</v>
      </c>
      <c r="YS16" s="363">
        <v>104</v>
      </c>
      <c r="YT16" s="24">
        <v>26</v>
      </c>
      <c r="YU16" s="49">
        <v>0</v>
      </c>
      <c r="YV16" s="46"/>
      <c r="YW16" s="438" t="s">
        <v>160</v>
      </c>
      <c r="YX16" s="363">
        <v>359</v>
      </c>
      <c r="YY16" s="24">
        <v>319</v>
      </c>
      <c r="YZ16" s="479"/>
      <c r="ZA16" s="492"/>
      <c r="ZB16" s="512" t="s">
        <v>11</v>
      </c>
      <c r="ZC16" s="458"/>
      <c r="ZD16" s="458"/>
      <c r="ZE16" s="458"/>
      <c r="ZF16" s="465"/>
      <c r="ZG16" s="49">
        <v>0</v>
      </c>
      <c r="ZH16" s="46"/>
      <c r="ZI16" s="438" t="s">
        <v>160</v>
      </c>
      <c r="ZJ16" s="363">
        <v>47</v>
      </c>
      <c r="ZK16" s="495"/>
      <c r="ZL16" s="49">
        <v>0</v>
      </c>
      <c r="ZM16" s="46"/>
      <c r="ZN16" s="438" t="s">
        <v>160</v>
      </c>
      <c r="ZO16" s="363">
        <v>26</v>
      </c>
      <c r="ZP16" s="495"/>
      <c r="ZQ16" s="49">
        <v>0</v>
      </c>
      <c r="ZR16" s="46"/>
      <c r="ZS16" s="438" t="s">
        <v>160</v>
      </c>
      <c r="ZT16" s="363">
        <v>189</v>
      </c>
      <c r="ZU16" s="24">
        <v>13</v>
      </c>
      <c r="ZV16" s="49">
        <v>0</v>
      </c>
      <c r="ZW16" s="46"/>
      <c r="ZX16" s="438" t="s">
        <v>160</v>
      </c>
      <c r="ZY16" s="363">
        <v>414</v>
      </c>
      <c r="ZZ16" s="24">
        <v>79</v>
      </c>
      <c r="AAA16" s="479"/>
      <c r="AAB16" s="492"/>
      <c r="AAC16" s="512" t="s">
        <v>11</v>
      </c>
      <c r="AAD16" s="458"/>
      <c r="AAE16" s="458"/>
      <c r="AAF16" s="458"/>
      <c r="AAG16" s="465"/>
      <c r="AAH16" s="49">
        <v>0</v>
      </c>
      <c r="AAI16" s="46"/>
      <c r="AAJ16" s="438" t="s">
        <v>160</v>
      </c>
      <c r="AAK16" s="363">
        <v>190</v>
      </c>
      <c r="AAL16" s="24">
        <v>134</v>
      </c>
      <c r="AAM16" s="49">
        <v>0</v>
      </c>
      <c r="AAN16" s="46"/>
      <c r="AAO16" s="438" t="s">
        <v>160</v>
      </c>
      <c r="AAP16" s="363">
        <v>65</v>
      </c>
      <c r="AAQ16" s="495"/>
      <c r="AAR16" s="49">
        <v>0</v>
      </c>
      <c r="AAS16" s="46"/>
      <c r="AAT16" s="438" t="s">
        <v>160</v>
      </c>
      <c r="AAU16" s="363">
        <v>155</v>
      </c>
      <c r="AAV16" s="495"/>
      <c r="AAW16" s="49">
        <v>0</v>
      </c>
      <c r="AAX16" s="46"/>
      <c r="AAY16" s="438" t="s">
        <v>160</v>
      </c>
      <c r="AAZ16" s="363">
        <v>265</v>
      </c>
      <c r="ABA16" s="495"/>
      <c r="ABB16" s="479"/>
      <c r="ABC16" s="492"/>
      <c r="ABD16" s="512" t="s">
        <v>11</v>
      </c>
      <c r="ABE16" s="458"/>
      <c r="ABF16" s="458"/>
      <c r="ABG16" s="458"/>
      <c r="ABH16" s="465"/>
      <c r="ABI16" s="49">
        <v>0</v>
      </c>
      <c r="ABJ16" s="46"/>
      <c r="ABK16" s="438" t="s">
        <v>160</v>
      </c>
      <c r="ABL16" s="363">
        <v>324</v>
      </c>
      <c r="ABM16" s="24">
        <v>253</v>
      </c>
      <c r="ABN16" s="49">
        <v>0</v>
      </c>
      <c r="ABO16" s="46"/>
      <c r="ABP16" s="438" t="s">
        <v>160</v>
      </c>
      <c r="ABQ16" s="363">
        <v>107</v>
      </c>
      <c r="ABR16" s="24">
        <v>44</v>
      </c>
      <c r="ABS16" s="49">
        <v>0</v>
      </c>
      <c r="ABT16" s="46"/>
      <c r="ABU16" s="438" t="s">
        <v>160</v>
      </c>
      <c r="ABV16" s="363">
        <v>307</v>
      </c>
      <c r="ABW16" s="495"/>
      <c r="ABX16" s="49">
        <v>0</v>
      </c>
      <c r="ABY16" s="46"/>
      <c r="ABZ16" s="438" t="s">
        <v>160</v>
      </c>
      <c r="ACA16" s="363">
        <v>282</v>
      </c>
      <c r="ACB16" s="24">
        <v>145</v>
      </c>
      <c r="ACC16" s="479"/>
      <c r="ACD16" s="492"/>
      <c r="ACE16" s="512" t="s">
        <v>11</v>
      </c>
      <c r="ACF16" s="458"/>
      <c r="ACG16" s="458"/>
      <c r="ACH16" s="458"/>
      <c r="ACI16" s="465"/>
      <c r="ACJ16" s="49">
        <v>0</v>
      </c>
      <c r="ACK16" s="46"/>
      <c r="ACL16" s="438" t="s">
        <v>160</v>
      </c>
      <c r="ACM16" s="363">
        <v>285</v>
      </c>
      <c r="ACN16" s="24">
        <v>143</v>
      </c>
      <c r="ACO16" s="49">
        <v>0</v>
      </c>
      <c r="ACP16" s="46"/>
      <c r="ACQ16" s="438" t="s">
        <v>160</v>
      </c>
      <c r="ACR16" s="363">
        <v>291</v>
      </c>
      <c r="ACS16" s="24">
        <v>185</v>
      </c>
      <c r="ACT16" s="49">
        <v>0</v>
      </c>
      <c r="ACU16" s="46"/>
      <c r="ACV16" s="438" t="s">
        <v>160</v>
      </c>
      <c r="ACW16" s="363">
        <v>288</v>
      </c>
      <c r="ACX16" s="24">
        <v>27</v>
      </c>
      <c r="ACY16" s="49">
        <v>0</v>
      </c>
      <c r="ACZ16" s="46"/>
      <c r="ADA16" s="438" t="s">
        <v>160</v>
      </c>
      <c r="ADB16" s="363">
        <v>9</v>
      </c>
      <c r="ADC16" s="495"/>
      <c r="ADD16" s="479"/>
      <c r="ADE16" s="492"/>
      <c r="ADF16" s="512" t="s">
        <v>11</v>
      </c>
      <c r="ADG16" s="458"/>
      <c r="ADH16" s="458"/>
      <c r="ADI16" s="458"/>
      <c r="ADJ16" s="465"/>
      <c r="ADK16" s="49">
        <v>15</v>
      </c>
      <c r="ADL16" s="46"/>
      <c r="ADM16" s="438" t="s">
        <v>160</v>
      </c>
      <c r="ADN16" s="363">
        <v>405</v>
      </c>
      <c r="ADO16" s="24">
        <v>273</v>
      </c>
      <c r="ADP16" s="49">
        <v>0</v>
      </c>
      <c r="ADQ16" s="46"/>
      <c r="ADR16" s="438" t="s">
        <v>160</v>
      </c>
      <c r="ADS16" s="363">
        <v>303</v>
      </c>
      <c r="ADT16" s="24">
        <v>152</v>
      </c>
      <c r="ADU16" s="49">
        <v>0</v>
      </c>
      <c r="ADV16" s="46"/>
      <c r="ADW16" s="438" t="s">
        <v>160</v>
      </c>
      <c r="ADX16" s="363">
        <v>265</v>
      </c>
      <c r="ADY16" s="24">
        <v>117</v>
      </c>
      <c r="ADZ16" s="49">
        <v>0</v>
      </c>
      <c r="AEA16" s="46"/>
      <c r="AEB16" s="438" t="s">
        <v>160</v>
      </c>
      <c r="AEC16" s="363">
        <v>284</v>
      </c>
      <c r="AED16" s="24">
        <v>144</v>
      </c>
      <c r="AEE16" s="479"/>
      <c r="AEF16" s="492"/>
      <c r="AEG16" s="512" t="s">
        <v>11</v>
      </c>
      <c r="AEH16" s="458"/>
      <c r="AEI16" s="458"/>
      <c r="AEJ16" s="458"/>
      <c r="AEK16" s="465"/>
      <c r="AEL16" s="49">
        <v>0</v>
      </c>
      <c r="AEM16" s="46"/>
      <c r="AEN16" s="438" t="s">
        <v>160</v>
      </c>
      <c r="AEO16" s="363">
        <v>241</v>
      </c>
      <c r="AEP16" s="24">
        <v>111</v>
      </c>
      <c r="AEQ16" s="49">
        <v>0</v>
      </c>
      <c r="AER16" s="46"/>
      <c r="AES16" s="438" t="s">
        <v>160</v>
      </c>
      <c r="AET16" s="363">
        <v>438</v>
      </c>
      <c r="AEU16" s="24">
        <v>308</v>
      </c>
      <c r="AEV16" s="49">
        <v>0</v>
      </c>
      <c r="AEW16" s="46"/>
      <c r="AEX16" s="438" t="s">
        <v>160</v>
      </c>
      <c r="AEY16" s="363">
        <v>448</v>
      </c>
      <c r="AEZ16" s="24">
        <v>370</v>
      </c>
      <c r="AFA16" s="49">
        <v>0</v>
      </c>
      <c r="AFB16" s="46"/>
      <c r="AFC16" s="438" t="s">
        <v>160</v>
      </c>
      <c r="AFD16" s="363">
        <v>315</v>
      </c>
      <c r="AFE16" s="24">
        <f>206.8</f>
        <v>206.8</v>
      </c>
      <c r="AFF16" s="479"/>
      <c r="AFG16" s="492"/>
      <c r="AFH16" s="512" t="s">
        <v>11</v>
      </c>
      <c r="AFI16" s="458"/>
      <c r="AFJ16" s="458"/>
      <c r="AFK16" s="458"/>
      <c r="AFL16" s="465"/>
      <c r="AFM16" s="49">
        <v>0</v>
      </c>
      <c r="AFN16" s="46"/>
      <c r="AFO16" s="438" t="s">
        <v>160</v>
      </c>
      <c r="AFP16" s="363">
        <v>273</v>
      </c>
      <c r="AFQ16" s="24">
        <v>132</v>
      </c>
      <c r="AFR16" s="49">
        <v>0</v>
      </c>
      <c r="AFS16" s="46"/>
      <c r="AFT16" s="438" t="s">
        <v>160</v>
      </c>
      <c r="AFU16" s="363">
        <v>290</v>
      </c>
      <c r="AFV16" s="24">
        <v>146</v>
      </c>
      <c r="AFW16" s="49">
        <v>0</v>
      </c>
      <c r="AFX16" s="46"/>
      <c r="AFY16" s="438" t="s">
        <v>160</v>
      </c>
      <c r="AFZ16" s="363">
        <v>268</v>
      </c>
      <c r="AGA16" s="24">
        <v>99</v>
      </c>
      <c r="AGB16" s="49">
        <v>0</v>
      </c>
      <c r="AGC16" s="46"/>
      <c r="AGD16" s="438" t="s">
        <v>160</v>
      </c>
      <c r="AGE16" s="363">
        <v>289</v>
      </c>
      <c r="AGF16" s="24">
        <v>8</v>
      </c>
      <c r="AGG16" s="479"/>
      <c r="AGH16" s="492"/>
      <c r="AGI16" s="512" t="s">
        <v>11</v>
      </c>
      <c r="AGJ16" s="458"/>
      <c r="AGK16" s="458"/>
      <c r="AGL16" s="458"/>
      <c r="AGM16" s="465"/>
      <c r="AGN16" s="49">
        <v>0</v>
      </c>
      <c r="AGO16" s="46"/>
      <c r="AGP16" s="438" t="s">
        <v>160</v>
      </c>
      <c r="AGQ16" s="363">
        <v>420</v>
      </c>
      <c r="AGR16" s="24">
        <v>186</v>
      </c>
      <c r="AGS16" s="49">
        <v>0</v>
      </c>
      <c r="AGT16" s="46"/>
      <c r="AGU16" s="438" t="s">
        <v>160</v>
      </c>
      <c r="AGV16" s="363">
        <v>474</v>
      </c>
      <c r="AGW16" s="24">
        <v>280</v>
      </c>
      <c r="AGX16" s="49">
        <v>0</v>
      </c>
      <c r="AGY16" s="46"/>
      <c r="AGZ16" s="438" t="s">
        <v>160</v>
      </c>
      <c r="AHA16" s="363">
        <v>298</v>
      </c>
      <c r="AHB16" s="24">
        <v>164</v>
      </c>
      <c r="AHC16" s="49">
        <v>0</v>
      </c>
      <c r="AHD16" s="46"/>
      <c r="AHE16" s="438" t="s">
        <v>160</v>
      </c>
      <c r="AHF16" s="363">
        <v>310</v>
      </c>
      <c r="AHG16" s="24">
        <v>225</v>
      </c>
      <c r="AHH16" s="479"/>
      <c r="AHI16" s="492"/>
      <c r="AHJ16" s="512" t="s">
        <v>11</v>
      </c>
      <c r="AHK16" s="458"/>
      <c r="AHL16" s="458"/>
      <c r="AHM16" s="458"/>
      <c r="AHN16" s="465"/>
      <c r="AHO16" s="49">
        <v>0</v>
      </c>
      <c r="AHP16" s="46"/>
      <c r="AHQ16" s="438" t="s">
        <v>160</v>
      </c>
      <c r="AHR16" s="363">
        <v>256</v>
      </c>
      <c r="AHS16" s="24">
        <v>228</v>
      </c>
      <c r="AHT16" s="49">
        <v>0</v>
      </c>
      <c r="AHU16" s="46"/>
      <c r="AHV16" s="438" t="s">
        <v>160</v>
      </c>
      <c r="AHW16" s="363">
        <v>199</v>
      </c>
      <c r="AHX16" s="24">
        <v>178</v>
      </c>
      <c r="AHY16" s="49">
        <v>0</v>
      </c>
      <c r="AHZ16" s="46"/>
      <c r="AIA16" s="438" t="s">
        <v>160</v>
      </c>
      <c r="AIB16" s="363">
        <v>294</v>
      </c>
      <c r="AIC16" s="24">
        <v>249</v>
      </c>
      <c r="AID16" s="49">
        <v>0</v>
      </c>
      <c r="AIE16" s="46"/>
      <c r="AIF16" s="438" t="s">
        <v>160</v>
      </c>
      <c r="AIG16" s="363">
        <v>159</v>
      </c>
      <c r="AIH16" s="24">
        <v>94</v>
      </c>
      <c r="AII16" s="479"/>
      <c r="AIJ16" s="492"/>
      <c r="AIK16" s="512" t="s">
        <v>11</v>
      </c>
      <c r="AIL16" s="458"/>
      <c r="AIM16" s="458"/>
      <c r="AIN16" s="458"/>
      <c r="AIO16" s="465"/>
      <c r="AIP16" s="49">
        <v>0</v>
      </c>
      <c r="AIQ16" s="46"/>
      <c r="AIR16" s="438" t="s">
        <v>160</v>
      </c>
      <c r="AIS16" s="363">
        <v>305</v>
      </c>
      <c r="AIT16" s="24">
        <v>206</v>
      </c>
      <c r="AIU16" s="49">
        <v>0</v>
      </c>
      <c r="AIV16" s="46"/>
      <c r="AIW16" s="438" t="s">
        <v>160</v>
      </c>
      <c r="AIX16" s="363">
        <v>217</v>
      </c>
      <c r="AIY16" s="24">
        <v>124</v>
      </c>
      <c r="AIZ16" s="49">
        <v>0</v>
      </c>
      <c r="AJA16" s="46"/>
      <c r="AJB16" s="438" t="s">
        <v>160</v>
      </c>
      <c r="AJC16" s="363">
        <v>243</v>
      </c>
      <c r="AJD16" s="24">
        <v>128</v>
      </c>
      <c r="AJE16" s="49">
        <v>0</v>
      </c>
      <c r="AJF16" s="46"/>
      <c r="AJG16" s="438" t="s">
        <v>160</v>
      </c>
      <c r="AJH16" s="363">
        <v>87</v>
      </c>
      <c r="AJI16" s="491"/>
      <c r="AJJ16" s="479"/>
      <c r="AJK16" s="492"/>
      <c r="AJL16" s="512" t="s">
        <v>11</v>
      </c>
      <c r="AJM16" s="458"/>
      <c r="AJN16" s="458"/>
      <c r="AJO16" s="458"/>
      <c r="AJP16" s="465"/>
      <c r="AJQ16" s="49">
        <v>0</v>
      </c>
      <c r="AJR16" s="46"/>
      <c r="AJS16" s="438" t="s">
        <v>160</v>
      </c>
      <c r="AJT16" s="363">
        <v>5</v>
      </c>
      <c r="AJU16" s="24">
        <v>18</v>
      </c>
      <c r="AJV16" s="49">
        <v>0</v>
      </c>
      <c r="AJW16" s="46"/>
      <c r="AJX16" s="438" t="s">
        <v>160</v>
      </c>
      <c r="AJY16" s="363">
        <v>90</v>
      </c>
      <c r="AJZ16" s="491"/>
      <c r="AKA16" s="49">
        <v>0</v>
      </c>
      <c r="AKB16" s="46"/>
      <c r="AKC16" s="438" t="s">
        <v>160</v>
      </c>
      <c r="AKD16" s="363">
        <v>31</v>
      </c>
      <c r="AKE16" s="491"/>
      <c r="AKF16" s="49">
        <v>0</v>
      </c>
      <c r="AKG16" s="46"/>
      <c r="AKH16" s="438" t="s">
        <v>160</v>
      </c>
      <c r="AKI16" s="363">
        <v>57</v>
      </c>
      <c r="AKJ16" s="491"/>
      <c r="AKK16" s="479"/>
      <c r="AKL16" s="492"/>
      <c r="AKM16" s="512" t="s">
        <v>11</v>
      </c>
      <c r="AKN16" s="458"/>
      <c r="AKO16" s="458"/>
      <c r="AKP16" s="458"/>
      <c r="AKQ16" s="465"/>
      <c r="AKR16" s="49">
        <v>0</v>
      </c>
      <c r="AKS16" s="46"/>
      <c r="AKT16" s="438" t="s">
        <v>160</v>
      </c>
      <c r="AKU16" s="363">
        <v>108</v>
      </c>
      <c r="AKV16" s="491"/>
      <c r="AKW16" s="49">
        <v>0</v>
      </c>
      <c r="AKX16" s="46"/>
      <c r="AKY16" s="438" t="s">
        <v>160</v>
      </c>
      <c r="AKZ16" s="363">
        <v>77</v>
      </c>
      <c r="ALA16" s="491"/>
      <c r="ALB16" s="49">
        <v>0</v>
      </c>
      <c r="ALC16" s="46"/>
      <c r="ALD16" s="438" t="s">
        <v>160</v>
      </c>
      <c r="ALE16" s="363">
        <v>109</v>
      </c>
      <c r="ALF16" s="24">
        <v>57</v>
      </c>
      <c r="ALG16" s="49">
        <v>0</v>
      </c>
      <c r="ALH16" s="46"/>
      <c r="ALI16" s="438" t="s">
        <v>160</v>
      </c>
      <c r="ALJ16" s="363">
        <v>210</v>
      </c>
      <c r="ALK16" s="24">
        <v>151</v>
      </c>
      <c r="ALL16" s="479"/>
      <c r="ALM16" s="492"/>
      <c r="ALN16" s="512" t="s">
        <v>11</v>
      </c>
      <c r="ALO16" s="458"/>
      <c r="ALP16" s="458"/>
      <c r="ALQ16" s="458"/>
      <c r="ALR16" s="465"/>
      <c r="ALS16" s="49">
        <v>0</v>
      </c>
      <c r="ALT16" s="46"/>
      <c r="ALU16" s="438" t="s">
        <v>160</v>
      </c>
      <c r="ALV16" s="363">
        <v>216</v>
      </c>
      <c r="ALW16" s="24">
        <v>156</v>
      </c>
      <c r="ALX16" s="49">
        <v>0</v>
      </c>
      <c r="ALY16" s="46"/>
      <c r="ALZ16" s="438" t="s">
        <v>160</v>
      </c>
      <c r="AMA16" s="363">
        <v>229</v>
      </c>
      <c r="AMB16" s="24">
        <v>182</v>
      </c>
      <c r="AMC16" s="49">
        <v>0</v>
      </c>
      <c r="AMD16" s="46"/>
      <c r="AME16" s="438" t="s">
        <v>160</v>
      </c>
      <c r="AMF16" s="363">
        <v>206</v>
      </c>
      <c r="AMG16" s="24">
        <v>111</v>
      </c>
      <c r="AMH16" s="49">
        <v>0</v>
      </c>
      <c r="AMI16" s="46"/>
      <c r="AMJ16" s="438" t="s">
        <v>160</v>
      </c>
      <c r="AMK16" s="363">
        <v>176</v>
      </c>
      <c r="AML16" s="491"/>
      <c r="AMM16" s="479"/>
      <c r="AMN16" s="492"/>
      <c r="AMO16" s="512" t="s">
        <v>11</v>
      </c>
      <c r="AMP16" s="458"/>
      <c r="AMQ16" s="458"/>
      <c r="AMR16" s="458"/>
      <c r="AMS16" s="465"/>
      <c r="AMT16" s="49">
        <v>0</v>
      </c>
      <c r="AMU16" s="46"/>
      <c r="AMV16" s="438" t="s">
        <v>160</v>
      </c>
      <c r="AMW16" s="363">
        <v>107</v>
      </c>
      <c r="AMX16" s="24">
        <v>14</v>
      </c>
      <c r="AMY16" s="49">
        <v>0</v>
      </c>
      <c r="AMZ16" s="46"/>
      <c r="ANA16" s="438" t="s">
        <v>160</v>
      </c>
      <c r="ANB16" s="363">
        <v>231</v>
      </c>
      <c r="ANC16" s="24">
        <v>76</v>
      </c>
      <c r="AND16" s="49">
        <v>0</v>
      </c>
      <c r="ANE16" s="46"/>
      <c r="ANF16" s="438" t="s">
        <v>160</v>
      </c>
      <c r="ANG16" s="363">
        <v>17</v>
      </c>
      <c r="ANH16" s="491"/>
      <c r="ANI16" s="49">
        <v>0</v>
      </c>
      <c r="ANJ16" s="46"/>
      <c r="ANK16" s="438" t="s">
        <v>160</v>
      </c>
      <c r="ANL16" s="363">
        <v>52</v>
      </c>
      <c r="ANM16" s="491"/>
      <c r="ANN16" s="479"/>
      <c r="ANO16" s="492"/>
      <c r="ANP16" s="512" t="s">
        <v>11</v>
      </c>
      <c r="ANQ16" s="458"/>
      <c r="ANR16" s="458"/>
      <c r="ANS16" s="458"/>
      <c r="ANT16" s="465"/>
      <c r="ANU16" s="49">
        <v>0</v>
      </c>
      <c r="ANV16" s="46"/>
      <c r="ANW16" s="438" t="s">
        <v>160</v>
      </c>
      <c r="ANX16" s="363">
        <v>134</v>
      </c>
      <c r="ANY16" s="24">
        <v>7</v>
      </c>
      <c r="ANZ16" s="49">
        <v>0</v>
      </c>
      <c r="AOA16" s="46"/>
      <c r="AOB16" s="438" t="s">
        <v>160</v>
      </c>
      <c r="AOC16" s="363">
        <v>104</v>
      </c>
      <c r="AOD16" s="491"/>
      <c r="AOE16" s="49">
        <v>0</v>
      </c>
      <c r="AOF16" s="46"/>
      <c r="AOG16" s="438" t="s">
        <v>160</v>
      </c>
      <c r="AOH16" s="363">
        <v>16</v>
      </c>
      <c r="AOI16" s="523"/>
      <c r="AOJ16" s="524"/>
      <c r="AOK16" s="49">
        <v>0</v>
      </c>
      <c r="AOL16" s="46"/>
      <c r="AOM16" s="438" t="s">
        <v>160</v>
      </c>
      <c r="AON16" s="363">
        <v>89</v>
      </c>
      <c r="AOO16" s="491"/>
      <c r="AOP16" s="479"/>
      <c r="AOQ16" s="492"/>
      <c r="AOR16" s="512" t="s">
        <v>11</v>
      </c>
      <c r="AOS16" s="458"/>
      <c r="AOT16" s="458"/>
      <c r="AOU16" s="458"/>
      <c r="AOV16" s="465"/>
      <c r="AOW16" s="49">
        <v>0</v>
      </c>
      <c r="AOX16" s="46"/>
      <c r="AOY16" s="438" t="s">
        <v>160</v>
      </c>
      <c r="AOZ16" s="363">
        <v>83</v>
      </c>
      <c r="APA16" s="495">
        <v>0</v>
      </c>
      <c r="APB16" s="49">
        <v>0</v>
      </c>
      <c r="APC16" s="46"/>
      <c r="APD16" s="438" t="s">
        <v>160</v>
      </c>
      <c r="APE16" s="363">
        <v>44</v>
      </c>
      <c r="APF16" s="495">
        <v>0</v>
      </c>
      <c r="APG16" s="49">
        <v>0</v>
      </c>
      <c r="APH16" s="46"/>
      <c r="API16" s="438" t="s">
        <v>160</v>
      </c>
      <c r="APJ16" s="363">
        <v>90</v>
      </c>
      <c r="APK16" s="491"/>
      <c r="APL16" s="49">
        <v>0</v>
      </c>
      <c r="APM16" s="46"/>
      <c r="APN16" s="438" t="s">
        <v>160</v>
      </c>
      <c r="APO16" s="363">
        <v>302</v>
      </c>
      <c r="APP16" s="24">
        <v>128</v>
      </c>
      <c r="APQ16" s="479"/>
      <c r="APR16" s="492"/>
      <c r="APS16" s="512" t="s">
        <v>11</v>
      </c>
      <c r="APT16" s="458"/>
      <c r="APU16" s="458"/>
      <c r="APV16" s="458"/>
      <c r="APW16" s="465"/>
      <c r="APX16" s="49">
        <v>0</v>
      </c>
      <c r="APY16" s="46"/>
      <c r="APZ16" s="438" t="s">
        <v>160</v>
      </c>
      <c r="AQA16" s="363">
        <v>96</v>
      </c>
      <c r="AQB16" s="24">
        <v>23</v>
      </c>
      <c r="AQC16" s="49">
        <v>0</v>
      </c>
      <c r="AQD16" s="46"/>
      <c r="AQE16" s="438" t="s">
        <v>160</v>
      </c>
      <c r="AQF16" s="363">
        <v>71</v>
      </c>
      <c r="AQG16" s="495">
        <v>0</v>
      </c>
      <c r="AQH16" s="49">
        <v>0</v>
      </c>
      <c r="AQI16" s="46"/>
      <c r="AQJ16" s="438" t="s">
        <v>160</v>
      </c>
      <c r="AQK16" s="363">
        <v>196</v>
      </c>
      <c r="AQL16" s="491"/>
      <c r="AQM16" s="49">
        <v>0</v>
      </c>
      <c r="AQN16" s="46"/>
      <c r="AQO16" s="438" t="s">
        <v>160</v>
      </c>
      <c r="AQP16" s="363">
        <v>75</v>
      </c>
      <c r="AQQ16" s="491"/>
      <c r="AQR16" s="479"/>
      <c r="AQS16" s="492"/>
      <c r="AQT16" s="512" t="s">
        <v>11</v>
      </c>
      <c r="AQU16" s="458"/>
      <c r="AQV16" s="458"/>
      <c r="AQW16" s="458"/>
      <c r="AQX16" s="465"/>
      <c r="AQY16" s="49">
        <v>0</v>
      </c>
      <c r="AQZ16" s="46"/>
      <c r="ARA16" s="438" t="s">
        <v>160</v>
      </c>
      <c r="ARB16" s="363">
        <v>46</v>
      </c>
      <c r="ARC16" s="495">
        <v>0</v>
      </c>
      <c r="ARD16" s="49">
        <v>0</v>
      </c>
      <c r="ARE16" s="46"/>
      <c r="ARF16" s="438" t="s">
        <v>160</v>
      </c>
      <c r="ARG16" s="363">
        <v>256</v>
      </c>
      <c r="ARH16" s="24">
        <v>63</v>
      </c>
      <c r="ARI16" s="49">
        <v>0</v>
      </c>
      <c r="ARJ16" s="46"/>
      <c r="ARK16" s="438" t="s">
        <v>160</v>
      </c>
      <c r="ARL16" s="363">
        <v>245</v>
      </c>
      <c r="ARM16" s="24">
        <v>144</v>
      </c>
      <c r="ARN16" s="49">
        <v>0</v>
      </c>
      <c r="ARO16" s="46"/>
      <c r="ARP16" s="438" t="s">
        <v>160</v>
      </c>
      <c r="ARQ16" s="363">
        <v>158</v>
      </c>
      <c r="ARR16" s="495">
        <v>0</v>
      </c>
      <c r="ARS16" s="479"/>
      <c r="ART16" s="492"/>
      <c r="ARU16" s="512" t="s">
        <v>11</v>
      </c>
      <c r="ARV16" s="458"/>
      <c r="ARW16" s="458"/>
      <c r="ARX16" s="458"/>
      <c r="ARY16" s="465"/>
      <c r="ARZ16" s="49">
        <v>0</v>
      </c>
      <c r="ASA16" s="46"/>
      <c r="ASB16" s="438" t="s">
        <v>160</v>
      </c>
      <c r="ASC16" s="363">
        <v>96</v>
      </c>
      <c r="ASD16" s="495">
        <v>0</v>
      </c>
      <c r="ASE16" s="49">
        <v>0</v>
      </c>
      <c r="ASF16" s="46"/>
      <c r="ASG16" s="438" t="s">
        <v>160</v>
      </c>
      <c r="ASH16" s="363">
        <v>16</v>
      </c>
      <c r="ASI16" s="495">
        <v>0</v>
      </c>
      <c r="ASJ16" s="49">
        <v>0</v>
      </c>
      <c r="ASK16" s="46"/>
      <c r="ASL16" s="438" t="s">
        <v>160</v>
      </c>
      <c r="ASM16" s="363">
        <v>57</v>
      </c>
      <c r="ASN16" s="495">
        <v>0</v>
      </c>
      <c r="ASO16" s="49">
        <v>0</v>
      </c>
      <c r="ASP16" s="46"/>
      <c r="ASQ16" s="438" t="s">
        <v>160</v>
      </c>
      <c r="ASR16" s="363">
        <v>77</v>
      </c>
      <c r="ASS16" s="495">
        <v>0</v>
      </c>
      <c r="AST16" s="479"/>
      <c r="ASU16" s="492"/>
      <c r="ASV16" s="512" t="s">
        <v>11</v>
      </c>
      <c r="ASW16" s="458"/>
      <c r="ASX16" s="458"/>
      <c r="ASY16" s="458"/>
      <c r="ASZ16" s="465"/>
      <c r="ATA16" s="49">
        <v>0</v>
      </c>
      <c r="ATB16" s="46"/>
      <c r="ATC16" s="438" t="s">
        <v>160</v>
      </c>
      <c r="ATD16" s="363">
        <v>81</v>
      </c>
      <c r="ATE16" s="495">
        <v>0</v>
      </c>
      <c r="ATF16" s="49">
        <v>0</v>
      </c>
      <c r="ATG16" s="46"/>
      <c r="ATH16" s="438" t="s">
        <v>160</v>
      </c>
      <c r="ATI16" s="363">
        <v>144</v>
      </c>
      <c r="ATJ16" s="24">
        <v>40</v>
      </c>
      <c r="ATK16" s="49">
        <v>0</v>
      </c>
      <c r="ATL16" s="46"/>
      <c r="ATM16" s="438" t="s">
        <v>160</v>
      </c>
      <c r="ATN16" s="363">
        <v>220</v>
      </c>
      <c r="ATO16" s="24">
        <v>102</v>
      </c>
      <c r="ATP16" s="49">
        <v>0</v>
      </c>
      <c r="ATQ16" s="46"/>
      <c r="ATR16" s="438" t="s">
        <v>160</v>
      </c>
      <c r="ATS16" s="363">
        <v>19</v>
      </c>
      <c r="ATT16" s="491"/>
      <c r="ATU16" s="479"/>
      <c r="ATV16" s="492"/>
      <c r="ATW16" s="512" t="s">
        <v>11</v>
      </c>
      <c r="ATX16" s="458"/>
      <c r="ATY16" s="458"/>
      <c r="ATZ16" s="458"/>
      <c r="AUA16" s="465"/>
      <c r="AUB16" s="49">
        <v>0</v>
      </c>
      <c r="AUC16" s="46"/>
      <c r="AUD16" s="438" t="s">
        <v>160</v>
      </c>
      <c r="AUE16" s="363">
        <v>7</v>
      </c>
      <c r="AUF16" s="491"/>
      <c r="AUG16" s="49">
        <v>0</v>
      </c>
      <c r="AUH16" s="46"/>
      <c r="AUI16" s="438" t="s">
        <v>160</v>
      </c>
      <c r="AUJ16" s="363">
        <v>128</v>
      </c>
      <c r="AUK16" s="491"/>
      <c r="AUL16" s="49">
        <v>0</v>
      </c>
      <c r="AUM16" s="46"/>
      <c r="AUN16" s="438" t="s">
        <v>160</v>
      </c>
      <c r="AUO16" s="363">
        <v>140</v>
      </c>
      <c r="AUP16" s="491"/>
      <c r="AUQ16" s="49">
        <v>0</v>
      </c>
      <c r="AUR16" s="46"/>
      <c r="AUS16" s="438" t="s">
        <v>160</v>
      </c>
      <c r="AUT16" s="363">
        <v>185</v>
      </c>
      <c r="AUU16" s="491"/>
      <c r="AUV16" s="479"/>
      <c r="AUW16" s="492"/>
      <c r="AUX16" s="512" t="s">
        <v>11</v>
      </c>
      <c r="AUY16" s="458"/>
      <c r="AUZ16" s="458"/>
      <c r="AVA16" s="458"/>
      <c r="AVB16" s="465"/>
      <c r="AVC16" s="49">
        <v>0</v>
      </c>
      <c r="AVD16" s="46"/>
      <c r="AVE16" s="438" t="s">
        <v>160</v>
      </c>
      <c r="AVF16" s="363">
        <v>9</v>
      </c>
      <c r="AVG16" s="491"/>
      <c r="AVH16" s="49">
        <v>0</v>
      </c>
      <c r="AVI16" s="46"/>
      <c r="AVJ16" s="438" t="s">
        <v>160</v>
      </c>
      <c r="AVK16" s="363">
        <v>56</v>
      </c>
      <c r="AVL16" s="491"/>
      <c r="AVM16" s="49">
        <v>0</v>
      </c>
      <c r="AVN16" s="46"/>
      <c r="AVO16" s="438" t="s">
        <v>160</v>
      </c>
      <c r="AVP16" s="363">
        <v>18</v>
      </c>
      <c r="AVQ16" s="491"/>
      <c r="AVR16" s="49">
        <v>0</v>
      </c>
      <c r="AVS16" s="46"/>
      <c r="AVT16" s="438" t="s">
        <v>160</v>
      </c>
      <c r="AVU16" s="363">
        <v>382</v>
      </c>
      <c r="AVV16" s="24">
        <v>101</v>
      </c>
      <c r="AVW16" s="479"/>
      <c r="AVX16" s="492"/>
      <c r="AVY16" s="512" t="s">
        <v>11</v>
      </c>
      <c r="AVZ16" s="458"/>
      <c r="AWA16" s="458"/>
      <c r="AWB16" s="458"/>
      <c r="AWC16" s="465"/>
      <c r="AWD16" s="49">
        <v>0</v>
      </c>
      <c r="AWE16" s="46"/>
      <c r="AWF16" s="438" t="s">
        <v>160</v>
      </c>
      <c r="AWG16" s="363">
        <v>479</v>
      </c>
      <c r="AWH16" s="24">
        <v>92</v>
      </c>
      <c r="AWI16" s="49">
        <v>0</v>
      </c>
      <c r="AWJ16" s="46"/>
      <c r="AWK16" s="438" t="s">
        <v>160</v>
      </c>
      <c r="AWL16" s="363">
        <v>375</v>
      </c>
      <c r="AWM16" s="24">
        <v>236</v>
      </c>
      <c r="AWN16" s="49">
        <v>0</v>
      </c>
      <c r="AWO16" s="46"/>
      <c r="AWP16" s="438" t="s">
        <v>160</v>
      </c>
      <c r="AWQ16" s="363">
        <v>294</v>
      </c>
      <c r="AWR16" s="24">
        <v>33</v>
      </c>
      <c r="AWS16" s="49">
        <v>0</v>
      </c>
      <c r="AWT16" s="46"/>
      <c r="AWU16" s="438" t="s">
        <v>160</v>
      </c>
      <c r="AWV16" s="363">
        <v>29</v>
      </c>
      <c r="AWW16" s="491"/>
      <c r="AWX16" s="479"/>
      <c r="AWY16" s="492"/>
      <c r="AWZ16" s="512" t="s">
        <v>11</v>
      </c>
      <c r="AXA16" s="458"/>
      <c r="AXB16" s="458"/>
      <c r="AXC16" s="458"/>
      <c r="AXD16" s="465"/>
      <c r="AXE16" s="49">
        <v>0</v>
      </c>
      <c r="AXF16" s="46"/>
      <c r="AXG16" s="438" t="s">
        <v>160</v>
      </c>
      <c r="AXH16" s="363">
        <v>98</v>
      </c>
      <c r="AXI16" s="491"/>
      <c r="AXJ16" s="49">
        <v>0</v>
      </c>
      <c r="AXK16" s="46"/>
      <c r="AXL16" s="438" t="s">
        <v>160</v>
      </c>
      <c r="AXM16" s="363">
        <v>236</v>
      </c>
      <c r="AXN16" s="491"/>
      <c r="AXO16" s="49">
        <v>0</v>
      </c>
      <c r="AXP16" s="46"/>
      <c r="AXQ16" s="438" t="s">
        <v>160</v>
      </c>
      <c r="AXR16" s="363">
        <v>378</v>
      </c>
      <c r="AXS16" s="24">
        <v>223</v>
      </c>
      <c r="AXT16" s="49">
        <v>0</v>
      </c>
      <c r="AXU16" s="46"/>
      <c r="AXV16" s="438" t="s">
        <v>160</v>
      </c>
      <c r="AXW16" s="363">
        <v>497</v>
      </c>
      <c r="AXX16" s="24">
        <v>317</v>
      </c>
      <c r="AXY16" s="479"/>
      <c r="AXZ16" s="492"/>
      <c r="AYA16" s="512" t="s">
        <v>11</v>
      </c>
      <c r="AYB16" s="458"/>
      <c r="AYC16" s="458"/>
      <c r="AYD16" s="458"/>
      <c r="AYE16" s="465"/>
      <c r="AYF16" s="49">
        <v>0</v>
      </c>
      <c r="AYG16" s="46"/>
      <c r="AYH16" s="438" t="s">
        <v>160</v>
      </c>
      <c r="AYI16" s="363">
        <v>58</v>
      </c>
      <c r="AYJ16" s="491"/>
      <c r="AYK16" s="49">
        <v>0</v>
      </c>
      <c r="AYL16" s="46"/>
      <c r="AYM16" s="438" t="s">
        <v>160</v>
      </c>
      <c r="AYN16" s="363">
        <v>231</v>
      </c>
      <c r="AYO16" s="491"/>
      <c r="AYP16" s="49">
        <v>0</v>
      </c>
      <c r="AYQ16" s="46"/>
      <c r="AYR16" s="438" t="s">
        <v>160</v>
      </c>
      <c r="AYS16" s="363">
        <v>184</v>
      </c>
      <c r="AYT16" s="24">
        <v>13</v>
      </c>
      <c r="AYU16" s="49">
        <v>0</v>
      </c>
      <c r="AYV16" s="46"/>
      <c r="AYW16" s="438" t="s">
        <v>160</v>
      </c>
      <c r="AYX16" s="363">
        <v>65</v>
      </c>
      <c r="AYY16" s="491"/>
      <c r="AYZ16" s="479"/>
      <c r="AZA16" s="492"/>
      <c r="AZB16" s="512" t="s">
        <v>11</v>
      </c>
      <c r="AZC16" s="458"/>
      <c r="AZD16" s="458"/>
      <c r="AZE16" s="458"/>
      <c r="AZF16" s="465"/>
      <c r="AZG16" s="49">
        <v>0</v>
      </c>
      <c r="AZH16" s="46"/>
      <c r="AZI16" s="438" t="s">
        <v>160</v>
      </c>
      <c r="AZJ16" s="363">
        <v>267</v>
      </c>
      <c r="AZK16" s="491"/>
      <c r="AZL16" s="49">
        <v>0</v>
      </c>
      <c r="AZM16" s="46"/>
      <c r="AZN16" s="438" t="s">
        <v>160</v>
      </c>
      <c r="AZO16" s="363">
        <v>297</v>
      </c>
      <c r="AZP16" s="24">
        <v>25</v>
      </c>
      <c r="AZQ16" s="49">
        <v>0</v>
      </c>
      <c r="AZR16" s="46"/>
      <c r="AZS16" s="438" t="s">
        <v>160</v>
      </c>
      <c r="AZT16" s="363">
        <v>370</v>
      </c>
      <c r="AZU16" s="24">
        <v>106</v>
      </c>
      <c r="AZV16" s="49">
        <v>0</v>
      </c>
      <c r="AZW16" s="46"/>
      <c r="AZX16" s="438" t="s">
        <v>160</v>
      </c>
      <c r="AZY16" s="363">
        <v>353</v>
      </c>
      <c r="AZZ16" s="290">
        <v>152</v>
      </c>
      <c r="BAA16" s="478"/>
      <c r="BAB16" s="492"/>
      <c r="BAC16" s="512" t="s">
        <v>11</v>
      </c>
      <c r="BAD16" s="458"/>
      <c r="BAE16" s="458"/>
      <c r="BAF16" s="458"/>
      <c r="BAG16" s="465"/>
      <c r="BAH16" s="49">
        <v>0</v>
      </c>
      <c r="BAI16" s="46"/>
      <c r="BAJ16" s="438" t="s">
        <v>160</v>
      </c>
      <c r="BAK16" s="363">
        <v>446</v>
      </c>
      <c r="BAL16" s="24">
        <v>31</v>
      </c>
      <c r="BAM16" s="49">
        <v>0</v>
      </c>
      <c r="BAN16" s="46"/>
      <c r="BAO16" s="438" t="s">
        <v>160</v>
      </c>
      <c r="BAP16" s="363">
        <v>265</v>
      </c>
      <c r="BAQ16" s="24">
        <v>95</v>
      </c>
      <c r="BAR16" s="49">
        <v>0</v>
      </c>
      <c r="BAS16" s="46"/>
      <c r="BAT16" s="438" t="s">
        <v>160</v>
      </c>
      <c r="BAU16" s="363">
        <v>196</v>
      </c>
      <c r="BAV16" s="491"/>
      <c r="BAW16" s="49">
        <v>0</v>
      </c>
      <c r="BAX16" s="46"/>
      <c r="BAY16" s="438" t="s">
        <v>160</v>
      </c>
      <c r="BAZ16" s="363">
        <v>427</v>
      </c>
      <c r="BBA16" s="24">
        <v>189</v>
      </c>
      <c r="BBB16" s="479"/>
      <c r="BBC16" s="492"/>
      <c r="BBD16" s="512" t="s">
        <v>11</v>
      </c>
      <c r="BBE16" s="458"/>
      <c r="BBF16" s="458"/>
      <c r="BBG16" s="458"/>
      <c r="BBH16" s="465"/>
      <c r="BBI16" s="49">
        <v>12</v>
      </c>
      <c r="BBJ16" s="46"/>
      <c r="BBK16" s="438" t="s">
        <v>160</v>
      </c>
      <c r="BBL16" s="363">
        <v>476</v>
      </c>
      <c r="BBM16" s="24">
        <v>244</v>
      </c>
      <c r="BBN16" s="49">
        <v>8</v>
      </c>
      <c r="BBO16" s="46"/>
      <c r="BBP16" s="438" t="s">
        <v>160</v>
      </c>
      <c r="BBQ16" s="363">
        <v>444</v>
      </c>
      <c r="BBR16" s="24">
        <v>241</v>
      </c>
      <c r="BBS16" s="49">
        <v>0</v>
      </c>
      <c r="BBT16" s="46"/>
      <c r="BBU16" s="438" t="s">
        <v>160</v>
      </c>
      <c r="BBV16" s="363">
        <v>550</v>
      </c>
      <c r="BBW16" s="24">
        <v>363</v>
      </c>
      <c r="BBX16" s="49">
        <v>0</v>
      </c>
      <c r="BBY16" s="46"/>
      <c r="BBZ16" s="438" t="s">
        <v>160</v>
      </c>
      <c r="BCA16" s="363">
        <v>191</v>
      </c>
      <c r="BCB16" s="24">
        <v>71</v>
      </c>
      <c r="BCC16" s="479"/>
      <c r="BCD16" s="492"/>
      <c r="BCE16" s="512" t="s">
        <v>11</v>
      </c>
      <c r="BCF16" s="458"/>
      <c r="BCG16" s="458"/>
      <c r="BCH16" s="458"/>
      <c r="BCI16" s="465"/>
      <c r="BCJ16" s="49">
        <v>0</v>
      </c>
      <c r="BCK16" s="46"/>
      <c r="BCL16" s="438" t="s">
        <v>160</v>
      </c>
      <c r="BCM16" s="363">
        <v>475</v>
      </c>
      <c r="BCN16" s="24">
        <v>85</v>
      </c>
      <c r="BCO16" s="49">
        <v>0</v>
      </c>
      <c r="BCP16" s="46"/>
      <c r="BCQ16" s="438" t="s">
        <v>160</v>
      </c>
      <c r="BCR16" s="363">
        <v>518</v>
      </c>
      <c r="BCS16" s="24">
        <v>242</v>
      </c>
      <c r="BCT16" s="49">
        <v>0</v>
      </c>
      <c r="BCU16" s="46"/>
      <c r="BCV16" s="438" t="s">
        <v>160</v>
      </c>
      <c r="BCW16" s="363">
        <v>373</v>
      </c>
      <c r="BCX16" s="24">
        <v>194</v>
      </c>
      <c r="BCY16" s="49">
        <v>0</v>
      </c>
      <c r="BCZ16" s="46"/>
      <c r="BDA16" s="438" t="s">
        <v>160</v>
      </c>
      <c r="BDB16" s="363">
        <v>530</v>
      </c>
      <c r="BDC16" s="24">
        <v>297</v>
      </c>
      <c r="BDD16" s="479"/>
      <c r="BDE16" s="492"/>
      <c r="BDF16" s="512" t="s">
        <v>11</v>
      </c>
      <c r="BDG16" s="458"/>
      <c r="BDH16" s="458"/>
      <c r="BDI16" s="458"/>
      <c r="BDJ16" s="465"/>
      <c r="BDK16" s="49">
        <v>0</v>
      </c>
      <c r="BDL16" s="46"/>
      <c r="BDM16" s="438" t="s">
        <v>160</v>
      </c>
      <c r="BDN16" s="363">
        <v>565</v>
      </c>
      <c r="BDO16" s="24">
        <v>409</v>
      </c>
      <c r="BDP16" s="49">
        <v>8</v>
      </c>
      <c r="BDQ16" s="46"/>
      <c r="BDR16" s="438" t="s">
        <v>160</v>
      </c>
      <c r="BDS16" s="363">
        <v>465</v>
      </c>
      <c r="BDT16" s="24">
        <v>308</v>
      </c>
      <c r="BDU16" s="49">
        <v>23</v>
      </c>
      <c r="BDV16" s="46"/>
      <c r="BDW16" s="438" t="s">
        <v>160</v>
      </c>
      <c r="BDX16" s="363">
        <v>530</v>
      </c>
      <c r="BDY16" s="24">
        <v>206</v>
      </c>
      <c r="BDZ16" s="49">
        <v>0</v>
      </c>
      <c r="BEA16" s="46"/>
      <c r="BEB16" s="438" t="s">
        <v>160</v>
      </c>
      <c r="BEC16" s="363">
        <v>404</v>
      </c>
      <c r="BED16" s="24">
        <v>101</v>
      </c>
      <c r="BEE16" s="479"/>
      <c r="BEF16" s="492"/>
      <c r="BEG16" s="512" t="s">
        <v>11</v>
      </c>
      <c r="BEH16" s="458"/>
      <c r="BEI16" s="458"/>
      <c r="BEJ16" s="458"/>
      <c r="BEK16" s="465"/>
      <c r="BEL16" s="49">
        <v>0</v>
      </c>
      <c r="BEM16" s="46"/>
      <c r="BEN16" s="438" t="s">
        <v>160</v>
      </c>
      <c r="BEO16" s="363">
        <v>472</v>
      </c>
      <c r="BEP16" s="24">
        <v>273</v>
      </c>
      <c r="BEQ16" s="49">
        <v>0</v>
      </c>
      <c r="BER16" s="46"/>
      <c r="BES16" s="438" t="s">
        <v>160</v>
      </c>
      <c r="BET16" s="363">
        <v>145</v>
      </c>
      <c r="BEU16" s="491"/>
      <c r="BEV16" s="49">
        <v>0</v>
      </c>
      <c r="BEW16" s="46"/>
      <c r="BEX16" s="438" t="s">
        <v>160</v>
      </c>
      <c r="BEY16" s="363">
        <v>452</v>
      </c>
      <c r="BEZ16" s="24">
        <v>298</v>
      </c>
      <c r="BFA16" s="49">
        <v>0</v>
      </c>
      <c r="BFB16" s="46"/>
      <c r="BFC16" s="438" t="s">
        <v>160</v>
      </c>
      <c r="BFD16" s="363">
        <v>444</v>
      </c>
      <c r="BFE16" s="24">
        <v>342</v>
      </c>
      <c r="BFF16" s="479"/>
      <c r="BFG16" s="492"/>
      <c r="BFH16" s="512" t="s">
        <v>11</v>
      </c>
      <c r="BFI16" s="458"/>
      <c r="BFJ16" s="458"/>
      <c r="BFK16" s="458"/>
      <c r="BFL16" s="465"/>
      <c r="BFM16" s="49">
        <v>0</v>
      </c>
      <c r="BFN16" s="46"/>
      <c r="BFO16" s="438" t="s">
        <v>160</v>
      </c>
      <c r="BFP16" s="363">
        <v>560</v>
      </c>
      <c r="BFQ16" s="24">
        <v>298</v>
      </c>
      <c r="BFR16" s="49">
        <v>0</v>
      </c>
      <c r="BFS16" s="46"/>
      <c r="BFT16" s="438" t="s">
        <v>160</v>
      </c>
      <c r="BFU16" s="363">
        <v>356</v>
      </c>
      <c r="BFV16" s="24">
        <v>79</v>
      </c>
      <c r="BFW16" s="49"/>
      <c r="BFX16" s="46"/>
      <c r="BFY16" s="438"/>
      <c r="BFZ16" s="363"/>
      <c r="BGA16" s="24"/>
      <c r="BGB16" s="49"/>
      <c r="BGC16" s="46"/>
      <c r="BGD16" s="438"/>
      <c r="BGE16" s="363"/>
      <c r="BGF16" s="24"/>
    </row>
    <row r="17" spans="1:1540" ht="45" customHeight="1" x14ac:dyDescent="0.4">
      <c r="A17" s="478"/>
      <c r="B17" s="492"/>
      <c r="C17" s="20"/>
      <c r="D17" s="457" t="s">
        <v>858</v>
      </c>
      <c r="E17" s="459"/>
      <c r="F17" s="459"/>
      <c r="G17" s="436" t="s">
        <v>4</v>
      </c>
      <c r="H17" s="501">
        <v>736</v>
      </c>
      <c r="I17" s="502"/>
      <c r="J17" s="502"/>
      <c r="K17" s="503"/>
      <c r="L17" s="22">
        <v>782.4</v>
      </c>
      <c r="M17" s="501">
        <v>695</v>
      </c>
      <c r="N17" s="502"/>
      <c r="O17" s="502"/>
      <c r="P17" s="503"/>
      <c r="Q17" s="22">
        <v>722</v>
      </c>
      <c r="R17" s="501">
        <v>824</v>
      </c>
      <c r="S17" s="502"/>
      <c r="T17" s="502"/>
      <c r="U17" s="503"/>
      <c r="V17" s="22">
        <v>872</v>
      </c>
      <c r="W17" s="501">
        <v>794</v>
      </c>
      <c r="X17" s="502"/>
      <c r="Y17" s="502"/>
      <c r="Z17" s="503"/>
      <c r="AA17" s="22">
        <v>862</v>
      </c>
      <c r="AB17" s="479"/>
      <c r="AC17" s="492"/>
      <c r="AD17" s="20"/>
      <c r="AE17" s="457" t="s">
        <v>858</v>
      </c>
      <c r="AF17" s="459"/>
      <c r="AG17" s="459"/>
      <c r="AH17" s="436" t="s">
        <v>4</v>
      </c>
      <c r="AI17" s="501">
        <v>783</v>
      </c>
      <c r="AJ17" s="502"/>
      <c r="AK17" s="502"/>
      <c r="AL17" s="503"/>
      <c r="AM17" s="22">
        <v>902</v>
      </c>
      <c r="AN17" s="501">
        <v>777</v>
      </c>
      <c r="AO17" s="502"/>
      <c r="AP17" s="502"/>
      <c r="AQ17" s="503"/>
      <c r="AR17" s="22">
        <v>787.6</v>
      </c>
      <c r="AS17" s="501">
        <v>703</v>
      </c>
      <c r="AT17" s="502"/>
      <c r="AU17" s="502"/>
      <c r="AV17" s="503"/>
      <c r="AW17" s="22">
        <f>728</f>
        <v>728</v>
      </c>
      <c r="AX17" s="501">
        <v>817</v>
      </c>
      <c r="AY17" s="502"/>
      <c r="AZ17" s="502"/>
      <c r="BA17" s="503"/>
      <c r="BB17" s="22">
        <v>846</v>
      </c>
      <c r="BC17" s="479"/>
      <c r="BD17" s="492"/>
      <c r="BE17" s="20"/>
      <c r="BF17" s="457" t="s">
        <v>858</v>
      </c>
      <c r="BG17" s="459"/>
      <c r="BH17" s="459"/>
      <c r="BI17" s="436" t="s">
        <v>4</v>
      </c>
      <c r="BJ17" s="501">
        <f>855-72</f>
        <v>783</v>
      </c>
      <c r="BK17" s="502"/>
      <c r="BL17" s="502"/>
      <c r="BM17" s="503"/>
      <c r="BN17" s="22">
        <v>871</v>
      </c>
      <c r="BO17" s="501">
        <v>773</v>
      </c>
      <c r="BP17" s="502"/>
      <c r="BQ17" s="502"/>
      <c r="BR17" s="503"/>
      <c r="BS17" s="22">
        <v>878</v>
      </c>
      <c r="BT17" s="501">
        <v>847</v>
      </c>
      <c r="BU17" s="502"/>
      <c r="BV17" s="502"/>
      <c r="BW17" s="503"/>
      <c r="BX17" s="22">
        <v>864</v>
      </c>
      <c r="BY17" s="501">
        <v>679</v>
      </c>
      <c r="BZ17" s="502"/>
      <c r="CA17" s="502"/>
      <c r="CB17" s="503"/>
      <c r="CC17" s="22">
        <f>741</f>
        <v>741</v>
      </c>
      <c r="CD17" s="479"/>
      <c r="CE17" s="492"/>
      <c r="CF17" s="20"/>
      <c r="CG17" s="457" t="s">
        <v>858</v>
      </c>
      <c r="CH17" s="459"/>
      <c r="CI17" s="459"/>
      <c r="CJ17" s="436" t="s">
        <v>4</v>
      </c>
      <c r="CK17" s="501">
        <f>865-15</f>
        <v>850</v>
      </c>
      <c r="CL17" s="502"/>
      <c r="CM17" s="502"/>
      <c r="CN17" s="503"/>
      <c r="CO17" s="22">
        <v>868</v>
      </c>
      <c r="CP17" s="501">
        <v>829</v>
      </c>
      <c r="CQ17" s="502"/>
      <c r="CR17" s="502"/>
      <c r="CS17" s="503"/>
      <c r="CT17" s="22">
        <v>876</v>
      </c>
      <c r="CU17" s="501">
        <v>822</v>
      </c>
      <c r="CV17" s="502"/>
      <c r="CW17" s="502"/>
      <c r="CX17" s="503"/>
      <c r="CY17" s="22">
        <v>853</v>
      </c>
      <c r="CZ17" s="501">
        <v>793</v>
      </c>
      <c r="DA17" s="502"/>
      <c r="DB17" s="502"/>
      <c r="DC17" s="503"/>
      <c r="DD17" s="22">
        <v>916</v>
      </c>
      <c r="DE17" s="479"/>
      <c r="DF17" s="492"/>
      <c r="DG17" s="20"/>
      <c r="DH17" s="457" t="s">
        <v>858</v>
      </c>
      <c r="DI17" s="459"/>
      <c r="DJ17" s="459"/>
      <c r="DK17" s="436" t="s">
        <v>4</v>
      </c>
      <c r="DL17" s="501">
        <v>790</v>
      </c>
      <c r="DM17" s="502"/>
      <c r="DN17" s="502"/>
      <c r="DO17" s="503"/>
      <c r="DP17" s="22">
        <v>843</v>
      </c>
      <c r="DQ17" s="501">
        <v>750</v>
      </c>
      <c r="DR17" s="502"/>
      <c r="DS17" s="502"/>
      <c r="DT17" s="503"/>
      <c r="DU17" s="22">
        <v>808</v>
      </c>
      <c r="DV17" s="501">
        <v>710</v>
      </c>
      <c r="DW17" s="502"/>
      <c r="DX17" s="502"/>
      <c r="DY17" s="503"/>
      <c r="DZ17" s="22">
        <v>752</v>
      </c>
      <c r="EA17" s="501">
        <f>865-40</f>
        <v>825</v>
      </c>
      <c r="EB17" s="502"/>
      <c r="EC17" s="502"/>
      <c r="ED17" s="503"/>
      <c r="EE17" s="22">
        <v>888</v>
      </c>
      <c r="EF17" s="479"/>
      <c r="EG17" s="492"/>
      <c r="EH17" s="20"/>
      <c r="EI17" s="457" t="s">
        <v>858</v>
      </c>
      <c r="EJ17" s="459"/>
      <c r="EK17" s="459"/>
      <c r="EL17" s="436" t="s">
        <v>4</v>
      </c>
      <c r="EM17" s="501">
        <v>850</v>
      </c>
      <c r="EN17" s="502"/>
      <c r="EO17" s="502"/>
      <c r="EP17" s="503"/>
      <c r="EQ17" s="22">
        <v>866</v>
      </c>
      <c r="ER17" s="501">
        <v>825</v>
      </c>
      <c r="ES17" s="502"/>
      <c r="ET17" s="502"/>
      <c r="EU17" s="503"/>
      <c r="EV17" s="22">
        <v>870</v>
      </c>
      <c r="EW17" s="501">
        <v>785</v>
      </c>
      <c r="EX17" s="502"/>
      <c r="EY17" s="502"/>
      <c r="EZ17" s="503"/>
      <c r="FA17" s="22">
        <v>775</v>
      </c>
      <c r="FB17" s="501">
        <v>675</v>
      </c>
      <c r="FC17" s="502"/>
      <c r="FD17" s="502"/>
      <c r="FE17" s="503"/>
      <c r="FF17" s="22">
        <v>696</v>
      </c>
      <c r="FG17" s="479"/>
      <c r="FH17" s="492"/>
      <c r="FI17" s="20"/>
      <c r="FJ17" s="457" t="s">
        <v>858</v>
      </c>
      <c r="FK17" s="459"/>
      <c r="FL17" s="459"/>
      <c r="FM17" s="436" t="s">
        <v>4</v>
      </c>
      <c r="FN17" s="501">
        <v>735</v>
      </c>
      <c r="FO17" s="502"/>
      <c r="FP17" s="502"/>
      <c r="FQ17" s="503"/>
      <c r="FR17" s="22">
        <v>805</v>
      </c>
      <c r="FS17" s="501">
        <v>771</v>
      </c>
      <c r="FT17" s="502"/>
      <c r="FU17" s="502"/>
      <c r="FV17" s="503"/>
      <c r="FW17" s="22">
        <v>796</v>
      </c>
      <c r="FX17" s="501">
        <v>639</v>
      </c>
      <c r="FY17" s="502"/>
      <c r="FZ17" s="502"/>
      <c r="GA17" s="503"/>
      <c r="GB17" s="22">
        <v>719</v>
      </c>
      <c r="GC17" s="501">
        <v>667</v>
      </c>
      <c r="GD17" s="502"/>
      <c r="GE17" s="502"/>
      <c r="GF17" s="503"/>
      <c r="GG17" s="22">
        <v>717</v>
      </c>
      <c r="GH17" s="479"/>
      <c r="GI17" s="492"/>
      <c r="GJ17" s="20"/>
      <c r="GK17" s="457" t="s">
        <v>858</v>
      </c>
      <c r="GL17" s="459"/>
      <c r="GM17" s="459"/>
      <c r="GN17" s="436" t="s">
        <v>4</v>
      </c>
      <c r="GO17" s="501">
        <v>686</v>
      </c>
      <c r="GP17" s="502"/>
      <c r="GQ17" s="502"/>
      <c r="GR17" s="503"/>
      <c r="GS17" s="22">
        <v>732</v>
      </c>
      <c r="GT17" s="501">
        <v>773</v>
      </c>
      <c r="GU17" s="502"/>
      <c r="GV17" s="502"/>
      <c r="GW17" s="503"/>
      <c r="GX17" s="22">
        <v>841</v>
      </c>
      <c r="GY17" s="501">
        <f>865-39</f>
        <v>826</v>
      </c>
      <c r="GZ17" s="502"/>
      <c r="HA17" s="502"/>
      <c r="HB17" s="503"/>
      <c r="HC17" s="22">
        <v>890</v>
      </c>
      <c r="HD17" s="501">
        <v>836</v>
      </c>
      <c r="HE17" s="502"/>
      <c r="HF17" s="502"/>
      <c r="HG17" s="503"/>
      <c r="HH17" s="22">
        <v>874</v>
      </c>
      <c r="HI17" s="479"/>
      <c r="HJ17" s="492"/>
      <c r="HK17" s="20"/>
      <c r="HL17" s="457" t="s">
        <v>858</v>
      </c>
      <c r="HM17" s="459"/>
      <c r="HN17" s="459"/>
      <c r="HO17" s="436" t="s">
        <v>4</v>
      </c>
      <c r="HP17" s="501">
        <v>818</v>
      </c>
      <c r="HQ17" s="502"/>
      <c r="HR17" s="502"/>
      <c r="HS17" s="503"/>
      <c r="HT17" s="22">
        <v>899</v>
      </c>
      <c r="HU17" s="501">
        <v>797</v>
      </c>
      <c r="HV17" s="502"/>
      <c r="HW17" s="502"/>
      <c r="HX17" s="503"/>
      <c r="HY17" s="22">
        <v>903</v>
      </c>
      <c r="HZ17" s="501">
        <v>669</v>
      </c>
      <c r="IA17" s="502"/>
      <c r="IB17" s="502"/>
      <c r="IC17" s="503"/>
      <c r="ID17" s="22">
        <v>790</v>
      </c>
      <c r="IE17" s="501">
        <v>836</v>
      </c>
      <c r="IF17" s="502"/>
      <c r="IG17" s="502"/>
      <c r="IH17" s="503"/>
      <c r="II17" s="22">
        <v>907</v>
      </c>
      <c r="IJ17" s="478"/>
      <c r="IK17" s="492"/>
      <c r="IL17" s="20"/>
      <c r="IM17" s="457" t="s">
        <v>858</v>
      </c>
      <c r="IN17" s="459"/>
      <c r="IO17" s="459"/>
      <c r="IP17" s="436" t="s">
        <v>4</v>
      </c>
      <c r="IQ17" s="501">
        <v>897</v>
      </c>
      <c r="IR17" s="502"/>
      <c r="IS17" s="502"/>
      <c r="IT17" s="503"/>
      <c r="IU17" s="22">
        <f>959.4</f>
        <v>959.4</v>
      </c>
      <c r="IV17" s="501">
        <v>916</v>
      </c>
      <c r="IW17" s="502"/>
      <c r="IX17" s="502"/>
      <c r="IY17" s="503"/>
      <c r="IZ17" s="22">
        <v>994</v>
      </c>
      <c r="JA17" s="501">
        <v>866</v>
      </c>
      <c r="JB17" s="502"/>
      <c r="JC17" s="502"/>
      <c r="JD17" s="503"/>
      <c r="JE17" s="22">
        <v>880</v>
      </c>
      <c r="JF17" s="501">
        <v>764</v>
      </c>
      <c r="JG17" s="502"/>
      <c r="JH17" s="502"/>
      <c r="JI17" s="503"/>
      <c r="JJ17" s="22">
        <v>845</v>
      </c>
      <c r="JK17" s="479"/>
      <c r="JL17" s="492"/>
      <c r="JM17" s="20"/>
      <c r="JN17" s="457" t="s">
        <v>858</v>
      </c>
      <c r="JO17" s="459"/>
      <c r="JP17" s="459"/>
      <c r="JQ17" s="436" t="s">
        <v>4</v>
      </c>
      <c r="JR17" s="501">
        <v>748</v>
      </c>
      <c r="JS17" s="502"/>
      <c r="JT17" s="502"/>
      <c r="JU17" s="503"/>
      <c r="JV17" s="22">
        <v>784</v>
      </c>
      <c r="JW17" s="501">
        <v>829</v>
      </c>
      <c r="JX17" s="502"/>
      <c r="JY17" s="502"/>
      <c r="JZ17" s="503"/>
      <c r="KA17" s="22">
        <v>981</v>
      </c>
      <c r="KB17" s="501">
        <f>925-39</f>
        <v>886</v>
      </c>
      <c r="KC17" s="502"/>
      <c r="KD17" s="502"/>
      <c r="KE17" s="503"/>
      <c r="KF17" s="22">
        <v>937</v>
      </c>
      <c r="KG17" s="501">
        <v>895</v>
      </c>
      <c r="KH17" s="502"/>
      <c r="KI17" s="502"/>
      <c r="KJ17" s="503"/>
      <c r="KK17" s="22">
        <v>916</v>
      </c>
      <c r="KL17" s="479"/>
      <c r="KM17" s="492"/>
      <c r="KN17" s="20"/>
      <c r="KO17" s="457" t="s">
        <v>858</v>
      </c>
      <c r="KP17" s="459"/>
      <c r="KQ17" s="459"/>
      <c r="KR17" s="436" t="s">
        <v>4</v>
      </c>
      <c r="KS17" s="501">
        <v>906</v>
      </c>
      <c r="KT17" s="502"/>
      <c r="KU17" s="502"/>
      <c r="KV17" s="503"/>
      <c r="KW17" s="22">
        <v>914</v>
      </c>
      <c r="KX17" s="501">
        <v>899</v>
      </c>
      <c r="KY17" s="502"/>
      <c r="KZ17" s="502"/>
      <c r="LA17" s="503"/>
      <c r="LB17" s="22">
        <v>951</v>
      </c>
      <c r="LC17" s="501">
        <v>799</v>
      </c>
      <c r="LD17" s="502"/>
      <c r="LE17" s="502"/>
      <c r="LF17" s="503"/>
      <c r="LG17" s="22">
        <v>905</v>
      </c>
      <c r="LH17" s="501">
        <v>740</v>
      </c>
      <c r="LI17" s="502"/>
      <c r="LJ17" s="502"/>
      <c r="LK17" s="503"/>
      <c r="LL17" s="22">
        <v>809</v>
      </c>
      <c r="LM17" s="479"/>
      <c r="LN17" s="492"/>
      <c r="LO17" s="20"/>
      <c r="LP17" s="457" t="s">
        <v>858</v>
      </c>
      <c r="LQ17" s="459"/>
      <c r="LR17" s="459"/>
      <c r="LS17" s="436" t="s">
        <v>4</v>
      </c>
      <c r="LT17" s="501">
        <v>1064</v>
      </c>
      <c r="LU17" s="502"/>
      <c r="LV17" s="502"/>
      <c r="LW17" s="503"/>
      <c r="LX17" s="22">
        <v>1106</v>
      </c>
      <c r="LY17" s="501">
        <v>956</v>
      </c>
      <c r="LZ17" s="502"/>
      <c r="MA17" s="502"/>
      <c r="MB17" s="503"/>
      <c r="MC17" s="22">
        <v>970</v>
      </c>
      <c r="MD17" s="501">
        <v>985</v>
      </c>
      <c r="ME17" s="502"/>
      <c r="MF17" s="502"/>
      <c r="MG17" s="503"/>
      <c r="MH17" s="22">
        <v>1004</v>
      </c>
      <c r="MI17" s="501">
        <v>864</v>
      </c>
      <c r="MJ17" s="502"/>
      <c r="MK17" s="502"/>
      <c r="ML17" s="503"/>
      <c r="MM17" s="22">
        <v>885</v>
      </c>
      <c r="MN17" s="479"/>
      <c r="MO17" s="492"/>
      <c r="MP17" s="20"/>
      <c r="MQ17" s="457" t="s">
        <v>858</v>
      </c>
      <c r="MR17" s="459"/>
      <c r="MS17" s="459"/>
      <c r="MT17" s="436" t="s">
        <v>4</v>
      </c>
      <c r="MU17" s="501">
        <v>765</v>
      </c>
      <c r="MV17" s="502"/>
      <c r="MW17" s="502"/>
      <c r="MX17" s="503"/>
      <c r="MY17" s="22">
        <v>761</v>
      </c>
      <c r="MZ17" s="501">
        <v>979</v>
      </c>
      <c r="NA17" s="502"/>
      <c r="NB17" s="502"/>
      <c r="NC17" s="503"/>
      <c r="ND17" s="22">
        <v>883</v>
      </c>
      <c r="NE17" s="501">
        <f>997.6-40</f>
        <v>957.6</v>
      </c>
      <c r="NF17" s="502"/>
      <c r="NG17" s="502"/>
      <c r="NH17" s="503"/>
      <c r="NI17" s="22">
        <v>1002</v>
      </c>
      <c r="NJ17" s="501">
        <v>947</v>
      </c>
      <c r="NK17" s="502"/>
      <c r="NL17" s="502"/>
      <c r="NM17" s="503"/>
      <c r="NN17" s="22">
        <v>967</v>
      </c>
      <c r="NO17" s="479"/>
      <c r="NP17" s="492"/>
      <c r="NQ17" s="20"/>
      <c r="NR17" s="457" t="s">
        <v>858</v>
      </c>
      <c r="NS17" s="459"/>
      <c r="NT17" s="459"/>
      <c r="NU17" s="436" t="s">
        <v>4</v>
      </c>
      <c r="NV17" s="501">
        <v>900</v>
      </c>
      <c r="NW17" s="502"/>
      <c r="NX17" s="502"/>
      <c r="NY17" s="503"/>
      <c r="NZ17" s="22">
        <v>836</v>
      </c>
      <c r="OA17" s="501">
        <v>815</v>
      </c>
      <c r="OB17" s="502"/>
      <c r="OC17" s="502"/>
      <c r="OD17" s="503"/>
      <c r="OE17" s="22">
        <v>816</v>
      </c>
      <c r="OF17" s="501">
        <v>995</v>
      </c>
      <c r="OG17" s="502"/>
      <c r="OH17" s="502"/>
      <c r="OI17" s="503"/>
      <c r="OJ17" s="22">
        <v>1033</v>
      </c>
      <c r="OK17" s="501">
        <v>1035</v>
      </c>
      <c r="OL17" s="502"/>
      <c r="OM17" s="502"/>
      <c r="ON17" s="503"/>
      <c r="OO17" s="22">
        <f>1028.6</f>
        <v>1028.5999999999999</v>
      </c>
      <c r="OP17" s="479"/>
      <c r="OQ17" s="492"/>
      <c r="OR17" s="20"/>
      <c r="OS17" s="457" t="s">
        <v>858</v>
      </c>
      <c r="OT17" s="459"/>
      <c r="OU17" s="459"/>
      <c r="OV17" s="436" t="s">
        <v>4</v>
      </c>
      <c r="OW17" s="501">
        <v>1065</v>
      </c>
      <c r="OX17" s="502"/>
      <c r="OY17" s="502"/>
      <c r="OZ17" s="503"/>
      <c r="PA17" s="22">
        <v>1006</v>
      </c>
      <c r="PB17" s="501">
        <v>1028</v>
      </c>
      <c r="PC17" s="502"/>
      <c r="PD17" s="502"/>
      <c r="PE17" s="503"/>
      <c r="PF17" s="22">
        <v>1046</v>
      </c>
      <c r="PG17" s="501">
        <v>1041</v>
      </c>
      <c r="PH17" s="502"/>
      <c r="PI17" s="502"/>
      <c r="PJ17" s="503"/>
      <c r="PK17" s="22">
        <v>1078</v>
      </c>
      <c r="PL17" s="501">
        <v>931</v>
      </c>
      <c r="PM17" s="502"/>
      <c r="PN17" s="502"/>
      <c r="PO17" s="503"/>
      <c r="PP17" s="22">
        <v>945</v>
      </c>
      <c r="PQ17" s="479"/>
      <c r="PR17" s="492"/>
      <c r="PS17" s="20"/>
      <c r="PT17" s="457" t="s">
        <v>858</v>
      </c>
      <c r="PU17" s="459"/>
      <c r="PV17" s="459"/>
      <c r="PW17" s="436" t="s">
        <v>4</v>
      </c>
      <c r="PX17" s="501">
        <v>816</v>
      </c>
      <c r="PY17" s="502"/>
      <c r="PZ17" s="502"/>
      <c r="QA17" s="503"/>
      <c r="QB17" s="22">
        <v>799</v>
      </c>
      <c r="QC17" s="501">
        <v>1021</v>
      </c>
      <c r="QD17" s="502"/>
      <c r="QE17" s="502"/>
      <c r="QF17" s="503"/>
      <c r="QG17" s="22">
        <v>1143</v>
      </c>
      <c r="QH17" s="501">
        <v>1095</v>
      </c>
      <c r="QI17" s="502"/>
      <c r="QJ17" s="502"/>
      <c r="QK17" s="503"/>
      <c r="QL17" s="22">
        <v>1169</v>
      </c>
      <c r="QM17" s="501">
        <v>1110</v>
      </c>
      <c r="QN17" s="502"/>
      <c r="QO17" s="502"/>
      <c r="QP17" s="503"/>
      <c r="QQ17" s="22">
        <v>1109</v>
      </c>
      <c r="QR17" s="479"/>
      <c r="QS17" s="492"/>
      <c r="QT17" s="20"/>
      <c r="QU17" s="457" t="s">
        <v>858</v>
      </c>
      <c r="QV17" s="459"/>
      <c r="QW17" s="459"/>
      <c r="QX17" s="436" t="s">
        <v>4</v>
      </c>
      <c r="QY17" s="501">
        <v>1071</v>
      </c>
      <c r="QZ17" s="502"/>
      <c r="RA17" s="502"/>
      <c r="RB17" s="503"/>
      <c r="RC17" s="22">
        <v>1074</v>
      </c>
      <c r="RD17" s="501">
        <v>951</v>
      </c>
      <c r="RE17" s="502"/>
      <c r="RF17" s="502"/>
      <c r="RG17" s="503"/>
      <c r="RH17" s="22">
        <v>922</v>
      </c>
      <c r="RI17" s="501">
        <v>731</v>
      </c>
      <c r="RJ17" s="502"/>
      <c r="RK17" s="502"/>
      <c r="RL17" s="503"/>
      <c r="RM17" s="22">
        <v>818</v>
      </c>
      <c r="RN17" s="501">
        <v>1075</v>
      </c>
      <c r="RO17" s="502"/>
      <c r="RP17" s="502"/>
      <c r="RQ17" s="503"/>
      <c r="RR17" s="22">
        <v>1110</v>
      </c>
      <c r="RS17" s="479"/>
      <c r="RT17" s="492"/>
      <c r="RU17" s="20"/>
      <c r="RV17" s="457" t="s">
        <v>858</v>
      </c>
      <c r="RW17" s="459"/>
      <c r="RX17" s="459"/>
      <c r="RY17" s="436" t="s">
        <v>4</v>
      </c>
      <c r="RZ17" s="501">
        <v>1155</v>
      </c>
      <c r="SA17" s="502"/>
      <c r="SB17" s="502"/>
      <c r="SC17" s="503"/>
      <c r="SD17" s="22">
        <v>1232</v>
      </c>
      <c r="SE17" s="501">
        <v>939</v>
      </c>
      <c r="SF17" s="502"/>
      <c r="SG17" s="502"/>
      <c r="SH17" s="503"/>
      <c r="SI17" s="22">
        <v>991</v>
      </c>
      <c r="SJ17" s="501">
        <v>1002</v>
      </c>
      <c r="SK17" s="502"/>
      <c r="SL17" s="502"/>
      <c r="SM17" s="503"/>
      <c r="SN17" s="22">
        <v>1107</v>
      </c>
      <c r="SO17" s="501">
        <v>978</v>
      </c>
      <c r="SP17" s="502"/>
      <c r="SQ17" s="502"/>
      <c r="SR17" s="503"/>
      <c r="SS17" s="22">
        <v>1002</v>
      </c>
      <c r="ST17" s="479"/>
      <c r="SU17" s="492"/>
      <c r="SV17" s="20"/>
      <c r="SW17" s="457" t="s">
        <v>858</v>
      </c>
      <c r="SX17" s="459"/>
      <c r="SY17" s="459"/>
      <c r="SZ17" s="436" t="s">
        <v>4</v>
      </c>
      <c r="TA17" s="501">
        <v>1158</v>
      </c>
      <c r="TB17" s="502"/>
      <c r="TC17" s="502"/>
      <c r="TD17" s="503"/>
      <c r="TE17" s="22">
        <v>1226</v>
      </c>
      <c r="TF17" s="501">
        <v>1060</v>
      </c>
      <c r="TG17" s="502"/>
      <c r="TH17" s="502"/>
      <c r="TI17" s="503"/>
      <c r="TJ17" s="22">
        <v>1115</v>
      </c>
      <c r="TK17" s="501">
        <v>1058</v>
      </c>
      <c r="TL17" s="502"/>
      <c r="TM17" s="502"/>
      <c r="TN17" s="503"/>
      <c r="TO17" s="22">
        <v>1101</v>
      </c>
      <c r="TP17" s="501">
        <v>1107</v>
      </c>
      <c r="TQ17" s="502"/>
      <c r="TR17" s="502"/>
      <c r="TS17" s="503"/>
      <c r="TT17" s="22">
        <v>1050</v>
      </c>
      <c r="TU17" s="479"/>
      <c r="TV17" s="492"/>
      <c r="TW17" s="20"/>
      <c r="TX17" s="457" t="s">
        <v>858</v>
      </c>
      <c r="TY17" s="459"/>
      <c r="TZ17" s="459"/>
      <c r="UA17" s="436" t="s">
        <v>4</v>
      </c>
      <c r="UB17" s="501">
        <v>928</v>
      </c>
      <c r="UC17" s="502"/>
      <c r="UD17" s="502"/>
      <c r="UE17" s="503"/>
      <c r="UF17" s="22">
        <v>1163</v>
      </c>
      <c r="UG17" s="501">
        <f>1240.9-37</f>
        <v>1203.9000000000001</v>
      </c>
      <c r="UH17" s="502"/>
      <c r="UI17" s="502"/>
      <c r="UJ17" s="503"/>
      <c r="UK17" s="22">
        <v>1237</v>
      </c>
      <c r="UL17" s="501">
        <v>1095</v>
      </c>
      <c r="UM17" s="502"/>
      <c r="UN17" s="502"/>
      <c r="UO17" s="503"/>
      <c r="UP17" s="22">
        <v>1178</v>
      </c>
      <c r="UQ17" s="501">
        <v>1070</v>
      </c>
      <c r="UR17" s="502"/>
      <c r="US17" s="502"/>
      <c r="UT17" s="503"/>
      <c r="UU17" s="22">
        <v>1033</v>
      </c>
      <c r="UV17" s="479"/>
      <c r="UW17" s="492"/>
      <c r="UX17" s="20"/>
      <c r="UY17" s="457" t="s">
        <v>858</v>
      </c>
      <c r="UZ17" s="459"/>
      <c r="VA17" s="459"/>
      <c r="VB17" s="436" t="s">
        <v>4</v>
      </c>
      <c r="VC17" s="501">
        <v>1102</v>
      </c>
      <c r="VD17" s="502"/>
      <c r="VE17" s="502"/>
      <c r="VF17" s="503"/>
      <c r="VG17" s="22">
        <v>1176</v>
      </c>
      <c r="VH17" s="501">
        <v>1118</v>
      </c>
      <c r="VI17" s="502"/>
      <c r="VJ17" s="502"/>
      <c r="VK17" s="503"/>
      <c r="VL17" s="22">
        <v>1078</v>
      </c>
      <c r="VM17" s="501">
        <v>1195</v>
      </c>
      <c r="VN17" s="502"/>
      <c r="VO17" s="502"/>
      <c r="VP17" s="503"/>
      <c r="VQ17" s="22">
        <v>1222</v>
      </c>
      <c r="VR17" s="501">
        <v>1146</v>
      </c>
      <c r="VS17" s="502"/>
      <c r="VT17" s="502"/>
      <c r="VU17" s="503"/>
      <c r="VV17" s="22">
        <v>1213</v>
      </c>
      <c r="VW17" s="479"/>
      <c r="VX17" s="492"/>
      <c r="VY17" s="20"/>
      <c r="VZ17" s="457" t="s">
        <v>858</v>
      </c>
      <c r="WA17" s="459"/>
      <c r="WB17" s="459"/>
      <c r="WC17" s="436" t="s">
        <v>4</v>
      </c>
      <c r="WD17" s="501">
        <v>1099</v>
      </c>
      <c r="WE17" s="502"/>
      <c r="WF17" s="502"/>
      <c r="WG17" s="503"/>
      <c r="WH17" s="22">
        <v>1234</v>
      </c>
      <c r="WI17" s="501">
        <v>1024</v>
      </c>
      <c r="WJ17" s="502"/>
      <c r="WK17" s="502"/>
      <c r="WL17" s="503"/>
      <c r="WM17" s="22">
        <f>1203.6</f>
        <v>1203.5999999999999</v>
      </c>
      <c r="WN17" s="501">
        <f>1087.4-37</f>
        <v>1050.4000000000001</v>
      </c>
      <c r="WO17" s="502"/>
      <c r="WP17" s="502"/>
      <c r="WQ17" s="503"/>
      <c r="WR17" s="22">
        <f>1124.8</f>
        <v>1124.8</v>
      </c>
      <c r="WS17" s="501">
        <v>1008</v>
      </c>
      <c r="WT17" s="502"/>
      <c r="WU17" s="502"/>
      <c r="WV17" s="503"/>
      <c r="WW17" s="22">
        <v>1115</v>
      </c>
      <c r="WX17" s="479"/>
      <c r="WY17" s="492"/>
      <c r="WZ17" s="20"/>
      <c r="XA17" s="457" t="s">
        <v>858</v>
      </c>
      <c r="XB17" s="459"/>
      <c r="XC17" s="459"/>
      <c r="XD17" s="436" t="s">
        <v>4</v>
      </c>
      <c r="XE17" s="501">
        <v>1202</v>
      </c>
      <c r="XF17" s="502"/>
      <c r="XG17" s="502"/>
      <c r="XH17" s="503"/>
      <c r="XI17" s="22">
        <f>1297.8</f>
        <v>1297.8</v>
      </c>
      <c r="XJ17" s="501">
        <f>1273.2-87</f>
        <v>1186.2</v>
      </c>
      <c r="XK17" s="502"/>
      <c r="XL17" s="502"/>
      <c r="XM17" s="503"/>
      <c r="XN17" s="22">
        <v>1252</v>
      </c>
      <c r="XO17" s="501">
        <v>1025</v>
      </c>
      <c r="XP17" s="502"/>
      <c r="XQ17" s="502"/>
      <c r="XR17" s="503"/>
      <c r="XS17" s="22">
        <v>1108</v>
      </c>
      <c r="XT17" s="501">
        <v>1015</v>
      </c>
      <c r="XU17" s="502"/>
      <c r="XV17" s="502"/>
      <c r="XW17" s="503"/>
      <c r="XX17" s="22">
        <v>1010</v>
      </c>
      <c r="XY17" s="479"/>
      <c r="XZ17" s="492"/>
      <c r="YA17" s="20"/>
      <c r="YB17" s="457" t="s">
        <v>858</v>
      </c>
      <c r="YC17" s="459"/>
      <c r="YD17" s="459"/>
      <c r="YE17" s="436" t="s">
        <v>4</v>
      </c>
      <c r="YF17" s="501">
        <v>1124</v>
      </c>
      <c r="YG17" s="502"/>
      <c r="YH17" s="502"/>
      <c r="YI17" s="503"/>
      <c r="YJ17" s="22">
        <v>1282</v>
      </c>
      <c r="YK17" s="501">
        <v>939</v>
      </c>
      <c r="YL17" s="502"/>
      <c r="YM17" s="502"/>
      <c r="YN17" s="503"/>
      <c r="YO17" s="22">
        <v>993</v>
      </c>
      <c r="YP17" s="501">
        <v>982</v>
      </c>
      <c r="YQ17" s="502"/>
      <c r="YR17" s="502"/>
      <c r="YS17" s="503"/>
      <c r="YT17" s="22">
        <v>994</v>
      </c>
      <c r="YU17" s="501">
        <v>901</v>
      </c>
      <c r="YV17" s="502"/>
      <c r="YW17" s="502"/>
      <c r="YX17" s="503"/>
      <c r="YY17" s="22">
        <v>850</v>
      </c>
      <c r="YZ17" s="479"/>
      <c r="ZA17" s="492"/>
      <c r="ZB17" s="20"/>
      <c r="ZC17" s="457" t="s">
        <v>858</v>
      </c>
      <c r="ZD17" s="459"/>
      <c r="ZE17" s="459"/>
      <c r="ZF17" s="436" t="s">
        <v>4</v>
      </c>
      <c r="ZG17" s="501">
        <v>1196</v>
      </c>
      <c r="ZH17" s="502"/>
      <c r="ZI17" s="502"/>
      <c r="ZJ17" s="503"/>
      <c r="ZK17" s="22">
        <v>1274</v>
      </c>
      <c r="ZL17" s="501">
        <v>1132</v>
      </c>
      <c r="ZM17" s="502"/>
      <c r="ZN17" s="502"/>
      <c r="ZO17" s="503"/>
      <c r="ZP17" s="22">
        <v>1191</v>
      </c>
      <c r="ZQ17" s="501">
        <v>933</v>
      </c>
      <c r="ZR17" s="502"/>
      <c r="ZS17" s="502"/>
      <c r="ZT17" s="503"/>
      <c r="ZU17" s="22">
        <v>1072</v>
      </c>
      <c r="ZV17" s="501">
        <v>782</v>
      </c>
      <c r="ZW17" s="502"/>
      <c r="ZX17" s="502"/>
      <c r="ZY17" s="503"/>
      <c r="ZZ17" s="22">
        <v>913</v>
      </c>
      <c r="AAA17" s="479"/>
      <c r="AAB17" s="492"/>
      <c r="AAC17" s="20"/>
      <c r="AAD17" s="457" t="s">
        <v>858</v>
      </c>
      <c r="AAE17" s="459"/>
      <c r="AAF17" s="459"/>
      <c r="AAG17" s="436" t="s">
        <v>4</v>
      </c>
      <c r="AAH17" s="501">
        <v>982</v>
      </c>
      <c r="AAI17" s="502"/>
      <c r="AAJ17" s="502"/>
      <c r="AAK17" s="503"/>
      <c r="AAL17" s="22">
        <v>1004</v>
      </c>
      <c r="AAM17" s="501">
        <v>980</v>
      </c>
      <c r="AAN17" s="502"/>
      <c r="AAO17" s="502"/>
      <c r="AAP17" s="503"/>
      <c r="AAQ17" s="22">
        <v>1020</v>
      </c>
      <c r="AAR17" s="501">
        <v>1006</v>
      </c>
      <c r="AAS17" s="502"/>
      <c r="AAT17" s="502"/>
      <c r="AAU17" s="503"/>
      <c r="AAV17" s="22">
        <v>1051</v>
      </c>
      <c r="AAW17" s="501">
        <v>923</v>
      </c>
      <c r="AAX17" s="502"/>
      <c r="AAY17" s="502"/>
      <c r="AAZ17" s="503"/>
      <c r="ABA17" s="22">
        <v>970</v>
      </c>
      <c r="ABB17" s="479"/>
      <c r="ABC17" s="492"/>
      <c r="ABD17" s="20"/>
      <c r="ABE17" s="457" t="s">
        <v>858</v>
      </c>
      <c r="ABF17" s="459"/>
      <c r="ABG17" s="459"/>
      <c r="ABH17" s="436" t="s">
        <v>4</v>
      </c>
      <c r="ABI17" s="501">
        <f>953.5-73</f>
        <v>880.5</v>
      </c>
      <c r="ABJ17" s="502"/>
      <c r="ABK17" s="502"/>
      <c r="ABL17" s="503"/>
      <c r="ABM17" s="22">
        <v>928</v>
      </c>
      <c r="ABN17" s="501">
        <v>835</v>
      </c>
      <c r="ABO17" s="502"/>
      <c r="ABP17" s="502"/>
      <c r="ABQ17" s="503"/>
      <c r="ABR17" s="22">
        <v>865</v>
      </c>
      <c r="ABS17" s="501">
        <v>841</v>
      </c>
      <c r="ABT17" s="502"/>
      <c r="ABU17" s="502"/>
      <c r="ABV17" s="503"/>
      <c r="ABW17" s="22">
        <v>851</v>
      </c>
      <c r="ABX17" s="501">
        <v>881</v>
      </c>
      <c r="ABY17" s="502"/>
      <c r="ABZ17" s="502"/>
      <c r="ACA17" s="503"/>
      <c r="ACB17" s="22">
        <f>953.2</f>
        <v>953.2</v>
      </c>
      <c r="ACC17" s="479"/>
      <c r="ACD17" s="492"/>
      <c r="ACE17" s="20"/>
      <c r="ACF17" s="457" t="s">
        <v>858</v>
      </c>
      <c r="ACG17" s="459"/>
      <c r="ACH17" s="459"/>
      <c r="ACI17" s="436" t="s">
        <v>4</v>
      </c>
      <c r="ACJ17" s="501">
        <v>879</v>
      </c>
      <c r="ACK17" s="502"/>
      <c r="ACL17" s="502"/>
      <c r="ACM17" s="503"/>
      <c r="ACN17" s="22">
        <v>919</v>
      </c>
      <c r="ACO17" s="501">
        <v>862</v>
      </c>
      <c r="ACP17" s="502"/>
      <c r="ACQ17" s="502"/>
      <c r="ACR17" s="503"/>
      <c r="ACS17" s="22">
        <v>916</v>
      </c>
      <c r="ACT17" s="501">
        <v>856</v>
      </c>
      <c r="ACU17" s="502"/>
      <c r="ACV17" s="502"/>
      <c r="ACW17" s="503"/>
      <c r="ACX17" s="22">
        <f>952.6</f>
        <v>952.6</v>
      </c>
      <c r="ACY17" s="501">
        <v>759</v>
      </c>
      <c r="ACZ17" s="502"/>
      <c r="ADA17" s="502"/>
      <c r="ADB17" s="503"/>
      <c r="ADC17" s="22">
        <f>850.4</f>
        <v>850.4</v>
      </c>
      <c r="ADD17" s="479"/>
      <c r="ADE17" s="492"/>
      <c r="ADF17" s="20"/>
      <c r="ADG17" s="457" t="s">
        <v>858</v>
      </c>
      <c r="ADH17" s="459"/>
      <c r="ADI17" s="459"/>
      <c r="ADJ17" s="436" t="s">
        <v>4</v>
      </c>
      <c r="ADK17" s="501">
        <v>672</v>
      </c>
      <c r="ADL17" s="502"/>
      <c r="ADM17" s="502"/>
      <c r="ADN17" s="503"/>
      <c r="ADO17" s="22">
        <f>778.4</f>
        <v>778.4</v>
      </c>
      <c r="ADP17" s="501">
        <v>842</v>
      </c>
      <c r="ADQ17" s="502"/>
      <c r="ADR17" s="502"/>
      <c r="ADS17" s="503"/>
      <c r="ADT17" s="22">
        <v>905</v>
      </c>
      <c r="ADU17" s="501">
        <v>842</v>
      </c>
      <c r="ADV17" s="502"/>
      <c r="ADW17" s="502"/>
      <c r="ADX17" s="503"/>
      <c r="ADY17" s="22">
        <v>918</v>
      </c>
      <c r="ADZ17" s="501">
        <v>832</v>
      </c>
      <c r="AEA17" s="502"/>
      <c r="AEB17" s="502"/>
      <c r="AEC17" s="503"/>
      <c r="AED17" s="22">
        <v>950</v>
      </c>
      <c r="AEE17" s="479"/>
      <c r="AEF17" s="492"/>
      <c r="AEG17" s="20"/>
      <c r="AEH17" s="457" t="s">
        <v>858</v>
      </c>
      <c r="AEI17" s="459"/>
      <c r="AEJ17" s="459"/>
      <c r="AEK17" s="436" t="s">
        <v>4</v>
      </c>
      <c r="AEL17" s="501">
        <v>852</v>
      </c>
      <c r="AEM17" s="502"/>
      <c r="AEN17" s="502"/>
      <c r="AEO17" s="503"/>
      <c r="AEP17" s="22">
        <v>952</v>
      </c>
      <c r="AEQ17" s="501">
        <v>693</v>
      </c>
      <c r="AER17" s="502"/>
      <c r="AES17" s="502"/>
      <c r="AET17" s="503"/>
      <c r="AEU17" s="22">
        <v>765</v>
      </c>
      <c r="AEV17" s="501">
        <v>642</v>
      </c>
      <c r="AEW17" s="502"/>
      <c r="AEX17" s="502"/>
      <c r="AEY17" s="503"/>
      <c r="AEZ17" s="22">
        <v>739</v>
      </c>
      <c r="AFA17" s="501">
        <v>777</v>
      </c>
      <c r="AFB17" s="502"/>
      <c r="AFC17" s="502"/>
      <c r="AFD17" s="503"/>
      <c r="AFE17" s="22">
        <f>894.8</f>
        <v>894.8</v>
      </c>
      <c r="AFF17" s="479"/>
      <c r="AFG17" s="492"/>
      <c r="AFH17" s="20"/>
      <c r="AFI17" s="457" t="s">
        <v>858</v>
      </c>
      <c r="AFJ17" s="459"/>
      <c r="AFK17" s="459"/>
      <c r="AFL17" s="436" t="s">
        <v>4</v>
      </c>
      <c r="AFM17" s="501">
        <v>796</v>
      </c>
      <c r="AFN17" s="502"/>
      <c r="AFO17" s="502"/>
      <c r="AFP17" s="503"/>
      <c r="AFQ17" s="22">
        <v>916</v>
      </c>
      <c r="AFR17" s="501">
        <f>885-73</f>
        <v>812</v>
      </c>
      <c r="AFS17" s="502"/>
      <c r="AFT17" s="502"/>
      <c r="AFU17" s="503"/>
      <c r="AFV17" s="22">
        <v>913</v>
      </c>
      <c r="AFW17" s="501">
        <v>832</v>
      </c>
      <c r="AFX17" s="502"/>
      <c r="AFY17" s="502"/>
      <c r="AFZ17" s="503"/>
      <c r="AGA17" s="22">
        <v>908</v>
      </c>
      <c r="AGB17" s="501">
        <v>826</v>
      </c>
      <c r="AGC17" s="502"/>
      <c r="AGD17" s="502"/>
      <c r="AGE17" s="503"/>
      <c r="AGF17" s="22">
        <v>912</v>
      </c>
      <c r="AGG17" s="479"/>
      <c r="AGH17" s="492"/>
      <c r="AGI17" s="20"/>
      <c r="AGJ17" s="457" t="s">
        <v>858</v>
      </c>
      <c r="AGK17" s="459"/>
      <c r="AGL17" s="459"/>
      <c r="AGM17" s="436" t="s">
        <v>4</v>
      </c>
      <c r="AGN17" s="501">
        <v>713</v>
      </c>
      <c r="AGO17" s="502"/>
      <c r="AGP17" s="502"/>
      <c r="AGQ17" s="503"/>
      <c r="AGR17" s="22">
        <v>773</v>
      </c>
      <c r="AGS17" s="501">
        <v>656</v>
      </c>
      <c r="AGT17" s="502"/>
      <c r="AGU17" s="502"/>
      <c r="AGV17" s="503"/>
      <c r="AGW17" s="22">
        <v>736</v>
      </c>
      <c r="AGX17" s="501">
        <v>802</v>
      </c>
      <c r="AGY17" s="502"/>
      <c r="AGZ17" s="502"/>
      <c r="AHA17" s="503"/>
      <c r="AHB17" s="22">
        <f>874.2</f>
        <v>874.2</v>
      </c>
      <c r="AHC17" s="501">
        <v>831</v>
      </c>
      <c r="AHD17" s="502"/>
      <c r="AHE17" s="502"/>
      <c r="AHF17" s="503"/>
      <c r="AHG17" s="22">
        <v>888</v>
      </c>
      <c r="AHH17" s="479"/>
      <c r="AHI17" s="492"/>
      <c r="AHJ17" s="20"/>
      <c r="AHK17" s="457" t="s">
        <v>858</v>
      </c>
      <c r="AHL17" s="459"/>
      <c r="AHM17" s="459"/>
      <c r="AHN17" s="436" t="s">
        <v>4</v>
      </c>
      <c r="AHO17" s="501">
        <v>874</v>
      </c>
      <c r="AHP17" s="502"/>
      <c r="AHQ17" s="502"/>
      <c r="AHR17" s="503"/>
      <c r="AHS17" s="22">
        <v>901</v>
      </c>
      <c r="AHT17" s="501">
        <v>884</v>
      </c>
      <c r="AHU17" s="502"/>
      <c r="AHV17" s="502"/>
      <c r="AHW17" s="503"/>
      <c r="AHX17" s="22">
        <v>908</v>
      </c>
      <c r="AHY17" s="501">
        <v>770</v>
      </c>
      <c r="AHZ17" s="502"/>
      <c r="AIA17" s="502"/>
      <c r="AIB17" s="503"/>
      <c r="AIC17" s="22">
        <v>841</v>
      </c>
      <c r="AID17" s="501">
        <v>745</v>
      </c>
      <c r="AIE17" s="502"/>
      <c r="AIF17" s="502"/>
      <c r="AIG17" s="503"/>
      <c r="AIH17" s="22">
        <v>822</v>
      </c>
      <c r="AII17" s="479"/>
      <c r="AIJ17" s="492"/>
      <c r="AIK17" s="20"/>
      <c r="AIL17" s="457" t="s">
        <v>858</v>
      </c>
      <c r="AIM17" s="459"/>
      <c r="AIN17" s="459"/>
      <c r="AIO17" s="436" t="s">
        <v>4</v>
      </c>
      <c r="AIP17" s="501">
        <v>734</v>
      </c>
      <c r="AIQ17" s="502"/>
      <c r="AIR17" s="502"/>
      <c r="AIS17" s="503"/>
      <c r="AIT17" s="22">
        <v>785</v>
      </c>
      <c r="AIU17" s="501">
        <v>855</v>
      </c>
      <c r="AIV17" s="502"/>
      <c r="AIW17" s="502"/>
      <c r="AIX17" s="503"/>
      <c r="AIY17" s="22">
        <v>884</v>
      </c>
      <c r="AIZ17" s="501">
        <v>821</v>
      </c>
      <c r="AJA17" s="502"/>
      <c r="AJB17" s="502"/>
      <c r="AJC17" s="503"/>
      <c r="AJD17" s="22">
        <v>859</v>
      </c>
      <c r="AJE17" s="501">
        <v>844</v>
      </c>
      <c r="AJF17" s="502"/>
      <c r="AJG17" s="502"/>
      <c r="AJH17" s="503"/>
      <c r="AJI17" s="22">
        <v>885</v>
      </c>
      <c r="AJJ17" s="479"/>
      <c r="AJK17" s="492"/>
      <c r="AJL17" s="20"/>
      <c r="AJM17" s="457" t="s">
        <v>858</v>
      </c>
      <c r="AJN17" s="459"/>
      <c r="AJO17" s="459"/>
      <c r="AJP17" s="436" t="s">
        <v>4</v>
      </c>
      <c r="AJQ17" s="501">
        <v>724</v>
      </c>
      <c r="AJR17" s="502"/>
      <c r="AJS17" s="502"/>
      <c r="AJT17" s="503"/>
      <c r="AJU17" s="22">
        <v>809</v>
      </c>
      <c r="AJV17" s="501">
        <v>710</v>
      </c>
      <c r="AJW17" s="502"/>
      <c r="AJX17" s="502"/>
      <c r="AJY17" s="503"/>
      <c r="AJZ17" s="22">
        <v>745</v>
      </c>
      <c r="AKA17" s="501">
        <v>868</v>
      </c>
      <c r="AKB17" s="502"/>
      <c r="AKC17" s="502"/>
      <c r="AKD17" s="503"/>
      <c r="AKE17" s="22">
        <v>917</v>
      </c>
      <c r="AKF17" s="501">
        <v>856</v>
      </c>
      <c r="AKG17" s="502"/>
      <c r="AKH17" s="502"/>
      <c r="AKI17" s="503"/>
      <c r="AKJ17" s="22">
        <v>924</v>
      </c>
      <c r="AKK17" s="479"/>
      <c r="AKL17" s="492"/>
      <c r="AKM17" s="20"/>
      <c r="AKN17" s="457" t="s">
        <v>858</v>
      </c>
      <c r="AKO17" s="459"/>
      <c r="AKP17" s="459"/>
      <c r="AKQ17" s="436" t="s">
        <v>4</v>
      </c>
      <c r="AKR17" s="501">
        <v>840</v>
      </c>
      <c r="AKS17" s="502"/>
      <c r="AKT17" s="502"/>
      <c r="AKU17" s="503"/>
      <c r="AKV17" s="22">
        <v>908</v>
      </c>
      <c r="AKW17" s="501">
        <v>769</v>
      </c>
      <c r="AKX17" s="502"/>
      <c r="AKY17" s="502"/>
      <c r="AKZ17" s="503"/>
      <c r="ALA17" s="22">
        <v>916.4</v>
      </c>
      <c r="ALB17" s="501">
        <v>693</v>
      </c>
      <c r="ALC17" s="502"/>
      <c r="ALD17" s="502"/>
      <c r="ALE17" s="503"/>
      <c r="ALF17" s="22">
        <v>816</v>
      </c>
      <c r="ALG17" s="501">
        <v>870</v>
      </c>
      <c r="ALH17" s="502"/>
      <c r="ALI17" s="502"/>
      <c r="ALJ17" s="503"/>
      <c r="ALK17" s="22">
        <v>893</v>
      </c>
      <c r="ALL17" s="479"/>
      <c r="ALM17" s="492"/>
      <c r="ALN17" s="20"/>
      <c r="ALO17" s="457" t="s">
        <v>858</v>
      </c>
      <c r="ALP17" s="459"/>
      <c r="ALQ17" s="459"/>
      <c r="ALR17" s="436" t="s">
        <v>4</v>
      </c>
      <c r="ALS17" s="501">
        <v>866</v>
      </c>
      <c r="ALT17" s="502"/>
      <c r="ALU17" s="502"/>
      <c r="ALV17" s="503"/>
      <c r="ALW17" s="22">
        <v>910.6</v>
      </c>
      <c r="ALX17" s="501">
        <v>865</v>
      </c>
      <c r="ALY17" s="502"/>
      <c r="ALZ17" s="502"/>
      <c r="AMA17" s="503"/>
      <c r="AMB17" s="22">
        <v>886</v>
      </c>
      <c r="AMC17" s="501">
        <v>749</v>
      </c>
      <c r="AMD17" s="502"/>
      <c r="AME17" s="502"/>
      <c r="AMF17" s="503"/>
      <c r="AMG17" s="22">
        <v>841</v>
      </c>
      <c r="AMH17" s="501">
        <v>889</v>
      </c>
      <c r="AMI17" s="502"/>
      <c r="AMJ17" s="502"/>
      <c r="AMK17" s="503"/>
      <c r="AML17" s="22">
        <v>930</v>
      </c>
      <c r="AMM17" s="479"/>
      <c r="AMN17" s="492"/>
      <c r="AMO17" s="20"/>
      <c r="AMP17" s="457" t="s">
        <v>858</v>
      </c>
      <c r="AMQ17" s="459"/>
      <c r="AMR17" s="459"/>
      <c r="AMS17" s="436" t="s">
        <v>4</v>
      </c>
      <c r="AMT17" s="501">
        <v>846</v>
      </c>
      <c r="AMU17" s="502"/>
      <c r="AMV17" s="502"/>
      <c r="AMW17" s="503"/>
      <c r="AMX17" s="22">
        <v>859</v>
      </c>
      <c r="AMY17" s="501">
        <v>709</v>
      </c>
      <c r="AMZ17" s="502"/>
      <c r="ANA17" s="502"/>
      <c r="ANB17" s="503"/>
      <c r="ANC17" s="22">
        <v>788</v>
      </c>
      <c r="AND17" s="501">
        <v>844</v>
      </c>
      <c r="ANE17" s="502"/>
      <c r="ANF17" s="502"/>
      <c r="ANG17" s="503"/>
      <c r="ANH17" s="22">
        <v>880</v>
      </c>
      <c r="ANI17" s="501">
        <v>849</v>
      </c>
      <c r="ANJ17" s="502"/>
      <c r="ANK17" s="502"/>
      <c r="ANL17" s="503"/>
      <c r="ANM17" s="22">
        <v>921</v>
      </c>
      <c r="ANN17" s="479"/>
      <c r="ANO17" s="492"/>
      <c r="ANP17" s="20"/>
      <c r="ANQ17" s="457" t="s">
        <v>858</v>
      </c>
      <c r="ANR17" s="459"/>
      <c r="ANS17" s="459"/>
      <c r="ANT17" s="436" t="s">
        <v>4</v>
      </c>
      <c r="ANU17" s="501">
        <v>818</v>
      </c>
      <c r="ANV17" s="502"/>
      <c r="ANW17" s="502"/>
      <c r="ANX17" s="503"/>
      <c r="ANY17" s="22">
        <v>900</v>
      </c>
      <c r="ANZ17" s="501">
        <v>718</v>
      </c>
      <c r="AOA17" s="502"/>
      <c r="AOB17" s="502"/>
      <c r="AOC17" s="503"/>
      <c r="AOD17" s="22">
        <v>863</v>
      </c>
      <c r="AOE17" s="501">
        <v>929</v>
      </c>
      <c r="AOF17" s="502"/>
      <c r="AOG17" s="502"/>
      <c r="AOH17" s="503"/>
      <c r="AOI17" s="526">
        <v>984</v>
      </c>
      <c r="AOJ17" s="527">
        <v>984</v>
      </c>
      <c r="AOK17" s="501">
        <f>946.7-107</f>
        <v>839.7</v>
      </c>
      <c r="AOL17" s="502"/>
      <c r="AOM17" s="502"/>
      <c r="AON17" s="503"/>
      <c r="AOO17" s="22">
        <v>987</v>
      </c>
      <c r="AOP17" s="479"/>
      <c r="AOQ17" s="492"/>
      <c r="AOR17" s="20"/>
      <c r="AOS17" s="457" t="s">
        <v>858</v>
      </c>
      <c r="AOT17" s="459"/>
      <c r="AOU17" s="459"/>
      <c r="AOV17" s="436" t="s">
        <v>4</v>
      </c>
      <c r="AOW17" s="501">
        <v>916</v>
      </c>
      <c r="AOX17" s="502"/>
      <c r="AOY17" s="502"/>
      <c r="AOZ17" s="503"/>
      <c r="APA17" s="22">
        <v>922</v>
      </c>
      <c r="APB17" s="501">
        <v>936</v>
      </c>
      <c r="APC17" s="502"/>
      <c r="APD17" s="502"/>
      <c r="APE17" s="503"/>
      <c r="APF17" s="22">
        <v>976</v>
      </c>
      <c r="APG17" s="501">
        <v>701</v>
      </c>
      <c r="APH17" s="502"/>
      <c r="API17" s="502"/>
      <c r="APJ17" s="503"/>
      <c r="APK17" s="22">
        <v>820</v>
      </c>
      <c r="APL17" s="501">
        <v>676</v>
      </c>
      <c r="APM17" s="502"/>
      <c r="APN17" s="502"/>
      <c r="APO17" s="503"/>
      <c r="APP17" s="22">
        <v>764</v>
      </c>
      <c r="APQ17" s="479"/>
      <c r="APR17" s="492"/>
      <c r="APS17" s="20"/>
      <c r="APT17" s="457" t="s">
        <v>858</v>
      </c>
      <c r="APU17" s="459"/>
      <c r="APV17" s="459"/>
      <c r="APW17" s="436" t="s">
        <v>4</v>
      </c>
      <c r="APX17" s="501">
        <f>905-14</f>
        <v>891</v>
      </c>
      <c r="APY17" s="502"/>
      <c r="APZ17" s="502"/>
      <c r="AQA17" s="503"/>
      <c r="AQB17" s="22">
        <v>917</v>
      </c>
      <c r="AQC17" s="501">
        <v>871</v>
      </c>
      <c r="AQD17" s="502"/>
      <c r="AQE17" s="502"/>
      <c r="AQF17" s="503"/>
      <c r="AQG17" s="22">
        <v>943</v>
      </c>
      <c r="AQH17" s="501">
        <v>726</v>
      </c>
      <c r="AQI17" s="502"/>
      <c r="AQJ17" s="502"/>
      <c r="AQK17" s="503"/>
      <c r="AQL17" s="22">
        <v>815</v>
      </c>
      <c r="AQM17" s="501">
        <v>766</v>
      </c>
      <c r="AQN17" s="502"/>
      <c r="AQO17" s="502"/>
      <c r="AQP17" s="503"/>
      <c r="AQQ17" s="22">
        <v>804</v>
      </c>
      <c r="AQR17" s="479"/>
      <c r="AQS17" s="492"/>
      <c r="AQT17" s="20"/>
      <c r="AQU17" s="457" t="s">
        <v>858</v>
      </c>
      <c r="AQV17" s="459"/>
      <c r="AQW17" s="459"/>
      <c r="AQX17" s="436" t="s">
        <v>4</v>
      </c>
      <c r="AQY17" s="501">
        <v>728</v>
      </c>
      <c r="AQZ17" s="502"/>
      <c r="ARA17" s="502"/>
      <c r="ARB17" s="503"/>
      <c r="ARC17" s="22">
        <v>769</v>
      </c>
      <c r="ARD17" s="501">
        <v>669</v>
      </c>
      <c r="ARE17" s="502"/>
      <c r="ARF17" s="502"/>
      <c r="ARG17" s="503"/>
      <c r="ARH17" s="22">
        <v>733</v>
      </c>
      <c r="ARI17" s="501">
        <v>689</v>
      </c>
      <c r="ARJ17" s="502"/>
      <c r="ARK17" s="502"/>
      <c r="ARL17" s="503"/>
      <c r="ARM17" s="22">
        <v>737</v>
      </c>
      <c r="ARN17" s="501">
        <v>883</v>
      </c>
      <c r="ARO17" s="502"/>
      <c r="ARP17" s="502"/>
      <c r="ARQ17" s="503"/>
      <c r="ARR17" s="22">
        <v>901</v>
      </c>
      <c r="ARS17" s="479"/>
      <c r="ART17" s="492"/>
      <c r="ARU17" s="20"/>
      <c r="ARV17" s="457" t="s">
        <v>858</v>
      </c>
      <c r="ARW17" s="459"/>
      <c r="ARX17" s="459"/>
      <c r="ARY17" s="436" t="s">
        <v>4</v>
      </c>
      <c r="ARZ17" s="501">
        <v>970</v>
      </c>
      <c r="ASA17" s="502"/>
      <c r="ASB17" s="502"/>
      <c r="ASC17" s="503"/>
      <c r="ASD17" s="22">
        <v>1020</v>
      </c>
      <c r="ASE17" s="501">
        <v>860</v>
      </c>
      <c r="ASF17" s="502"/>
      <c r="ASG17" s="502"/>
      <c r="ASH17" s="503"/>
      <c r="ASI17" s="22">
        <v>921</v>
      </c>
      <c r="ASJ17" s="501">
        <v>850</v>
      </c>
      <c r="ASK17" s="502"/>
      <c r="ASL17" s="502"/>
      <c r="ASM17" s="503"/>
      <c r="ASN17" s="22">
        <v>930</v>
      </c>
      <c r="ASO17" s="501">
        <v>975</v>
      </c>
      <c r="ASP17" s="502"/>
      <c r="ASQ17" s="502"/>
      <c r="ASR17" s="503"/>
      <c r="ASS17" s="22">
        <v>992</v>
      </c>
      <c r="AST17" s="479"/>
      <c r="ASU17" s="492"/>
      <c r="ASV17" s="20"/>
      <c r="ASW17" s="457" t="s">
        <v>858</v>
      </c>
      <c r="ASX17" s="459"/>
      <c r="ASY17" s="459"/>
      <c r="ASZ17" s="436" t="s">
        <v>4</v>
      </c>
      <c r="ATA17" s="501">
        <v>955</v>
      </c>
      <c r="ATB17" s="502"/>
      <c r="ATC17" s="502"/>
      <c r="ATD17" s="503"/>
      <c r="ATE17" s="22">
        <v>1053</v>
      </c>
      <c r="ATF17" s="501">
        <v>908</v>
      </c>
      <c r="ATG17" s="502"/>
      <c r="ATH17" s="502"/>
      <c r="ATI17" s="503"/>
      <c r="ATJ17" s="22">
        <v>913</v>
      </c>
      <c r="ATK17" s="501">
        <v>815</v>
      </c>
      <c r="ATL17" s="502"/>
      <c r="ATM17" s="502"/>
      <c r="ATN17" s="503"/>
      <c r="ATO17" s="22">
        <v>870</v>
      </c>
      <c r="ATP17" s="501">
        <v>995</v>
      </c>
      <c r="ATQ17" s="502"/>
      <c r="ATR17" s="502"/>
      <c r="ATS17" s="503"/>
      <c r="ATT17" s="22">
        <v>997</v>
      </c>
      <c r="ATU17" s="479"/>
      <c r="ATV17" s="492"/>
      <c r="ATW17" s="20"/>
      <c r="ATX17" s="457" t="s">
        <v>858</v>
      </c>
      <c r="ATY17" s="459"/>
      <c r="ATZ17" s="459"/>
      <c r="AUA17" s="436" t="s">
        <v>4</v>
      </c>
      <c r="AUB17" s="501">
        <v>987</v>
      </c>
      <c r="AUC17" s="502"/>
      <c r="AUD17" s="502"/>
      <c r="AUE17" s="503"/>
      <c r="AUF17" s="22">
        <v>1011</v>
      </c>
      <c r="AUG17" s="501">
        <v>760</v>
      </c>
      <c r="AUH17" s="502"/>
      <c r="AUI17" s="502"/>
      <c r="AUJ17" s="503"/>
      <c r="AUK17" s="22">
        <v>848</v>
      </c>
      <c r="AUL17" s="501">
        <v>850</v>
      </c>
      <c r="AUM17" s="502"/>
      <c r="AUN17" s="502"/>
      <c r="AUO17" s="503"/>
      <c r="AUP17" s="22">
        <v>1022</v>
      </c>
      <c r="AUQ17" s="501">
        <v>806</v>
      </c>
      <c r="AUR17" s="502"/>
      <c r="AUS17" s="502"/>
      <c r="AUT17" s="503"/>
      <c r="AUU17" s="22">
        <v>967</v>
      </c>
      <c r="AUV17" s="479"/>
      <c r="AUW17" s="492"/>
      <c r="AUX17" s="20"/>
      <c r="AUY17" s="457" t="s">
        <v>858</v>
      </c>
      <c r="AUZ17" s="459"/>
      <c r="AVA17" s="459"/>
      <c r="AVB17" s="436" t="s">
        <v>4</v>
      </c>
      <c r="AVC17" s="501">
        <f>1045-94</f>
        <v>951</v>
      </c>
      <c r="AVD17" s="502"/>
      <c r="AVE17" s="502"/>
      <c r="AVF17" s="503"/>
      <c r="AVG17" s="22">
        <v>1016</v>
      </c>
      <c r="AVH17" s="501">
        <v>1001</v>
      </c>
      <c r="AVI17" s="502"/>
      <c r="AVJ17" s="502"/>
      <c r="AVK17" s="503"/>
      <c r="AVL17" s="22">
        <v>1014</v>
      </c>
      <c r="AVM17" s="501">
        <v>961</v>
      </c>
      <c r="AVN17" s="502"/>
      <c r="AVO17" s="502"/>
      <c r="AVP17" s="503"/>
      <c r="AVQ17" s="22">
        <v>1032</v>
      </c>
      <c r="AVR17" s="501">
        <v>887</v>
      </c>
      <c r="AVS17" s="502"/>
      <c r="AVT17" s="502"/>
      <c r="AVU17" s="503"/>
      <c r="AVV17" s="22">
        <v>894</v>
      </c>
      <c r="AVW17" s="479"/>
      <c r="AVX17" s="492"/>
      <c r="AVY17" s="20"/>
      <c r="AVZ17" s="457" t="s">
        <v>858</v>
      </c>
      <c r="AWA17" s="459"/>
      <c r="AWB17" s="459"/>
      <c r="AWC17" s="436" t="s">
        <v>4</v>
      </c>
      <c r="AWD17" s="501">
        <v>846</v>
      </c>
      <c r="AWE17" s="502"/>
      <c r="AWF17" s="502"/>
      <c r="AWG17" s="503"/>
      <c r="AWH17" s="22">
        <v>866</v>
      </c>
      <c r="AWI17" s="501">
        <v>877</v>
      </c>
      <c r="AWJ17" s="502"/>
      <c r="AWK17" s="502"/>
      <c r="AWL17" s="503"/>
      <c r="AWM17" s="22">
        <v>883</v>
      </c>
      <c r="AWN17" s="501">
        <v>937</v>
      </c>
      <c r="AWO17" s="502"/>
      <c r="AWP17" s="502"/>
      <c r="AWQ17" s="503"/>
      <c r="AWR17" s="22">
        <v>981</v>
      </c>
      <c r="AWS17" s="501">
        <v>841</v>
      </c>
      <c r="AWT17" s="502"/>
      <c r="AWU17" s="502"/>
      <c r="AWV17" s="503"/>
      <c r="AWW17" s="22">
        <v>987</v>
      </c>
      <c r="AWX17" s="479"/>
      <c r="AWY17" s="492"/>
      <c r="AWZ17" s="20"/>
      <c r="AXA17" s="457" t="s">
        <v>858</v>
      </c>
      <c r="AXB17" s="459"/>
      <c r="AXC17" s="459"/>
      <c r="AXD17" s="436" t="s">
        <v>4</v>
      </c>
      <c r="AXE17" s="501">
        <v>835.9</v>
      </c>
      <c r="AXF17" s="502"/>
      <c r="AXG17" s="502"/>
      <c r="AXH17" s="503"/>
      <c r="AXI17" s="22">
        <v>949</v>
      </c>
      <c r="AXJ17" s="501">
        <v>871</v>
      </c>
      <c r="AXK17" s="502"/>
      <c r="AXL17" s="502"/>
      <c r="AXM17" s="503"/>
      <c r="AXN17" s="22">
        <v>976</v>
      </c>
      <c r="AXO17" s="501">
        <v>847</v>
      </c>
      <c r="AXP17" s="502"/>
      <c r="AXQ17" s="502"/>
      <c r="AXR17" s="503"/>
      <c r="AXS17" s="22">
        <v>839</v>
      </c>
      <c r="AXT17" s="501">
        <v>747</v>
      </c>
      <c r="AXU17" s="502"/>
      <c r="AXV17" s="502"/>
      <c r="AXW17" s="503"/>
      <c r="AXX17" s="22">
        <v>747</v>
      </c>
      <c r="AXY17" s="479"/>
      <c r="AXZ17" s="492"/>
      <c r="AYA17" s="20"/>
      <c r="AYB17" s="457" t="s">
        <v>858</v>
      </c>
      <c r="AYC17" s="459"/>
      <c r="AYD17" s="459"/>
      <c r="AYE17" s="436" t="s">
        <v>4</v>
      </c>
      <c r="AYF17" s="501">
        <v>842</v>
      </c>
      <c r="AYG17" s="502"/>
      <c r="AYH17" s="502"/>
      <c r="AYI17" s="503"/>
      <c r="AYJ17" s="22">
        <v>1025</v>
      </c>
      <c r="AYK17" s="501">
        <v>841</v>
      </c>
      <c r="AYL17" s="502"/>
      <c r="AYM17" s="502"/>
      <c r="AYN17" s="503"/>
      <c r="AYO17" s="22">
        <v>877</v>
      </c>
      <c r="AYP17" s="501">
        <v>729</v>
      </c>
      <c r="AYQ17" s="502"/>
      <c r="AYR17" s="502"/>
      <c r="AYS17" s="503"/>
      <c r="AYT17" s="22">
        <v>851</v>
      </c>
      <c r="AYU17" s="501">
        <v>941</v>
      </c>
      <c r="AYV17" s="502"/>
      <c r="AYW17" s="502"/>
      <c r="AYX17" s="503"/>
      <c r="AYY17" s="22">
        <v>993</v>
      </c>
      <c r="AYZ17" s="479"/>
      <c r="AZA17" s="492"/>
      <c r="AZB17" s="20"/>
      <c r="AZC17" s="457" t="s">
        <v>858</v>
      </c>
      <c r="AZD17" s="459"/>
      <c r="AZE17" s="459"/>
      <c r="AZF17" s="436" t="s">
        <v>4</v>
      </c>
      <c r="AZG17" s="501">
        <v>997</v>
      </c>
      <c r="AZH17" s="502"/>
      <c r="AZI17" s="502"/>
      <c r="AZJ17" s="503"/>
      <c r="AZK17" s="22">
        <v>1025</v>
      </c>
      <c r="AZL17" s="501">
        <v>932</v>
      </c>
      <c r="AZM17" s="502"/>
      <c r="AZN17" s="502"/>
      <c r="AZO17" s="503"/>
      <c r="AZP17" s="22">
        <v>1015</v>
      </c>
      <c r="AZQ17" s="501">
        <v>951</v>
      </c>
      <c r="AZR17" s="502"/>
      <c r="AZS17" s="502"/>
      <c r="AZT17" s="503"/>
      <c r="AZU17" s="22">
        <v>961</v>
      </c>
      <c r="AZV17" s="501">
        <v>928</v>
      </c>
      <c r="AZW17" s="502"/>
      <c r="AZX17" s="502"/>
      <c r="AZY17" s="503"/>
      <c r="AZZ17" s="22">
        <v>940</v>
      </c>
      <c r="BAA17" s="478"/>
      <c r="BAB17" s="492"/>
      <c r="BAC17" s="20"/>
      <c r="BAD17" s="457" t="s">
        <v>858</v>
      </c>
      <c r="BAE17" s="459"/>
      <c r="BAF17" s="459"/>
      <c r="BAG17" s="436" t="s">
        <v>4</v>
      </c>
      <c r="BAH17" s="501">
        <v>748</v>
      </c>
      <c r="BAI17" s="502"/>
      <c r="BAJ17" s="502"/>
      <c r="BAK17" s="503"/>
      <c r="BAL17" s="22">
        <v>912</v>
      </c>
      <c r="BAM17" s="501">
        <v>918</v>
      </c>
      <c r="BAN17" s="502"/>
      <c r="BAO17" s="502"/>
      <c r="BAP17" s="503"/>
      <c r="BAQ17" s="22">
        <v>983</v>
      </c>
      <c r="BAR17" s="501">
        <v>866</v>
      </c>
      <c r="BAS17" s="502"/>
      <c r="BAT17" s="502"/>
      <c r="BAU17" s="503"/>
      <c r="BAV17" s="22">
        <v>1048</v>
      </c>
      <c r="BAW17" s="501">
        <v>881</v>
      </c>
      <c r="BAX17" s="502"/>
      <c r="BAY17" s="502"/>
      <c r="BAZ17" s="503"/>
      <c r="BBA17" s="22">
        <v>944</v>
      </c>
      <c r="BBB17" s="479"/>
      <c r="BBC17" s="492"/>
      <c r="BBD17" s="20"/>
      <c r="BBE17" s="457" t="s">
        <v>858</v>
      </c>
      <c r="BBF17" s="459"/>
      <c r="BBG17" s="459"/>
      <c r="BBH17" s="436" t="s">
        <v>4</v>
      </c>
      <c r="BBI17" s="501">
        <v>911</v>
      </c>
      <c r="BBJ17" s="502"/>
      <c r="BBK17" s="502"/>
      <c r="BBL17" s="503"/>
      <c r="BBM17" s="22">
        <v>947</v>
      </c>
      <c r="BBN17" s="501">
        <v>805</v>
      </c>
      <c r="BBO17" s="502"/>
      <c r="BBP17" s="502"/>
      <c r="BBQ17" s="503"/>
      <c r="BBR17" s="22">
        <v>865</v>
      </c>
      <c r="BBS17" s="501">
        <v>771</v>
      </c>
      <c r="BBT17" s="502"/>
      <c r="BBU17" s="502"/>
      <c r="BBV17" s="503"/>
      <c r="BBW17" s="22">
        <v>800</v>
      </c>
      <c r="BBX17" s="501">
        <v>954</v>
      </c>
      <c r="BBY17" s="502"/>
      <c r="BBZ17" s="502"/>
      <c r="BCA17" s="503"/>
      <c r="BCB17" s="22">
        <v>960</v>
      </c>
      <c r="BCC17" s="479"/>
      <c r="BCD17" s="492"/>
      <c r="BCE17" s="20"/>
      <c r="BCF17" s="457" t="s">
        <v>858</v>
      </c>
      <c r="BCG17" s="459"/>
      <c r="BCH17" s="459"/>
      <c r="BCI17" s="436" t="s">
        <v>4</v>
      </c>
      <c r="BCJ17" s="501">
        <f>935-107</f>
        <v>828</v>
      </c>
      <c r="BCK17" s="502"/>
      <c r="BCL17" s="502"/>
      <c r="BCM17" s="503"/>
      <c r="BCN17" s="22">
        <v>974</v>
      </c>
      <c r="BCO17" s="501">
        <v>832</v>
      </c>
      <c r="BCP17" s="502"/>
      <c r="BCQ17" s="502"/>
      <c r="BCR17" s="503"/>
      <c r="BCS17" s="22">
        <v>924</v>
      </c>
      <c r="BCT17" s="501">
        <v>838</v>
      </c>
      <c r="BCU17" s="502"/>
      <c r="BCV17" s="502"/>
      <c r="BCW17" s="503"/>
      <c r="BCX17" s="22">
        <v>897</v>
      </c>
      <c r="BCY17" s="501">
        <v>831</v>
      </c>
      <c r="BCZ17" s="502"/>
      <c r="BDA17" s="502"/>
      <c r="BDB17" s="503"/>
      <c r="BDC17" s="22">
        <v>877</v>
      </c>
      <c r="BDD17" s="479"/>
      <c r="BDE17" s="492"/>
      <c r="BDF17" s="20"/>
      <c r="BDG17" s="457" t="s">
        <v>858</v>
      </c>
      <c r="BDH17" s="459"/>
      <c r="BDI17" s="459"/>
      <c r="BDJ17" s="436" t="s">
        <v>4</v>
      </c>
      <c r="BDK17" s="501">
        <v>759</v>
      </c>
      <c r="BDL17" s="502"/>
      <c r="BDM17" s="502"/>
      <c r="BDN17" s="503"/>
      <c r="BDO17" s="22">
        <v>769</v>
      </c>
      <c r="BDP17" s="501">
        <v>848</v>
      </c>
      <c r="BDQ17" s="502"/>
      <c r="BDR17" s="502"/>
      <c r="BDS17" s="503"/>
      <c r="BDT17" s="22">
        <v>858</v>
      </c>
      <c r="BDU17" s="501">
        <v>848</v>
      </c>
      <c r="BDV17" s="502"/>
      <c r="BDW17" s="502"/>
      <c r="BDX17" s="503"/>
      <c r="BDY17" s="22">
        <v>898</v>
      </c>
      <c r="BDZ17" s="501">
        <v>909</v>
      </c>
      <c r="BEA17" s="502"/>
      <c r="BEB17" s="502"/>
      <c r="BEC17" s="503"/>
      <c r="BED17" s="22">
        <v>964</v>
      </c>
      <c r="BEE17" s="479"/>
      <c r="BEF17" s="492"/>
      <c r="BEG17" s="20"/>
      <c r="BEH17" s="457" t="s">
        <v>858</v>
      </c>
      <c r="BEI17" s="459"/>
      <c r="BEJ17" s="459"/>
      <c r="BEK17" s="436" t="s">
        <v>4</v>
      </c>
      <c r="BEL17" s="501">
        <v>848</v>
      </c>
      <c r="BEM17" s="502"/>
      <c r="BEN17" s="502"/>
      <c r="BEO17" s="503"/>
      <c r="BEP17" s="22">
        <v>905</v>
      </c>
      <c r="BEQ17" s="501">
        <v>893</v>
      </c>
      <c r="BER17" s="502"/>
      <c r="BES17" s="502"/>
      <c r="BET17" s="503"/>
      <c r="BEU17" s="22">
        <v>962</v>
      </c>
      <c r="BEV17" s="501">
        <v>838</v>
      </c>
      <c r="BEW17" s="502"/>
      <c r="BEX17" s="502"/>
      <c r="BEY17" s="503"/>
      <c r="BEZ17" s="22">
        <v>871</v>
      </c>
      <c r="BFA17" s="501">
        <v>818</v>
      </c>
      <c r="BFB17" s="502"/>
      <c r="BFC17" s="502"/>
      <c r="BFD17" s="503"/>
      <c r="BFE17" s="22">
        <v>830</v>
      </c>
      <c r="BFF17" s="479"/>
      <c r="BFG17" s="492"/>
      <c r="BFH17" s="20"/>
      <c r="BFI17" s="457" t="s">
        <v>858</v>
      </c>
      <c r="BFJ17" s="459"/>
      <c r="BFK17" s="459"/>
      <c r="BFL17" s="436" t="s">
        <v>4</v>
      </c>
      <c r="BFM17" s="501">
        <v>748</v>
      </c>
      <c r="BFN17" s="502"/>
      <c r="BFO17" s="502"/>
      <c r="BFP17" s="503"/>
      <c r="BFQ17" s="22">
        <v>759</v>
      </c>
      <c r="BFR17" s="501">
        <v>674</v>
      </c>
      <c r="BFS17" s="502"/>
      <c r="BFT17" s="502"/>
      <c r="BFU17" s="503"/>
      <c r="BFV17" s="22">
        <v>740</v>
      </c>
      <c r="BFW17" s="501"/>
      <c r="BFX17" s="502"/>
      <c r="BFY17" s="502"/>
      <c r="BFZ17" s="503"/>
      <c r="BGA17" s="22"/>
      <c r="BGB17" s="501"/>
      <c r="BGC17" s="502"/>
      <c r="BGD17" s="502"/>
      <c r="BGE17" s="503"/>
      <c r="BGF17" s="22"/>
    </row>
    <row r="18" spans="1:1540" ht="56.25" customHeight="1" x14ac:dyDescent="0.4">
      <c r="A18" s="478"/>
      <c r="B18" s="492"/>
      <c r="C18" s="23"/>
      <c r="D18" s="519" t="s">
        <v>859</v>
      </c>
      <c r="E18" s="520"/>
      <c r="F18" s="520"/>
      <c r="G18" s="436" t="s">
        <v>15</v>
      </c>
      <c r="H18" s="501">
        <v>224</v>
      </c>
      <c r="I18" s="502"/>
      <c r="J18" s="502"/>
      <c r="K18" s="503"/>
      <c r="L18" s="22">
        <v>94.3</v>
      </c>
      <c r="M18" s="501">
        <v>224</v>
      </c>
      <c r="N18" s="502"/>
      <c r="O18" s="502"/>
      <c r="P18" s="503"/>
      <c r="Q18" s="22">
        <v>141</v>
      </c>
      <c r="R18" s="501">
        <v>224</v>
      </c>
      <c r="S18" s="502"/>
      <c r="T18" s="502"/>
      <c r="U18" s="503"/>
      <c r="V18" s="22">
        <v>142</v>
      </c>
      <c r="W18" s="501">
        <v>224</v>
      </c>
      <c r="X18" s="502"/>
      <c r="Y18" s="502"/>
      <c r="Z18" s="503"/>
      <c r="AA18" s="22">
        <v>88</v>
      </c>
      <c r="AB18" s="479"/>
      <c r="AC18" s="492"/>
      <c r="AD18" s="23"/>
      <c r="AE18" s="519" t="s">
        <v>859</v>
      </c>
      <c r="AF18" s="520"/>
      <c r="AG18" s="520"/>
      <c r="AH18" s="436" t="s">
        <v>15</v>
      </c>
      <c r="AI18" s="501">
        <v>224</v>
      </c>
      <c r="AJ18" s="502"/>
      <c r="AK18" s="502"/>
      <c r="AL18" s="503"/>
      <c r="AM18" s="22">
        <v>0</v>
      </c>
      <c r="AN18" s="501">
        <v>224</v>
      </c>
      <c r="AO18" s="502"/>
      <c r="AP18" s="502"/>
      <c r="AQ18" s="503"/>
      <c r="AR18" s="22">
        <v>176</v>
      </c>
      <c r="AS18" s="501">
        <v>224</v>
      </c>
      <c r="AT18" s="502"/>
      <c r="AU18" s="502"/>
      <c r="AV18" s="503"/>
      <c r="AW18" s="22">
        <f>128.4</f>
        <v>128.4</v>
      </c>
      <c r="AX18" s="501">
        <v>224</v>
      </c>
      <c r="AY18" s="502"/>
      <c r="AZ18" s="502"/>
      <c r="BA18" s="503"/>
      <c r="BB18" s="22">
        <v>136</v>
      </c>
      <c r="BC18" s="479"/>
      <c r="BD18" s="492"/>
      <c r="BE18" s="23"/>
      <c r="BF18" s="519" t="s">
        <v>859</v>
      </c>
      <c r="BG18" s="520"/>
      <c r="BH18" s="520"/>
      <c r="BI18" s="436" t="s">
        <v>15</v>
      </c>
      <c r="BJ18" s="501">
        <f>151.2+5</f>
        <v>156.19999999999999</v>
      </c>
      <c r="BK18" s="502"/>
      <c r="BL18" s="502"/>
      <c r="BM18" s="503"/>
      <c r="BN18" s="22">
        <v>50</v>
      </c>
      <c r="BO18" s="501">
        <v>190</v>
      </c>
      <c r="BP18" s="502"/>
      <c r="BQ18" s="502"/>
      <c r="BR18" s="503"/>
      <c r="BS18" s="22">
        <v>95</v>
      </c>
      <c r="BT18" s="501">
        <v>224</v>
      </c>
      <c r="BU18" s="502"/>
      <c r="BV18" s="502"/>
      <c r="BW18" s="503"/>
      <c r="BX18" s="22">
        <v>119</v>
      </c>
      <c r="BY18" s="501">
        <v>224</v>
      </c>
      <c r="BZ18" s="502"/>
      <c r="CA18" s="502"/>
      <c r="CB18" s="503"/>
      <c r="CC18" s="22">
        <v>71.2</v>
      </c>
      <c r="CD18" s="479"/>
      <c r="CE18" s="492"/>
      <c r="CF18" s="23"/>
      <c r="CG18" s="519" t="s">
        <v>859</v>
      </c>
      <c r="CH18" s="520"/>
      <c r="CI18" s="520"/>
      <c r="CJ18" s="436" t="s">
        <v>15</v>
      </c>
      <c r="CK18" s="501">
        <f>5+219.2</f>
        <v>224.2</v>
      </c>
      <c r="CL18" s="502"/>
      <c r="CM18" s="502"/>
      <c r="CN18" s="503"/>
      <c r="CO18" s="22">
        <v>102</v>
      </c>
      <c r="CP18" s="501">
        <v>224</v>
      </c>
      <c r="CQ18" s="502"/>
      <c r="CR18" s="502"/>
      <c r="CS18" s="503"/>
      <c r="CT18" s="22">
        <v>115</v>
      </c>
      <c r="CU18" s="501">
        <v>224</v>
      </c>
      <c r="CV18" s="502"/>
      <c r="CW18" s="502"/>
      <c r="CX18" s="503"/>
      <c r="CY18" s="22">
        <v>0</v>
      </c>
      <c r="CZ18" s="501">
        <v>198</v>
      </c>
      <c r="DA18" s="502"/>
      <c r="DB18" s="502"/>
      <c r="DC18" s="503"/>
      <c r="DD18" s="22">
        <v>88</v>
      </c>
      <c r="DE18" s="479"/>
      <c r="DF18" s="492"/>
      <c r="DG18" s="23"/>
      <c r="DH18" s="519" t="s">
        <v>859</v>
      </c>
      <c r="DI18" s="520"/>
      <c r="DJ18" s="520"/>
      <c r="DK18" s="436" t="s">
        <v>15</v>
      </c>
      <c r="DL18" s="501">
        <v>224</v>
      </c>
      <c r="DM18" s="502"/>
      <c r="DN18" s="502"/>
      <c r="DO18" s="503"/>
      <c r="DP18" s="22">
        <v>51</v>
      </c>
      <c r="DQ18" s="501">
        <v>224</v>
      </c>
      <c r="DR18" s="502"/>
      <c r="DS18" s="502"/>
      <c r="DT18" s="503"/>
      <c r="DU18" s="22">
        <v>110</v>
      </c>
      <c r="DV18" s="501">
        <v>224</v>
      </c>
      <c r="DW18" s="502"/>
      <c r="DX18" s="502"/>
      <c r="DY18" s="503"/>
      <c r="DZ18" s="22">
        <v>152</v>
      </c>
      <c r="EA18" s="501">
        <f>5+186.7</f>
        <v>191.7</v>
      </c>
      <c r="EB18" s="502"/>
      <c r="EC18" s="502"/>
      <c r="ED18" s="503"/>
      <c r="EE18" s="22">
        <v>95</v>
      </c>
      <c r="EF18" s="479"/>
      <c r="EG18" s="492"/>
      <c r="EH18" s="23"/>
      <c r="EI18" s="519" t="s">
        <v>859</v>
      </c>
      <c r="EJ18" s="520"/>
      <c r="EK18" s="520"/>
      <c r="EL18" s="436" t="s">
        <v>15</v>
      </c>
      <c r="EM18" s="501">
        <v>192</v>
      </c>
      <c r="EN18" s="502"/>
      <c r="EO18" s="502"/>
      <c r="EP18" s="503"/>
      <c r="EQ18" s="22">
        <v>81</v>
      </c>
      <c r="ER18" s="501">
        <v>192</v>
      </c>
      <c r="ES18" s="502"/>
      <c r="ET18" s="502"/>
      <c r="EU18" s="503"/>
      <c r="EV18" s="22">
        <v>96</v>
      </c>
      <c r="EW18" s="501">
        <v>224</v>
      </c>
      <c r="EX18" s="502"/>
      <c r="EY18" s="502"/>
      <c r="EZ18" s="503"/>
      <c r="FA18" s="22">
        <v>9</v>
      </c>
      <c r="FB18" s="501">
        <v>224</v>
      </c>
      <c r="FC18" s="502"/>
      <c r="FD18" s="502"/>
      <c r="FE18" s="503"/>
      <c r="FF18" s="22">
        <v>99</v>
      </c>
      <c r="FG18" s="479"/>
      <c r="FH18" s="492"/>
      <c r="FI18" s="23"/>
      <c r="FJ18" s="519" t="s">
        <v>859</v>
      </c>
      <c r="FK18" s="520"/>
      <c r="FL18" s="520"/>
      <c r="FM18" s="436" t="s">
        <v>15</v>
      </c>
      <c r="FN18" s="501">
        <v>224</v>
      </c>
      <c r="FO18" s="502"/>
      <c r="FP18" s="502"/>
      <c r="FQ18" s="503"/>
      <c r="FR18" s="22">
        <v>101</v>
      </c>
      <c r="FS18" s="501">
        <v>224</v>
      </c>
      <c r="FT18" s="502"/>
      <c r="FU18" s="502"/>
      <c r="FV18" s="503"/>
      <c r="FW18" s="22">
        <v>123</v>
      </c>
      <c r="FX18" s="501">
        <v>224</v>
      </c>
      <c r="FY18" s="502"/>
      <c r="FZ18" s="502"/>
      <c r="GA18" s="503"/>
      <c r="GB18" s="22">
        <v>146</v>
      </c>
      <c r="GC18" s="501">
        <v>224</v>
      </c>
      <c r="GD18" s="502"/>
      <c r="GE18" s="502"/>
      <c r="GF18" s="503"/>
      <c r="GG18" s="22">
        <v>151</v>
      </c>
      <c r="GH18" s="479"/>
      <c r="GI18" s="492"/>
      <c r="GJ18" s="23"/>
      <c r="GK18" s="519" t="s">
        <v>859</v>
      </c>
      <c r="GL18" s="520"/>
      <c r="GM18" s="520"/>
      <c r="GN18" s="436" t="s">
        <v>15</v>
      </c>
      <c r="GO18" s="501">
        <v>224</v>
      </c>
      <c r="GP18" s="502"/>
      <c r="GQ18" s="502"/>
      <c r="GR18" s="503"/>
      <c r="GS18" s="22">
        <v>142</v>
      </c>
      <c r="GT18" s="501">
        <v>192</v>
      </c>
      <c r="GU18" s="502"/>
      <c r="GV18" s="502"/>
      <c r="GW18" s="503"/>
      <c r="GX18" s="22">
        <v>107</v>
      </c>
      <c r="GY18" s="501">
        <f>5+186.7</f>
        <v>191.7</v>
      </c>
      <c r="GZ18" s="502"/>
      <c r="HA18" s="502"/>
      <c r="HB18" s="503"/>
      <c r="HC18" s="22">
        <v>79</v>
      </c>
      <c r="HD18" s="501">
        <v>192</v>
      </c>
      <c r="HE18" s="502"/>
      <c r="HF18" s="502"/>
      <c r="HG18" s="503"/>
      <c r="HH18" s="22">
        <v>107</v>
      </c>
      <c r="HI18" s="479"/>
      <c r="HJ18" s="492"/>
      <c r="HK18" s="23"/>
      <c r="HL18" s="519" t="s">
        <v>859</v>
      </c>
      <c r="HM18" s="520"/>
      <c r="HN18" s="520"/>
      <c r="HO18" s="436" t="s">
        <v>15</v>
      </c>
      <c r="HP18" s="501">
        <v>192</v>
      </c>
      <c r="HQ18" s="502"/>
      <c r="HR18" s="502"/>
      <c r="HS18" s="503"/>
      <c r="HT18" s="22">
        <v>79</v>
      </c>
      <c r="HU18" s="501">
        <v>192</v>
      </c>
      <c r="HV18" s="502"/>
      <c r="HW18" s="502"/>
      <c r="HX18" s="503"/>
      <c r="HY18" s="22">
        <v>131</v>
      </c>
      <c r="HZ18" s="501">
        <v>192</v>
      </c>
      <c r="IA18" s="502"/>
      <c r="IB18" s="502"/>
      <c r="IC18" s="503"/>
      <c r="ID18" s="22">
        <v>81</v>
      </c>
      <c r="IE18" s="501">
        <v>192</v>
      </c>
      <c r="IF18" s="502"/>
      <c r="IG18" s="502"/>
      <c r="IH18" s="503"/>
      <c r="II18" s="22">
        <v>68</v>
      </c>
      <c r="IJ18" s="478"/>
      <c r="IK18" s="492"/>
      <c r="IL18" s="23"/>
      <c r="IM18" s="519" t="s">
        <v>859</v>
      </c>
      <c r="IN18" s="520"/>
      <c r="IO18" s="520"/>
      <c r="IP18" s="436" t="s">
        <v>15</v>
      </c>
      <c r="IQ18" s="501">
        <v>192</v>
      </c>
      <c r="IR18" s="502"/>
      <c r="IS18" s="502"/>
      <c r="IT18" s="503"/>
      <c r="IU18" s="22">
        <f>71.4</f>
        <v>71.400000000000006</v>
      </c>
      <c r="IV18" s="501">
        <v>166</v>
      </c>
      <c r="IW18" s="502"/>
      <c r="IX18" s="502"/>
      <c r="IY18" s="503"/>
      <c r="IZ18" s="22">
        <v>71</v>
      </c>
      <c r="JA18" s="501">
        <v>166</v>
      </c>
      <c r="JB18" s="502"/>
      <c r="JC18" s="502"/>
      <c r="JD18" s="503"/>
      <c r="JE18" s="22">
        <v>5</v>
      </c>
      <c r="JF18" s="501">
        <v>192</v>
      </c>
      <c r="JG18" s="502"/>
      <c r="JH18" s="502"/>
      <c r="JI18" s="503"/>
      <c r="JJ18" s="22">
        <v>140</v>
      </c>
      <c r="JK18" s="479"/>
      <c r="JL18" s="492"/>
      <c r="JM18" s="23"/>
      <c r="JN18" s="519" t="s">
        <v>859</v>
      </c>
      <c r="JO18" s="520"/>
      <c r="JP18" s="520"/>
      <c r="JQ18" s="436" t="s">
        <v>15</v>
      </c>
      <c r="JR18" s="501">
        <v>192</v>
      </c>
      <c r="JS18" s="502"/>
      <c r="JT18" s="502"/>
      <c r="JU18" s="503"/>
      <c r="JV18" s="22">
        <v>153</v>
      </c>
      <c r="JW18" s="501">
        <v>192</v>
      </c>
      <c r="JX18" s="502"/>
      <c r="JY18" s="502"/>
      <c r="JZ18" s="503"/>
      <c r="KA18" s="22">
        <v>133</v>
      </c>
      <c r="KB18" s="501">
        <f>5+186.7</f>
        <v>191.7</v>
      </c>
      <c r="KC18" s="502"/>
      <c r="KD18" s="502"/>
      <c r="KE18" s="503"/>
      <c r="KF18" s="22">
        <v>136</v>
      </c>
      <c r="KG18" s="501">
        <v>192</v>
      </c>
      <c r="KH18" s="502"/>
      <c r="KI18" s="502"/>
      <c r="KJ18" s="503"/>
      <c r="KK18" s="22">
        <v>175</v>
      </c>
      <c r="KL18" s="479"/>
      <c r="KM18" s="492"/>
      <c r="KN18" s="23"/>
      <c r="KO18" s="519" t="s">
        <v>859</v>
      </c>
      <c r="KP18" s="520"/>
      <c r="KQ18" s="520"/>
      <c r="KR18" s="436" t="s">
        <v>15</v>
      </c>
      <c r="KS18" s="501">
        <v>192</v>
      </c>
      <c r="KT18" s="502"/>
      <c r="KU18" s="502"/>
      <c r="KV18" s="503"/>
      <c r="KW18" s="22">
        <v>157</v>
      </c>
      <c r="KX18" s="501">
        <v>192</v>
      </c>
      <c r="KY18" s="502"/>
      <c r="KZ18" s="502"/>
      <c r="LA18" s="503"/>
      <c r="LB18" s="22">
        <v>127</v>
      </c>
      <c r="LC18" s="501">
        <v>192</v>
      </c>
      <c r="LD18" s="502"/>
      <c r="LE18" s="502"/>
      <c r="LF18" s="503"/>
      <c r="LG18" s="22">
        <v>132</v>
      </c>
      <c r="LH18" s="501">
        <v>192</v>
      </c>
      <c r="LI18" s="502"/>
      <c r="LJ18" s="502"/>
      <c r="LK18" s="503"/>
      <c r="LL18" s="22">
        <v>162</v>
      </c>
      <c r="LM18" s="479"/>
      <c r="LN18" s="492"/>
      <c r="LO18" s="23"/>
      <c r="LP18" s="519" t="s">
        <v>859</v>
      </c>
      <c r="LQ18" s="520"/>
      <c r="LR18" s="520"/>
      <c r="LS18" s="436" t="s">
        <v>15</v>
      </c>
      <c r="LT18" s="501">
        <v>192</v>
      </c>
      <c r="LU18" s="502"/>
      <c r="LV18" s="502"/>
      <c r="LW18" s="503"/>
      <c r="LX18" s="22">
        <v>146</v>
      </c>
      <c r="LY18" s="501">
        <v>124</v>
      </c>
      <c r="LZ18" s="502"/>
      <c r="MA18" s="502"/>
      <c r="MB18" s="503"/>
      <c r="MC18" s="22">
        <v>110</v>
      </c>
      <c r="MD18" s="501">
        <v>158</v>
      </c>
      <c r="ME18" s="502"/>
      <c r="MF18" s="502"/>
      <c r="MG18" s="503"/>
      <c r="MH18" s="22">
        <v>-1</v>
      </c>
      <c r="MI18" s="501">
        <v>90</v>
      </c>
      <c r="MJ18" s="502"/>
      <c r="MK18" s="502"/>
      <c r="ML18" s="503"/>
      <c r="MM18" s="22">
        <v>181</v>
      </c>
      <c r="MN18" s="479"/>
      <c r="MO18" s="492"/>
      <c r="MP18" s="23"/>
      <c r="MQ18" s="519" t="s">
        <v>859</v>
      </c>
      <c r="MR18" s="520"/>
      <c r="MS18" s="520"/>
      <c r="MT18" s="436" t="s">
        <v>15</v>
      </c>
      <c r="MU18" s="501">
        <v>192</v>
      </c>
      <c r="MV18" s="502"/>
      <c r="MW18" s="502"/>
      <c r="MX18" s="503"/>
      <c r="MY18" s="22">
        <v>96</v>
      </c>
      <c r="MZ18" s="501">
        <v>191</v>
      </c>
      <c r="NA18" s="502"/>
      <c r="NB18" s="502"/>
      <c r="NC18" s="503"/>
      <c r="ND18" s="22">
        <v>82</v>
      </c>
      <c r="NE18" s="501">
        <f>152.7+5</f>
        <v>157.69999999999999</v>
      </c>
      <c r="NF18" s="502"/>
      <c r="NG18" s="502"/>
      <c r="NH18" s="503"/>
      <c r="NI18" s="22">
        <v>109</v>
      </c>
      <c r="NJ18" s="501">
        <v>90</v>
      </c>
      <c r="NK18" s="502"/>
      <c r="NL18" s="502"/>
      <c r="NM18" s="503"/>
      <c r="NN18" s="22">
        <v>112</v>
      </c>
      <c r="NO18" s="479"/>
      <c r="NP18" s="492"/>
      <c r="NQ18" s="23"/>
      <c r="NR18" s="519" t="s">
        <v>859</v>
      </c>
      <c r="NS18" s="520"/>
      <c r="NT18" s="520"/>
      <c r="NU18" s="436" t="s">
        <v>15</v>
      </c>
      <c r="NV18" s="501">
        <v>192</v>
      </c>
      <c r="NW18" s="502"/>
      <c r="NX18" s="502"/>
      <c r="NY18" s="503"/>
      <c r="NZ18" s="22">
        <v>17</v>
      </c>
      <c r="OA18" s="501">
        <v>90</v>
      </c>
      <c r="OB18" s="502"/>
      <c r="OC18" s="502"/>
      <c r="OD18" s="503"/>
      <c r="OE18" s="22">
        <v>54</v>
      </c>
      <c r="OF18" s="501">
        <v>90</v>
      </c>
      <c r="OG18" s="502"/>
      <c r="OH18" s="502"/>
      <c r="OI18" s="503"/>
      <c r="OJ18" s="22">
        <v>73</v>
      </c>
      <c r="OK18" s="501">
        <v>192</v>
      </c>
      <c r="OL18" s="502"/>
      <c r="OM18" s="502"/>
      <c r="ON18" s="503"/>
      <c r="OO18" s="22">
        <f>145.6</f>
        <v>145.6</v>
      </c>
      <c r="OP18" s="479"/>
      <c r="OQ18" s="492"/>
      <c r="OR18" s="23"/>
      <c r="OS18" s="519" t="s">
        <v>859</v>
      </c>
      <c r="OT18" s="520"/>
      <c r="OU18" s="520"/>
      <c r="OV18" s="436" t="s">
        <v>15</v>
      </c>
      <c r="OW18" s="501">
        <v>124</v>
      </c>
      <c r="OX18" s="502"/>
      <c r="OY18" s="502"/>
      <c r="OZ18" s="503"/>
      <c r="PA18" s="22">
        <v>0</v>
      </c>
      <c r="PB18" s="501">
        <v>192</v>
      </c>
      <c r="PC18" s="502"/>
      <c r="PD18" s="502"/>
      <c r="PE18" s="503"/>
      <c r="PF18" s="22">
        <v>150</v>
      </c>
      <c r="PG18" s="501">
        <v>192</v>
      </c>
      <c r="PH18" s="502"/>
      <c r="PI18" s="502"/>
      <c r="PJ18" s="503"/>
      <c r="PK18" s="22">
        <v>99</v>
      </c>
      <c r="PL18" s="501">
        <v>192</v>
      </c>
      <c r="PM18" s="502"/>
      <c r="PN18" s="502"/>
      <c r="PO18" s="503"/>
      <c r="PP18" s="22">
        <v>83</v>
      </c>
      <c r="PQ18" s="479"/>
      <c r="PR18" s="492"/>
      <c r="PS18" s="23"/>
      <c r="PT18" s="519" t="s">
        <v>859</v>
      </c>
      <c r="PU18" s="520"/>
      <c r="PV18" s="520"/>
      <c r="PW18" s="436" t="s">
        <v>15</v>
      </c>
      <c r="PX18" s="501">
        <v>192</v>
      </c>
      <c r="PY18" s="502"/>
      <c r="PZ18" s="502"/>
      <c r="QA18" s="503"/>
      <c r="QB18" s="22">
        <v>-3</v>
      </c>
      <c r="QC18" s="501">
        <v>192</v>
      </c>
      <c r="QD18" s="502"/>
      <c r="QE18" s="502"/>
      <c r="QF18" s="503"/>
      <c r="QG18" s="22">
        <v>158</v>
      </c>
      <c r="QH18" s="501">
        <v>192</v>
      </c>
      <c r="QI18" s="502"/>
      <c r="QJ18" s="502"/>
      <c r="QK18" s="503"/>
      <c r="QL18" s="22">
        <v>172</v>
      </c>
      <c r="QM18" s="501">
        <v>159</v>
      </c>
      <c r="QN18" s="502"/>
      <c r="QO18" s="502"/>
      <c r="QP18" s="503"/>
      <c r="QQ18" s="22">
        <v>72</v>
      </c>
      <c r="QR18" s="479"/>
      <c r="QS18" s="492"/>
      <c r="QT18" s="23"/>
      <c r="QU18" s="519" t="s">
        <v>859</v>
      </c>
      <c r="QV18" s="520"/>
      <c r="QW18" s="520"/>
      <c r="QX18" s="436" t="s">
        <v>15</v>
      </c>
      <c r="QY18" s="501">
        <v>166</v>
      </c>
      <c r="QZ18" s="502"/>
      <c r="RA18" s="502"/>
      <c r="RB18" s="503"/>
      <c r="RC18" s="22">
        <v>41</v>
      </c>
      <c r="RD18" s="501">
        <v>192</v>
      </c>
      <c r="RE18" s="502"/>
      <c r="RF18" s="502"/>
      <c r="RG18" s="503"/>
      <c r="RH18" s="22">
        <v>102</v>
      </c>
      <c r="RI18" s="501">
        <v>192</v>
      </c>
      <c r="RJ18" s="502"/>
      <c r="RK18" s="502"/>
      <c r="RL18" s="503"/>
      <c r="RM18" s="22">
        <v>3</v>
      </c>
      <c r="RN18" s="501">
        <v>192</v>
      </c>
      <c r="RO18" s="502"/>
      <c r="RP18" s="502"/>
      <c r="RQ18" s="503"/>
      <c r="RR18" s="22">
        <v>4</v>
      </c>
      <c r="RS18" s="479"/>
      <c r="RT18" s="492"/>
      <c r="RU18" s="23"/>
      <c r="RV18" s="519" t="s">
        <v>859</v>
      </c>
      <c r="RW18" s="520"/>
      <c r="RX18" s="520"/>
      <c r="RY18" s="436" t="s">
        <v>15</v>
      </c>
      <c r="RZ18" s="501">
        <v>192</v>
      </c>
      <c r="SA18" s="502"/>
      <c r="SB18" s="502"/>
      <c r="SC18" s="503"/>
      <c r="SD18" s="22">
        <v>80</v>
      </c>
      <c r="SE18" s="501">
        <v>172</v>
      </c>
      <c r="SF18" s="502"/>
      <c r="SG18" s="502"/>
      <c r="SH18" s="503"/>
      <c r="SI18" s="22">
        <v>136</v>
      </c>
      <c r="SJ18" s="501">
        <v>224</v>
      </c>
      <c r="SK18" s="502"/>
      <c r="SL18" s="502"/>
      <c r="SM18" s="503"/>
      <c r="SN18" s="22">
        <v>3</v>
      </c>
      <c r="SO18" s="501">
        <v>224</v>
      </c>
      <c r="SP18" s="502"/>
      <c r="SQ18" s="502"/>
      <c r="SR18" s="503"/>
      <c r="SS18" s="22">
        <v>24</v>
      </c>
      <c r="ST18" s="479"/>
      <c r="SU18" s="492"/>
      <c r="SV18" s="23"/>
      <c r="SW18" s="519" t="s">
        <v>859</v>
      </c>
      <c r="SX18" s="520"/>
      <c r="SY18" s="520"/>
      <c r="SZ18" s="436" t="s">
        <v>15</v>
      </c>
      <c r="TA18" s="501">
        <v>224</v>
      </c>
      <c r="TB18" s="502"/>
      <c r="TC18" s="502"/>
      <c r="TD18" s="503"/>
      <c r="TE18" s="22">
        <v>0</v>
      </c>
      <c r="TF18" s="501">
        <v>224</v>
      </c>
      <c r="TG18" s="502"/>
      <c r="TH18" s="502"/>
      <c r="TI18" s="503"/>
      <c r="TJ18" s="22">
        <v>131</v>
      </c>
      <c r="TK18" s="501">
        <v>224</v>
      </c>
      <c r="TL18" s="502"/>
      <c r="TM18" s="502"/>
      <c r="TN18" s="503"/>
      <c r="TO18" s="22">
        <v>103</v>
      </c>
      <c r="TP18" s="501">
        <v>224</v>
      </c>
      <c r="TQ18" s="502"/>
      <c r="TR18" s="502"/>
      <c r="TS18" s="503"/>
      <c r="TT18" s="22">
        <v>130</v>
      </c>
      <c r="TU18" s="479"/>
      <c r="TV18" s="492"/>
      <c r="TW18" s="23"/>
      <c r="TX18" s="519" t="s">
        <v>859</v>
      </c>
      <c r="TY18" s="520"/>
      <c r="TZ18" s="520"/>
      <c r="UA18" s="436" t="s">
        <v>15</v>
      </c>
      <c r="UB18" s="501">
        <v>224</v>
      </c>
      <c r="UC18" s="502"/>
      <c r="UD18" s="502"/>
      <c r="UE18" s="503"/>
      <c r="UF18" s="22">
        <v>57</v>
      </c>
      <c r="UG18" s="501">
        <f>5+117.2</f>
        <v>122.2</v>
      </c>
      <c r="UH18" s="502"/>
      <c r="UI18" s="502"/>
      <c r="UJ18" s="503"/>
      <c r="UK18" s="22">
        <v>106</v>
      </c>
      <c r="UL18" s="501">
        <v>224</v>
      </c>
      <c r="UM18" s="502"/>
      <c r="UN18" s="502"/>
      <c r="UO18" s="503"/>
      <c r="UP18" s="22">
        <v>136</v>
      </c>
      <c r="UQ18" s="501">
        <v>224</v>
      </c>
      <c r="UR18" s="502"/>
      <c r="US18" s="502"/>
      <c r="UT18" s="503"/>
      <c r="UU18" s="22">
        <v>182</v>
      </c>
      <c r="UV18" s="479"/>
      <c r="UW18" s="492"/>
      <c r="UX18" s="23"/>
      <c r="UY18" s="519" t="s">
        <v>859</v>
      </c>
      <c r="UZ18" s="520"/>
      <c r="VA18" s="520"/>
      <c r="VB18" s="436" t="s">
        <v>15</v>
      </c>
      <c r="VC18" s="501">
        <v>224</v>
      </c>
      <c r="VD18" s="502"/>
      <c r="VE18" s="502"/>
      <c r="VF18" s="503"/>
      <c r="VG18" s="22">
        <v>199</v>
      </c>
      <c r="VH18" s="501">
        <v>224</v>
      </c>
      <c r="VI18" s="502"/>
      <c r="VJ18" s="502"/>
      <c r="VK18" s="503"/>
      <c r="VL18" s="22">
        <v>88</v>
      </c>
      <c r="VM18" s="501">
        <v>224</v>
      </c>
      <c r="VN18" s="502"/>
      <c r="VO18" s="502"/>
      <c r="VP18" s="503"/>
      <c r="VQ18" s="22">
        <v>144</v>
      </c>
      <c r="VR18" s="501">
        <v>224</v>
      </c>
      <c r="VS18" s="502"/>
      <c r="VT18" s="502"/>
      <c r="VU18" s="503"/>
      <c r="VV18" s="22">
        <v>54</v>
      </c>
      <c r="VW18" s="479"/>
      <c r="VX18" s="492"/>
      <c r="VY18" s="23"/>
      <c r="VZ18" s="519" t="s">
        <v>859</v>
      </c>
      <c r="WA18" s="520"/>
      <c r="WB18" s="520"/>
      <c r="WC18" s="436" t="s">
        <v>15</v>
      </c>
      <c r="WD18" s="501">
        <v>224</v>
      </c>
      <c r="WE18" s="502"/>
      <c r="WF18" s="502"/>
      <c r="WG18" s="503"/>
      <c r="WH18" s="22">
        <v>130</v>
      </c>
      <c r="WI18" s="501">
        <v>224</v>
      </c>
      <c r="WJ18" s="502"/>
      <c r="WK18" s="502"/>
      <c r="WL18" s="503"/>
      <c r="WM18" s="22">
        <f>79.8</f>
        <v>79.8</v>
      </c>
      <c r="WN18" s="501">
        <f>5+219.2</f>
        <v>224.2</v>
      </c>
      <c r="WO18" s="502"/>
      <c r="WP18" s="502"/>
      <c r="WQ18" s="503"/>
      <c r="WR18" s="22">
        <f>143</f>
        <v>143</v>
      </c>
      <c r="WS18" s="501">
        <v>224</v>
      </c>
      <c r="WT18" s="502"/>
      <c r="WU18" s="502"/>
      <c r="WV18" s="503"/>
      <c r="WW18" s="22">
        <v>204</v>
      </c>
      <c r="WX18" s="479"/>
      <c r="WY18" s="492"/>
      <c r="WZ18" s="23"/>
      <c r="XA18" s="519" t="s">
        <v>859</v>
      </c>
      <c r="XB18" s="520"/>
      <c r="XC18" s="520"/>
      <c r="XD18" s="436" t="s">
        <v>15</v>
      </c>
      <c r="XE18" s="501">
        <v>224</v>
      </c>
      <c r="XF18" s="502"/>
      <c r="XG18" s="502"/>
      <c r="XH18" s="503"/>
      <c r="XI18" s="22">
        <f>175.8</f>
        <v>175.8</v>
      </c>
      <c r="XJ18" s="501">
        <f>5+219.2</f>
        <v>224.2</v>
      </c>
      <c r="XK18" s="502"/>
      <c r="XL18" s="502"/>
      <c r="XM18" s="503"/>
      <c r="XN18" s="22">
        <v>0</v>
      </c>
      <c r="XO18" s="501">
        <v>224</v>
      </c>
      <c r="XP18" s="502"/>
      <c r="XQ18" s="502"/>
      <c r="XR18" s="503"/>
      <c r="XS18" s="22">
        <v>184</v>
      </c>
      <c r="XT18" s="501">
        <v>224</v>
      </c>
      <c r="XU18" s="502"/>
      <c r="XV18" s="502"/>
      <c r="XW18" s="503"/>
      <c r="XX18" s="22">
        <v>187</v>
      </c>
      <c r="XY18" s="479"/>
      <c r="XZ18" s="492"/>
      <c r="YA18" s="23"/>
      <c r="YB18" s="519" t="s">
        <v>859</v>
      </c>
      <c r="YC18" s="520"/>
      <c r="YD18" s="520"/>
      <c r="YE18" s="436" t="s">
        <v>15</v>
      </c>
      <c r="YF18" s="501">
        <v>224</v>
      </c>
      <c r="YG18" s="502"/>
      <c r="YH18" s="502"/>
      <c r="YI18" s="503"/>
      <c r="YJ18" s="22">
        <v>147</v>
      </c>
      <c r="YK18" s="501">
        <v>224</v>
      </c>
      <c r="YL18" s="502"/>
      <c r="YM18" s="502"/>
      <c r="YN18" s="503"/>
      <c r="YO18" s="22">
        <v>138</v>
      </c>
      <c r="YP18" s="501">
        <v>190</v>
      </c>
      <c r="YQ18" s="502"/>
      <c r="YR18" s="502"/>
      <c r="YS18" s="503"/>
      <c r="YT18" s="22">
        <v>155</v>
      </c>
      <c r="YU18" s="501">
        <v>190</v>
      </c>
      <c r="YV18" s="502"/>
      <c r="YW18" s="502"/>
      <c r="YX18" s="503"/>
      <c r="YY18" s="22">
        <v>171</v>
      </c>
      <c r="YZ18" s="479"/>
      <c r="ZA18" s="492"/>
      <c r="ZB18" s="23"/>
      <c r="ZC18" s="519" t="s">
        <v>859</v>
      </c>
      <c r="ZD18" s="520"/>
      <c r="ZE18" s="520"/>
      <c r="ZF18" s="436" t="s">
        <v>15</v>
      </c>
      <c r="ZG18" s="501">
        <v>190</v>
      </c>
      <c r="ZH18" s="502"/>
      <c r="ZI18" s="502"/>
      <c r="ZJ18" s="503"/>
      <c r="ZK18" s="22">
        <v>3</v>
      </c>
      <c r="ZL18" s="501">
        <v>190</v>
      </c>
      <c r="ZM18" s="502"/>
      <c r="ZN18" s="502"/>
      <c r="ZO18" s="503"/>
      <c r="ZP18" s="22">
        <v>101</v>
      </c>
      <c r="ZQ18" s="501">
        <v>190</v>
      </c>
      <c r="ZR18" s="502"/>
      <c r="ZS18" s="502"/>
      <c r="ZT18" s="503"/>
      <c r="ZU18" s="22">
        <v>166</v>
      </c>
      <c r="ZV18" s="501">
        <v>190</v>
      </c>
      <c r="ZW18" s="502"/>
      <c r="ZX18" s="502"/>
      <c r="ZY18" s="503"/>
      <c r="ZZ18" s="22">
        <v>165</v>
      </c>
      <c r="AAA18" s="479"/>
      <c r="AAB18" s="492"/>
      <c r="AAC18" s="23"/>
      <c r="AAD18" s="519" t="s">
        <v>859</v>
      </c>
      <c r="AAE18" s="520"/>
      <c r="AAF18" s="520"/>
      <c r="AAG18" s="436" t="s">
        <v>15</v>
      </c>
      <c r="AAH18" s="501">
        <v>190</v>
      </c>
      <c r="AAI18" s="502"/>
      <c r="AAJ18" s="502"/>
      <c r="AAK18" s="503"/>
      <c r="AAL18" s="22">
        <v>160</v>
      </c>
      <c r="AAM18" s="501">
        <v>224</v>
      </c>
      <c r="AAN18" s="502"/>
      <c r="AAO18" s="502"/>
      <c r="AAP18" s="503"/>
      <c r="AAQ18" s="22">
        <v>72</v>
      </c>
      <c r="AAR18" s="501">
        <v>224</v>
      </c>
      <c r="AAS18" s="502"/>
      <c r="AAT18" s="502"/>
      <c r="AAU18" s="503"/>
      <c r="AAV18" s="22">
        <v>190</v>
      </c>
      <c r="AAW18" s="501">
        <v>224</v>
      </c>
      <c r="AAX18" s="502"/>
      <c r="AAY18" s="502"/>
      <c r="AAZ18" s="503"/>
      <c r="ABA18" s="22">
        <v>86</v>
      </c>
      <c r="ABB18" s="479"/>
      <c r="ABC18" s="492"/>
      <c r="ABD18" s="23"/>
      <c r="ABE18" s="519" t="s">
        <v>859</v>
      </c>
      <c r="ABF18" s="520"/>
      <c r="ABG18" s="520"/>
      <c r="ABH18" s="436" t="s">
        <v>15</v>
      </c>
      <c r="ABI18" s="501">
        <v>224</v>
      </c>
      <c r="ABJ18" s="502"/>
      <c r="ABK18" s="502"/>
      <c r="ABL18" s="503"/>
      <c r="ABM18" s="22">
        <v>191</v>
      </c>
      <c r="ABN18" s="501">
        <v>258</v>
      </c>
      <c r="ABO18" s="502"/>
      <c r="ABP18" s="502"/>
      <c r="ABQ18" s="503"/>
      <c r="ABR18" s="22">
        <v>128</v>
      </c>
      <c r="ABS18" s="501">
        <v>206</v>
      </c>
      <c r="ABT18" s="502"/>
      <c r="ABU18" s="502"/>
      <c r="ABV18" s="503"/>
      <c r="ABW18" s="22">
        <v>49</v>
      </c>
      <c r="ABX18" s="501">
        <v>206</v>
      </c>
      <c r="ABY18" s="502"/>
      <c r="ABZ18" s="502"/>
      <c r="ACA18" s="503"/>
      <c r="ACB18" s="22">
        <f>171.2</f>
        <v>171.2</v>
      </c>
      <c r="ACC18" s="479"/>
      <c r="ACD18" s="492"/>
      <c r="ACE18" s="23"/>
      <c r="ACF18" s="519" t="s">
        <v>859</v>
      </c>
      <c r="ACG18" s="520"/>
      <c r="ACH18" s="520"/>
      <c r="ACI18" s="436" t="s">
        <v>15</v>
      </c>
      <c r="ACJ18" s="501">
        <v>206</v>
      </c>
      <c r="ACK18" s="502"/>
      <c r="ACL18" s="502"/>
      <c r="ACM18" s="503"/>
      <c r="ACN18" s="22">
        <v>188</v>
      </c>
      <c r="ACO18" s="501">
        <v>206</v>
      </c>
      <c r="ACP18" s="502"/>
      <c r="ACQ18" s="502"/>
      <c r="ACR18" s="503"/>
      <c r="ACS18" s="22">
        <v>170</v>
      </c>
      <c r="ACT18" s="501">
        <v>206</v>
      </c>
      <c r="ACU18" s="502"/>
      <c r="ACV18" s="502"/>
      <c r="ACW18" s="503"/>
      <c r="ACX18" s="22">
        <f>102.8</f>
        <v>102.8</v>
      </c>
      <c r="ACY18" s="501">
        <v>258</v>
      </c>
      <c r="ACZ18" s="502"/>
      <c r="ADA18" s="502"/>
      <c r="ADB18" s="503"/>
      <c r="ADC18" s="22">
        <f>68</f>
        <v>68</v>
      </c>
      <c r="ADD18" s="479"/>
      <c r="ADE18" s="492"/>
      <c r="ADF18" s="23"/>
      <c r="ADG18" s="519" t="s">
        <v>859</v>
      </c>
      <c r="ADH18" s="520"/>
      <c r="ADI18" s="520"/>
      <c r="ADJ18" s="436" t="s">
        <v>15</v>
      </c>
      <c r="ADK18" s="501">
        <v>258</v>
      </c>
      <c r="ADL18" s="502"/>
      <c r="ADM18" s="502"/>
      <c r="ADN18" s="503"/>
      <c r="ADO18" s="22">
        <f>164.2</f>
        <v>164.2</v>
      </c>
      <c r="ADP18" s="501">
        <v>190</v>
      </c>
      <c r="ADQ18" s="502"/>
      <c r="ADR18" s="502"/>
      <c r="ADS18" s="503"/>
      <c r="ADT18" s="22">
        <v>166</v>
      </c>
      <c r="ADU18" s="501">
        <v>224</v>
      </c>
      <c r="ADV18" s="502"/>
      <c r="ADW18" s="502"/>
      <c r="ADX18" s="503"/>
      <c r="ADY18" s="22">
        <v>185</v>
      </c>
      <c r="ADZ18" s="501">
        <v>224</v>
      </c>
      <c r="AEA18" s="502"/>
      <c r="AEB18" s="502"/>
      <c r="AEC18" s="503"/>
      <c r="AED18" s="22">
        <v>186</v>
      </c>
      <c r="AEE18" s="479"/>
      <c r="AEF18" s="492"/>
      <c r="AEG18" s="23"/>
      <c r="AEH18" s="519" t="s">
        <v>859</v>
      </c>
      <c r="AEI18" s="520"/>
      <c r="AEJ18" s="520"/>
      <c r="AEK18" s="436" t="s">
        <v>15</v>
      </c>
      <c r="AEL18" s="501">
        <v>224</v>
      </c>
      <c r="AEM18" s="502"/>
      <c r="AEN18" s="502"/>
      <c r="AEO18" s="503"/>
      <c r="AEP18" s="22">
        <v>201</v>
      </c>
      <c r="AEQ18" s="501">
        <v>224</v>
      </c>
      <c r="AER18" s="502"/>
      <c r="AES18" s="502"/>
      <c r="AET18" s="503"/>
      <c r="AEU18" s="22">
        <v>216</v>
      </c>
      <c r="AEV18" s="501">
        <v>224</v>
      </c>
      <c r="AEW18" s="502"/>
      <c r="AEX18" s="502"/>
      <c r="AEY18" s="503"/>
      <c r="AEZ18" s="22">
        <v>200</v>
      </c>
      <c r="AFA18" s="501">
        <v>224</v>
      </c>
      <c r="AFB18" s="502"/>
      <c r="AFC18" s="502"/>
      <c r="AFD18" s="503"/>
      <c r="AFE18" s="22">
        <f>193.4</f>
        <v>193.4</v>
      </c>
      <c r="AFF18" s="479"/>
      <c r="AFG18" s="492"/>
      <c r="AFH18" s="23"/>
      <c r="AFI18" s="519" t="s">
        <v>859</v>
      </c>
      <c r="AFJ18" s="520"/>
      <c r="AFK18" s="520"/>
      <c r="AFL18" s="436" t="s">
        <v>15</v>
      </c>
      <c r="AFM18" s="501">
        <v>224</v>
      </c>
      <c r="AFN18" s="502"/>
      <c r="AFO18" s="502"/>
      <c r="AFP18" s="503"/>
      <c r="AFQ18" s="22">
        <v>208</v>
      </c>
      <c r="AFR18" s="501">
        <f>4.8+219.2</f>
        <v>224</v>
      </c>
      <c r="AFS18" s="502"/>
      <c r="AFT18" s="502"/>
      <c r="AFU18" s="503"/>
      <c r="AFV18" s="22">
        <v>195</v>
      </c>
      <c r="AFW18" s="501">
        <v>224</v>
      </c>
      <c r="AFX18" s="502"/>
      <c r="AFY18" s="502"/>
      <c r="AFZ18" s="503"/>
      <c r="AGA18" s="22">
        <v>187</v>
      </c>
      <c r="AGB18" s="501">
        <v>224</v>
      </c>
      <c r="AGC18" s="502"/>
      <c r="AGD18" s="502"/>
      <c r="AGE18" s="503"/>
      <c r="AGF18" s="22">
        <v>122</v>
      </c>
      <c r="AGG18" s="479"/>
      <c r="AGH18" s="492"/>
      <c r="AGI18" s="23"/>
      <c r="AGJ18" s="519" t="s">
        <v>859</v>
      </c>
      <c r="AGK18" s="520"/>
      <c r="AGL18" s="520"/>
      <c r="AGM18" s="436" t="s">
        <v>15</v>
      </c>
      <c r="AGN18" s="501">
        <v>224</v>
      </c>
      <c r="AGO18" s="502"/>
      <c r="AGP18" s="502"/>
      <c r="AGQ18" s="503"/>
      <c r="AGR18" s="22">
        <v>201</v>
      </c>
      <c r="AGS18" s="501">
        <v>224</v>
      </c>
      <c r="AGT18" s="502"/>
      <c r="AGU18" s="502"/>
      <c r="AGV18" s="503"/>
      <c r="AGW18" s="22">
        <v>193</v>
      </c>
      <c r="AGX18" s="501">
        <v>224</v>
      </c>
      <c r="AGY18" s="502"/>
      <c r="AGZ18" s="502"/>
      <c r="AHA18" s="503"/>
      <c r="AHB18" s="22">
        <f>202</f>
        <v>202</v>
      </c>
      <c r="AHC18" s="501">
        <v>198</v>
      </c>
      <c r="AHD18" s="502"/>
      <c r="AHE18" s="502"/>
      <c r="AHF18" s="503"/>
      <c r="AHG18" s="22">
        <v>175</v>
      </c>
      <c r="AHH18" s="479"/>
      <c r="AHI18" s="492"/>
      <c r="AHJ18" s="23"/>
      <c r="AHK18" s="519" t="s">
        <v>859</v>
      </c>
      <c r="AHL18" s="520"/>
      <c r="AHM18" s="520"/>
      <c r="AHN18" s="436" t="s">
        <v>15</v>
      </c>
      <c r="AHO18" s="501">
        <v>164</v>
      </c>
      <c r="AHP18" s="502"/>
      <c r="AHQ18" s="502"/>
      <c r="AHR18" s="503"/>
      <c r="AHS18" s="22">
        <v>141</v>
      </c>
      <c r="AHT18" s="501">
        <v>198</v>
      </c>
      <c r="AHU18" s="502"/>
      <c r="AHV18" s="502"/>
      <c r="AHW18" s="503"/>
      <c r="AHX18" s="22">
        <v>175</v>
      </c>
      <c r="AHY18" s="501">
        <v>232</v>
      </c>
      <c r="AHZ18" s="502"/>
      <c r="AIA18" s="502"/>
      <c r="AIB18" s="503"/>
      <c r="AIC18" s="22">
        <v>181</v>
      </c>
      <c r="AID18" s="501">
        <v>232</v>
      </c>
      <c r="AIE18" s="502"/>
      <c r="AIF18" s="502"/>
      <c r="AIG18" s="503"/>
      <c r="AIH18" s="22">
        <v>210</v>
      </c>
      <c r="AII18" s="479"/>
      <c r="AIJ18" s="492"/>
      <c r="AIK18" s="23"/>
      <c r="AIL18" s="519" t="s">
        <v>859</v>
      </c>
      <c r="AIM18" s="520"/>
      <c r="AIN18" s="520"/>
      <c r="AIO18" s="436" t="s">
        <v>15</v>
      </c>
      <c r="AIP18" s="501">
        <v>232</v>
      </c>
      <c r="AIQ18" s="502"/>
      <c r="AIR18" s="502"/>
      <c r="AIS18" s="503"/>
      <c r="AIT18" s="22">
        <v>202</v>
      </c>
      <c r="AIU18" s="501">
        <v>230</v>
      </c>
      <c r="AIV18" s="502"/>
      <c r="AIW18" s="502"/>
      <c r="AIX18" s="503"/>
      <c r="AIY18" s="22">
        <v>217</v>
      </c>
      <c r="AIZ18" s="501">
        <v>230</v>
      </c>
      <c r="AJA18" s="502"/>
      <c r="AJB18" s="502"/>
      <c r="AJC18" s="503"/>
      <c r="AJD18" s="22">
        <v>192</v>
      </c>
      <c r="AJE18" s="501">
        <v>230</v>
      </c>
      <c r="AJF18" s="502"/>
      <c r="AJG18" s="502"/>
      <c r="AJH18" s="503"/>
      <c r="AJI18" s="22">
        <v>181</v>
      </c>
      <c r="AJJ18" s="479"/>
      <c r="AJK18" s="492"/>
      <c r="AJL18" s="23"/>
      <c r="AJM18" s="519" t="s">
        <v>859</v>
      </c>
      <c r="AJN18" s="520"/>
      <c r="AJO18" s="520"/>
      <c r="AJP18" s="436" t="s">
        <v>15</v>
      </c>
      <c r="AJQ18" s="501">
        <v>230</v>
      </c>
      <c r="AJR18" s="502"/>
      <c r="AJS18" s="502"/>
      <c r="AJT18" s="503"/>
      <c r="AJU18" s="22">
        <v>156</v>
      </c>
      <c r="AJV18" s="501">
        <v>256</v>
      </c>
      <c r="AJW18" s="502"/>
      <c r="AJX18" s="502"/>
      <c r="AJY18" s="503"/>
      <c r="AJZ18" s="22">
        <v>171</v>
      </c>
      <c r="AKA18" s="501">
        <v>256</v>
      </c>
      <c r="AKB18" s="502"/>
      <c r="AKC18" s="502"/>
      <c r="AKD18" s="503"/>
      <c r="AKE18" s="22">
        <v>160</v>
      </c>
      <c r="AKF18" s="501">
        <v>256</v>
      </c>
      <c r="AKG18" s="502"/>
      <c r="AKH18" s="502"/>
      <c r="AKI18" s="503"/>
      <c r="AKJ18" s="22">
        <v>212</v>
      </c>
      <c r="AKK18" s="479"/>
      <c r="AKL18" s="492"/>
      <c r="AKM18" s="23"/>
      <c r="AKN18" s="519" t="s">
        <v>859</v>
      </c>
      <c r="AKO18" s="520"/>
      <c r="AKP18" s="520"/>
      <c r="AKQ18" s="436" t="s">
        <v>15</v>
      </c>
      <c r="AKR18" s="501">
        <v>204</v>
      </c>
      <c r="AKS18" s="502"/>
      <c r="AKT18" s="502"/>
      <c r="AKU18" s="503"/>
      <c r="AKV18" s="22">
        <v>143</v>
      </c>
      <c r="AKW18" s="501">
        <v>230</v>
      </c>
      <c r="AKX18" s="502"/>
      <c r="AKY18" s="502"/>
      <c r="AKZ18" s="503"/>
      <c r="ALA18" s="22">
        <v>154</v>
      </c>
      <c r="ALB18" s="501">
        <v>230</v>
      </c>
      <c r="ALC18" s="502"/>
      <c r="ALD18" s="502"/>
      <c r="ALE18" s="503"/>
      <c r="ALF18" s="22">
        <v>186</v>
      </c>
      <c r="ALG18" s="501">
        <v>94</v>
      </c>
      <c r="ALH18" s="502"/>
      <c r="ALI18" s="502"/>
      <c r="ALJ18" s="503"/>
      <c r="ALK18" s="22">
        <v>87</v>
      </c>
      <c r="ALL18" s="479"/>
      <c r="ALM18" s="492"/>
      <c r="ALN18" s="23"/>
      <c r="ALO18" s="519" t="s">
        <v>859</v>
      </c>
      <c r="ALP18" s="520"/>
      <c r="ALQ18" s="520"/>
      <c r="ALR18" s="436" t="s">
        <v>15</v>
      </c>
      <c r="ALS18" s="501">
        <v>94</v>
      </c>
      <c r="ALT18" s="502"/>
      <c r="ALU18" s="502"/>
      <c r="ALV18" s="503"/>
      <c r="ALW18" s="22">
        <v>86.4</v>
      </c>
      <c r="ALX18" s="501">
        <v>94</v>
      </c>
      <c r="ALY18" s="502"/>
      <c r="ALZ18" s="502"/>
      <c r="AMA18" s="503"/>
      <c r="AMB18" s="22">
        <v>85</v>
      </c>
      <c r="AMC18" s="501">
        <v>94</v>
      </c>
      <c r="AMD18" s="502"/>
      <c r="AME18" s="502"/>
      <c r="AMF18" s="503"/>
      <c r="AMG18" s="22">
        <v>87</v>
      </c>
      <c r="AMH18" s="501">
        <v>94</v>
      </c>
      <c r="AMI18" s="502"/>
      <c r="AMJ18" s="502"/>
      <c r="AMK18" s="503"/>
      <c r="AML18" s="22">
        <v>86</v>
      </c>
      <c r="AMM18" s="479"/>
      <c r="AMN18" s="492"/>
      <c r="AMO18" s="23"/>
      <c r="AMP18" s="519" t="s">
        <v>859</v>
      </c>
      <c r="AMQ18" s="520"/>
      <c r="AMR18" s="520"/>
      <c r="AMS18" s="436" t="s">
        <v>15</v>
      </c>
      <c r="AMT18" s="501">
        <v>230</v>
      </c>
      <c r="AMU18" s="502"/>
      <c r="AMV18" s="502"/>
      <c r="AMW18" s="503"/>
      <c r="AMX18" s="22">
        <v>197</v>
      </c>
      <c r="AMY18" s="501">
        <v>230</v>
      </c>
      <c r="AMZ18" s="502"/>
      <c r="ANA18" s="502"/>
      <c r="ANB18" s="503"/>
      <c r="ANC18" s="22">
        <v>189</v>
      </c>
      <c r="AND18" s="501">
        <v>230</v>
      </c>
      <c r="ANE18" s="502"/>
      <c r="ANF18" s="502"/>
      <c r="ANG18" s="503"/>
      <c r="ANH18" s="22">
        <v>171</v>
      </c>
      <c r="ANI18" s="501">
        <v>204</v>
      </c>
      <c r="ANJ18" s="502"/>
      <c r="ANK18" s="502"/>
      <c r="ANL18" s="503"/>
      <c r="ANM18" s="22">
        <v>136</v>
      </c>
      <c r="ANN18" s="479"/>
      <c r="ANO18" s="492"/>
      <c r="ANP18" s="23"/>
      <c r="ANQ18" s="519" t="s">
        <v>859</v>
      </c>
      <c r="ANR18" s="520"/>
      <c r="ANS18" s="520"/>
      <c r="ANT18" s="436" t="s">
        <v>15</v>
      </c>
      <c r="ANU18" s="501">
        <v>230</v>
      </c>
      <c r="ANV18" s="502"/>
      <c r="ANW18" s="502"/>
      <c r="ANX18" s="503"/>
      <c r="ANY18" s="22">
        <v>196</v>
      </c>
      <c r="ANZ18" s="501">
        <v>230</v>
      </c>
      <c r="AOA18" s="502"/>
      <c r="AOB18" s="502"/>
      <c r="AOC18" s="503"/>
      <c r="AOD18" s="22">
        <v>52</v>
      </c>
      <c r="AOE18" s="501">
        <v>230</v>
      </c>
      <c r="AOF18" s="502"/>
      <c r="AOG18" s="502"/>
      <c r="AOH18" s="503"/>
      <c r="AOI18" s="526">
        <v>152</v>
      </c>
      <c r="AOJ18" s="527">
        <v>152</v>
      </c>
      <c r="AOK18" s="501">
        <f>2.5+159.1</f>
        <v>161.6</v>
      </c>
      <c r="AOL18" s="502"/>
      <c r="AOM18" s="502"/>
      <c r="AON18" s="503"/>
      <c r="AOO18" s="22">
        <v>140</v>
      </c>
      <c r="AOP18" s="479"/>
      <c r="AOQ18" s="492"/>
      <c r="AOR18" s="23"/>
      <c r="AOS18" s="519" t="s">
        <v>859</v>
      </c>
      <c r="AOT18" s="520"/>
      <c r="AOU18" s="520"/>
      <c r="AOV18" s="436" t="s">
        <v>15</v>
      </c>
      <c r="AOW18" s="501">
        <v>230</v>
      </c>
      <c r="AOX18" s="502"/>
      <c r="AOY18" s="502"/>
      <c r="AOZ18" s="503"/>
      <c r="APA18" s="22">
        <v>219</v>
      </c>
      <c r="APB18" s="501">
        <v>230</v>
      </c>
      <c r="APC18" s="502"/>
      <c r="APD18" s="502"/>
      <c r="APE18" s="503"/>
      <c r="APF18" s="22">
        <v>149</v>
      </c>
      <c r="APG18" s="501">
        <v>230</v>
      </c>
      <c r="APH18" s="502"/>
      <c r="API18" s="502"/>
      <c r="APJ18" s="503"/>
      <c r="APK18" s="22">
        <v>100</v>
      </c>
      <c r="APL18" s="501">
        <v>230</v>
      </c>
      <c r="APM18" s="502"/>
      <c r="APN18" s="502"/>
      <c r="APO18" s="503"/>
      <c r="APP18" s="22">
        <v>219</v>
      </c>
      <c r="APQ18" s="479"/>
      <c r="APR18" s="492"/>
      <c r="APS18" s="23"/>
      <c r="APT18" s="519" t="s">
        <v>859</v>
      </c>
      <c r="APU18" s="520"/>
      <c r="APV18" s="520"/>
      <c r="APW18" s="436" t="s">
        <v>15</v>
      </c>
      <c r="APX18" s="501">
        <f>2.5+227.1</f>
        <v>229.6</v>
      </c>
      <c r="APY18" s="502"/>
      <c r="APZ18" s="502"/>
      <c r="AQA18" s="503"/>
      <c r="AQB18" s="22">
        <v>205</v>
      </c>
      <c r="AQC18" s="501">
        <v>258</v>
      </c>
      <c r="AQD18" s="502"/>
      <c r="AQE18" s="502"/>
      <c r="AQF18" s="503"/>
      <c r="AQG18" s="22">
        <v>99</v>
      </c>
      <c r="AQH18" s="501">
        <v>258</v>
      </c>
      <c r="AQI18" s="502"/>
      <c r="AQJ18" s="502"/>
      <c r="AQK18" s="503"/>
      <c r="AQL18" s="22">
        <v>249</v>
      </c>
      <c r="AQM18" s="501">
        <v>258</v>
      </c>
      <c r="AQN18" s="502"/>
      <c r="AQO18" s="502"/>
      <c r="AQP18" s="503"/>
      <c r="AQQ18" s="22">
        <v>95</v>
      </c>
      <c r="AQR18" s="479"/>
      <c r="AQS18" s="492"/>
      <c r="AQT18" s="23"/>
      <c r="AQU18" s="519" t="s">
        <v>859</v>
      </c>
      <c r="AQV18" s="520"/>
      <c r="AQW18" s="520"/>
      <c r="AQX18" s="436" t="s">
        <v>15</v>
      </c>
      <c r="AQY18" s="501">
        <v>258</v>
      </c>
      <c r="AQZ18" s="502"/>
      <c r="ARA18" s="502"/>
      <c r="ARB18" s="503"/>
      <c r="ARC18" s="22">
        <v>71</v>
      </c>
      <c r="ARD18" s="501">
        <v>258</v>
      </c>
      <c r="ARE18" s="502"/>
      <c r="ARF18" s="502"/>
      <c r="ARG18" s="503"/>
      <c r="ARH18" s="22">
        <v>174</v>
      </c>
      <c r="ARI18" s="501">
        <v>258</v>
      </c>
      <c r="ARJ18" s="502"/>
      <c r="ARK18" s="502"/>
      <c r="ARL18" s="503"/>
      <c r="ARM18" s="22">
        <v>241</v>
      </c>
      <c r="ARN18" s="501">
        <v>258</v>
      </c>
      <c r="ARO18" s="502"/>
      <c r="ARP18" s="502"/>
      <c r="ARQ18" s="503"/>
      <c r="ARR18" s="22">
        <v>239</v>
      </c>
      <c r="ARS18" s="479"/>
      <c r="ART18" s="492"/>
      <c r="ARU18" s="23"/>
      <c r="ARV18" s="519" t="s">
        <v>859</v>
      </c>
      <c r="ARW18" s="520"/>
      <c r="ARX18" s="520"/>
      <c r="ARY18" s="436" t="s">
        <v>15</v>
      </c>
      <c r="ARZ18" s="501">
        <v>253</v>
      </c>
      <c r="ASA18" s="502"/>
      <c r="ASB18" s="502"/>
      <c r="ASC18" s="503"/>
      <c r="ASD18" s="22">
        <v>69</v>
      </c>
      <c r="ASE18" s="501">
        <v>253</v>
      </c>
      <c r="ASF18" s="502"/>
      <c r="ASG18" s="502"/>
      <c r="ASH18" s="503"/>
      <c r="ASI18" s="22">
        <v>0</v>
      </c>
      <c r="ASJ18" s="501">
        <v>253</v>
      </c>
      <c r="ASK18" s="502"/>
      <c r="ASL18" s="502"/>
      <c r="ASM18" s="503"/>
      <c r="ASN18" s="22">
        <v>76</v>
      </c>
      <c r="ASO18" s="501">
        <v>253</v>
      </c>
      <c r="ASP18" s="502"/>
      <c r="ASQ18" s="502"/>
      <c r="ASR18" s="503"/>
      <c r="ASS18" s="22">
        <v>222</v>
      </c>
      <c r="AST18" s="479"/>
      <c r="ASU18" s="492"/>
      <c r="ASV18" s="23"/>
      <c r="ASW18" s="519" t="s">
        <v>859</v>
      </c>
      <c r="ASX18" s="520"/>
      <c r="ASY18" s="520"/>
      <c r="ASZ18" s="436" t="s">
        <v>15</v>
      </c>
      <c r="ATA18" s="501">
        <v>219</v>
      </c>
      <c r="ATB18" s="502"/>
      <c r="ATC18" s="502"/>
      <c r="ATD18" s="503"/>
      <c r="ATE18" s="22">
        <v>90</v>
      </c>
      <c r="ATF18" s="501">
        <v>253</v>
      </c>
      <c r="ATG18" s="502"/>
      <c r="ATH18" s="502"/>
      <c r="ATI18" s="503"/>
      <c r="ATJ18" s="22">
        <v>220</v>
      </c>
      <c r="ATK18" s="501">
        <v>253</v>
      </c>
      <c r="ATL18" s="502"/>
      <c r="ATM18" s="502"/>
      <c r="ATN18" s="503"/>
      <c r="ATO18" s="22">
        <v>210</v>
      </c>
      <c r="ATP18" s="501">
        <v>253</v>
      </c>
      <c r="ATQ18" s="502"/>
      <c r="ATR18" s="502"/>
      <c r="ATS18" s="503"/>
      <c r="ATT18" s="22">
        <v>104</v>
      </c>
      <c r="ATU18" s="479"/>
      <c r="ATV18" s="492"/>
      <c r="ATW18" s="23"/>
      <c r="ATX18" s="519" t="s">
        <v>859</v>
      </c>
      <c r="ATY18" s="520"/>
      <c r="ATZ18" s="520"/>
      <c r="AUA18" s="436" t="s">
        <v>15</v>
      </c>
      <c r="AUB18" s="501">
        <v>253</v>
      </c>
      <c r="AUC18" s="502"/>
      <c r="AUD18" s="502"/>
      <c r="AUE18" s="503"/>
      <c r="AUF18" s="22">
        <v>136</v>
      </c>
      <c r="AUG18" s="501">
        <v>253</v>
      </c>
      <c r="AUH18" s="502"/>
      <c r="AUI18" s="502"/>
      <c r="AUJ18" s="503"/>
      <c r="AUK18" s="22">
        <v>107</v>
      </c>
      <c r="AUL18" s="501">
        <v>253</v>
      </c>
      <c r="AUM18" s="502"/>
      <c r="AUN18" s="502"/>
      <c r="AUO18" s="503"/>
      <c r="AUP18" s="22">
        <v>111</v>
      </c>
      <c r="AUQ18" s="501">
        <v>253</v>
      </c>
      <c r="AUR18" s="502"/>
      <c r="AUS18" s="502"/>
      <c r="AUT18" s="503"/>
      <c r="AUU18" s="22">
        <v>77</v>
      </c>
      <c r="AUV18" s="479"/>
      <c r="AUW18" s="492"/>
      <c r="AUX18" s="23"/>
      <c r="AUY18" s="519" t="s">
        <v>859</v>
      </c>
      <c r="AUZ18" s="520"/>
      <c r="AVA18" s="520"/>
      <c r="AVB18" s="436" t="s">
        <v>15</v>
      </c>
      <c r="AVC18" s="501">
        <f>253.2</f>
        <v>253.2</v>
      </c>
      <c r="AVD18" s="502"/>
      <c r="AVE18" s="502"/>
      <c r="AVF18" s="503"/>
      <c r="AVG18" s="22">
        <v>193</v>
      </c>
      <c r="AVH18" s="501">
        <v>253</v>
      </c>
      <c r="AVI18" s="502"/>
      <c r="AVJ18" s="502"/>
      <c r="AVK18" s="503"/>
      <c r="AVL18" s="22">
        <v>169</v>
      </c>
      <c r="AVM18" s="501">
        <v>253</v>
      </c>
      <c r="AVN18" s="502"/>
      <c r="AVO18" s="502"/>
      <c r="AVP18" s="503"/>
      <c r="AVQ18" s="22">
        <v>109</v>
      </c>
      <c r="AVR18" s="501">
        <v>253</v>
      </c>
      <c r="AVS18" s="502"/>
      <c r="AVT18" s="502"/>
      <c r="AVU18" s="503"/>
      <c r="AVV18" s="22">
        <v>185</v>
      </c>
      <c r="AVW18" s="479"/>
      <c r="AVX18" s="492"/>
      <c r="AVY18" s="23"/>
      <c r="AVZ18" s="519" t="s">
        <v>859</v>
      </c>
      <c r="AWA18" s="520"/>
      <c r="AWB18" s="520"/>
      <c r="AWC18" s="436" t="s">
        <v>15</v>
      </c>
      <c r="AWD18" s="501">
        <v>188</v>
      </c>
      <c r="AWE18" s="502"/>
      <c r="AWF18" s="502"/>
      <c r="AWG18" s="503"/>
      <c r="AWH18" s="22">
        <v>237</v>
      </c>
      <c r="AWI18" s="501">
        <v>253</v>
      </c>
      <c r="AWJ18" s="502"/>
      <c r="AWK18" s="502"/>
      <c r="AWL18" s="503"/>
      <c r="AWM18" s="22">
        <v>232</v>
      </c>
      <c r="AWN18" s="501">
        <v>253</v>
      </c>
      <c r="AWO18" s="502"/>
      <c r="AWP18" s="502"/>
      <c r="AWQ18" s="503"/>
      <c r="AWR18" s="22">
        <v>226</v>
      </c>
      <c r="AWS18" s="501">
        <v>253</v>
      </c>
      <c r="AWT18" s="502"/>
      <c r="AWU18" s="502"/>
      <c r="AWV18" s="503"/>
      <c r="AWW18" s="22">
        <v>79</v>
      </c>
      <c r="AWX18" s="479"/>
      <c r="AWY18" s="492"/>
      <c r="AWZ18" s="23"/>
      <c r="AXA18" s="519" t="s">
        <v>859</v>
      </c>
      <c r="AXB18" s="520"/>
      <c r="AXC18" s="520"/>
      <c r="AXD18" s="436" t="s">
        <v>15</v>
      </c>
      <c r="AXE18" s="501">
        <v>253.2</v>
      </c>
      <c r="AXF18" s="502"/>
      <c r="AXG18" s="502"/>
      <c r="AXH18" s="503"/>
      <c r="AXI18" s="22">
        <v>19</v>
      </c>
      <c r="AXJ18" s="501">
        <v>253</v>
      </c>
      <c r="AXK18" s="502"/>
      <c r="AXL18" s="502"/>
      <c r="AXM18" s="503"/>
      <c r="AXN18" s="22">
        <v>145</v>
      </c>
      <c r="AXO18" s="501">
        <v>253</v>
      </c>
      <c r="AXP18" s="502"/>
      <c r="AXQ18" s="502"/>
      <c r="AXR18" s="503"/>
      <c r="AXS18" s="22">
        <v>247</v>
      </c>
      <c r="AXT18" s="501">
        <v>253</v>
      </c>
      <c r="AXU18" s="502"/>
      <c r="AXV18" s="502"/>
      <c r="AXW18" s="503"/>
      <c r="AXX18" s="22">
        <v>228</v>
      </c>
      <c r="AXY18" s="479"/>
      <c r="AXZ18" s="492"/>
      <c r="AYA18" s="23"/>
      <c r="AYB18" s="519" t="s">
        <v>859</v>
      </c>
      <c r="AYC18" s="520"/>
      <c r="AYD18" s="520"/>
      <c r="AYE18" s="436" t="s">
        <v>15</v>
      </c>
      <c r="AYF18" s="501">
        <v>253</v>
      </c>
      <c r="AYG18" s="502"/>
      <c r="AYH18" s="502"/>
      <c r="AYI18" s="503"/>
      <c r="AYJ18" s="22">
        <v>0</v>
      </c>
      <c r="AYK18" s="501">
        <v>253</v>
      </c>
      <c r="AYL18" s="502"/>
      <c r="AYM18" s="502"/>
      <c r="AYN18" s="503"/>
      <c r="AYO18" s="22">
        <v>237</v>
      </c>
      <c r="AYP18" s="501">
        <v>253</v>
      </c>
      <c r="AYQ18" s="502"/>
      <c r="AYR18" s="502"/>
      <c r="AYS18" s="503"/>
      <c r="AYT18" s="22">
        <v>194</v>
      </c>
      <c r="AYU18" s="501">
        <v>253</v>
      </c>
      <c r="AYV18" s="502"/>
      <c r="AYW18" s="502"/>
      <c r="AYX18" s="503"/>
      <c r="AYY18" s="22">
        <v>138</v>
      </c>
      <c r="AYZ18" s="479"/>
      <c r="AZA18" s="492"/>
      <c r="AZB18" s="23"/>
      <c r="AZC18" s="519" t="s">
        <v>859</v>
      </c>
      <c r="AZD18" s="520"/>
      <c r="AZE18" s="520"/>
      <c r="AZF18" s="436" t="s">
        <v>15</v>
      </c>
      <c r="AZG18" s="501">
        <v>227</v>
      </c>
      <c r="AZH18" s="502"/>
      <c r="AZI18" s="502"/>
      <c r="AZJ18" s="503"/>
      <c r="AZK18" s="22">
        <v>220</v>
      </c>
      <c r="AZL18" s="501">
        <v>253</v>
      </c>
      <c r="AZM18" s="502"/>
      <c r="AZN18" s="502"/>
      <c r="AZO18" s="503"/>
      <c r="AZP18" s="22">
        <v>211</v>
      </c>
      <c r="AZQ18" s="501">
        <v>190</v>
      </c>
      <c r="AZR18" s="502"/>
      <c r="AZS18" s="502"/>
      <c r="AZT18" s="503"/>
      <c r="AZU18" s="22">
        <v>172</v>
      </c>
      <c r="AZV18" s="501">
        <v>190</v>
      </c>
      <c r="AZW18" s="502"/>
      <c r="AZX18" s="502"/>
      <c r="AZY18" s="503"/>
      <c r="AZZ18" s="22">
        <v>166</v>
      </c>
      <c r="BAA18" s="478"/>
      <c r="BAB18" s="492"/>
      <c r="BAC18" s="23"/>
      <c r="BAD18" s="519" t="s">
        <v>859</v>
      </c>
      <c r="BAE18" s="520"/>
      <c r="BAF18" s="520"/>
      <c r="BAG18" s="436" t="s">
        <v>15</v>
      </c>
      <c r="BAH18" s="501">
        <v>190</v>
      </c>
      <c r="BAI18" s="502"/>
      <c r="BAJ18" s="502"/>
      <c r="BAK18" s="503"/>
      <c r="BAL18" s="22">
        <v>161</v>
      </c>
      <c r="BAM18" s="501">
        <v>185</v>
      </c>
      <c r="BAN18" s="502"/>
      <c r="BAO18" s="502"/>
      <c r="BAP18" s="503"/>
      <c r="BAQ18" s="22">
        <v>161</v>
      </c>
      <c r="BAR18" s="501">
        <v>185</v>
      </c>
      <c r="BAS18" s="502"/>
      <c r="BAT18" s="502"/>
      <c r="BAU18" s="503"/>
      <c r="BAV18" s="22">
        <v>56</v>
      </c>
      <c r="BAW18" s="501">
        <v>185</v>
      </c>
      <c r="BAX18" s="502"/>
      <c r="BAY18" s="502"/>
      <c r="BAZ18" s="503"/>
      <c r="BBA18" s="22">
        <v>164</v>
      </c>
      <c r="BBB18" s="479"/>
      <c r="BBC18" s="492"/>
      <c r="BBD18" s="23"/>
      <c r="BBE18" s="519" t="s">
        <v>859</v>
      </c>
      <c r="BBF18" s="520"/>
      <c r="BBG18" s="520"/>
      <c r="BBH18" s="436" t="s">
        <v>15</v>
      </c>
      <c r="BBI18" s="501">
        <v>185</v>
      </c>
      <c r="BBJ18" s="502"/>
      <c r="BBK18" s="502"/>
      <c r="BBL18" s="503"/>
      <c r="BBM18" s="22">
        <v>171</v>
      </c>
      <c r="BBN18" s="501">
        <v>190</v>
      </c>
      <c r="BBO18" s="502"/>
      <c r="BBP18" s="502"/>
      <c r="BBQ18" s="503"/>
      <c r="BBR18" s="22">
        <v>181</v>
      </c>
      <c r="BBS18" s="501">
        <v>190</v>
      </c>
      <c r="BBT18" s="502"/>
      <c r="BBU18" s="502"/>
      <c r="BBV18" s="503"/>
      <c r="BBW18" s="22">
        <v>181</v>
      </c>
      <c r="BBX18" s="501">
        <v>190</v>
      </c>
      <c r="BBY18" s="502"/>
      <c r="BBZ18" s="502"/>
      <c r="BCA18" s="503"/>
      <c r="BCB18" s="22">
        <v>159</v>
      </c>
      <c r="BCC18" s="479"/>
      <c r="BCD18" s="492"/>
      <c r="BCE18" s="23"/>
      <c r="BCF18" s="519" t="s">
        <v>859</v>
      </c>
      <c r="BCG18" s="520"/>
      <c r="BCH18" s="520"/>
      <c r="BCI18" s="436" t="s">
        <v>15</v>
      </c>
      <c r="BCJ18" s="501">
        <f>5+152.7</f>
        <v>157.69999999999999</v>
      </c>
      <c r="BCK18" s="502"/>
      <c r="BCL18" s="502"/>
      <c r="BCM18" s="503"/>
      <c r="BCN18" s="22">
        <v>106</v>
      </c>
      <c r="BCO18" s="501">
        <v>158</v>
      </c>
      <c r="BCP18" s="502"/>
      <c r="BCQ18" s="502"/>
      <c r="BCR18" s="503"/>
      <c r="BCS18" s="22">
        <v>152</v>
      </c>
      <c r="BCT18" s="501">
        <v>158</v>
      </c>
      <c r="BCU18" s="502"/>
      <c r="BCV18" s="502"/>
      <c r="BCW18" s="503"/>
      <c r="BCX18" s="22">
        <v>154</v>
      </c>
      <c r="BCY18" s="501">
        <v>158</v>
      </c>
      <c r="BCZ18" s="502"/>
      <c r="BDA18" s="502"/>
      <c r="BDB18" s="503"/>
      <c r="BDC18" s="22">
        <v>152</v>
      </c>
      <c r="BDD18" s="479"/>
      <c r="BDE18" s="492"/>
      <c r="BDF18" s="23"/>
      <c r="BDG18" s="519" t="s">
        <v>859</v>
      </c>
      <c r="BDH18" s="520"/>
      <c r="BDI18" s="520"/>
      <c r="BDJ18" s="436" t="s">
        <v>15</v>
      </c>
      <c r="BDK18" s="501">
        <v>190</v>
      </c>
      <c r="BDL18" s="502"/>
      <c r="BDM18" s="502"/>
      <c r="BDN18" s="503"/>
      <c r="BDO18" s="22">
        <v>174</v>
      </c>
      <c r="BDP18" s="501">
        <v>190</v>
      </c>
      <c r="BDQ18" s="502"/>
      <c r="BDR18" s="502"/>
      <c r="BDS18" s="503"/>
      <c r="BDT18" s="22">
        <v>178</v>
      </c>
      <c r="BDU18" s="501">
        <v>190</v>
      </c>
      <c r="BDV18" s="502"/>
      <c r="BDW18" s="502"/>
      <c r="BDX18" s="503"/>
      <c r="BDY18" s="22">
        <v>160</v>
      </c>
      <c r="BDZ18" s="501">
        <v>190</v>
      </c>
      <c r="BEA18" s="502"/>
      <c r="BEB18" s="502"/>
      <c r="BEC18" s="503"/>
      <c r="BED18" s="22">
        <v>131</v>
      </c>
      <c r="BEE18" s="479"/>
      <c r="BEF18" s="492"/>
      <c r="BEG18" s="23"/>
      <c r="BEH18" s="519" t="s">
        <v>859</v>
      </c>
      <c r="BEI18" s="520"/>
      <c r="BEJ18" s="520"/>
      <c r="BEK18" s="436" t="s">
        <v>15</v>
      </c>
      <c r="BEL18" s="501">
        <v>190</v>
      </c>
      <c r="BEM18" s="502"/>
      <c r="BEN18" s="502"/>
      <c r="BEO18" s="503"/>
      <c r="BEP18" s="22">
        <v>166</v>
      </c>
      <c r="BEQ18" s="501">
        <v>224</v>
      </c>
      <c r="BER18" s="502"/>
      <c r="BES18" s="502"/>
      <c r="BET18" s="503"/>
      <c r="BEU18" s="22">
        <v>86</v>
      </c>
      <c r="BEV18" s="501">
        <v>192</v>
      </c>
      <c r="BEW18" s="502"/>
      <c r="BEX18" s="502"/>
      <c r="BEY18" s="503"/>
      <c r="BEZ18" s="22">
        <v>181</v>
      </c>
      <c r="BFA18" s="501">
        <v>192</v>
      </c>
      <c r="BFB18" s="502"/>
      <c r="BFC18" s="502"/>
      <c r="BFD18" s="503"/>
      <c r="BFE18" s="22">
        <v>167</v>
      </c>
      <c r="BFF18" s="479"/>
      <c r="BFG18" s="492"/>
      <c r="BFH18" s="23"/>
      <c r="BFI18" s="519" t="s">
        <v>859</v>
      </c>
      <c r="BFJ18" s="520"/>
      <c r="BFK18" s="520"/>
      <c r="BFL18" s="436" t="s">
        <v>15</v>
      </c>
      <c r="BFM18" s="501">
        <v>192</v>
      </c>
      <c r="BFN18" s="502"/>
      <c r="BFO18" s="502"/>
      <c r="BFP18" s="503"/>
      <c r="BFQ18" s="22">
        <v>159</v>
      </c>
      <c r="BFR18" s="501">
        <v>192</v>
      </c>
      <c r="BFS18" s="502"/>
      <c r="BFT18" s="502"/>
      <c r="BFU18" s="503"/>
      <c r="BFV18" s="22">
        <v>177</v>
      </c>
      <c r="BFW18" s="501"/>
      <c r="BFX18" s="502"/>
      <c r="BFY18" s="502"/>
      <c r="BFZ18" s="503"/>
      <c r="BGA18" s="22"/>
      <c r="BGB18" s="501"/>
      <c r="BGC18" s="502"/>
      <c r="BGD18" s="502"/>
      <c r="BGE18" s="503"/>
      <c r="BGF18" s="22"/>
    </row>
    <row r="19" spans="1:1540" ht="45" customHeight="1" x14ac:dyDescent="0.4">
      <c r="A19" s="478"/>
      <c r="B19" s="492"/>
      <c r="C19" s="23"/>
      <c r="D19" s="457" t="s">
        <v>860</v>
      </c>
      <c r="E19" s="459"/>
      <c r="F19" s="459"/>
      <c r="G19" s="436" t="s">
        <v>16</v>
      </c>
      <c r="H19" s="501">
        <v>171.8</v>
      </c>
      <c r="I19" s="502"/>
      <c r="J19" s="502"/>
      <c r="K19" s="503"/>
      <c r="L19" s="22">
        <v>166.1</v>
      </c>
      <c r="M19" s="501">
        <v>190</v>
      </c>
      <c r="N19" s="502"/>
      <c r="O19" s="502"/>
      <c r="P19" s="503"/>
      <c r="Q19" s="22">
        <v>188</v>
      </c>
      <c r="R19" s="501">
        <v>238</v>
      </c>
      <c r="S19" s="502"/>
      <c r="T19" s="502"/>
      <c r="U19" s="503"/>
      <c r="V19" s="22">
        <v>238</v>
      </c>
      <c r="W19" s="501">
        <v>238</v>
      </c>
      <c r="X19" s="502"/>
      <c r="Y19" s="502"/>
      <c r="Z19" s="503"/>
      <c r="AA19" s="22">
        <v>238</v>
      </c>
      <c r="AB19" s="479"/>
      <c r="AC19" s="492"/>
      <c r="AD19" s="23"/>
      <c r="AE19" s="457" t="s">
        <v>860</v>
      </c>
      <c r="AF19" s="459"/>
      <c r="AG19" s="459"/>
      <c r="AH19" s="436" t="s">
        <v>16</v>
      </c>
      <c r="AI19" s="501">
        <v>238</v>
      </c>
      <c r="AJ19" s="502"/>
      <c r="AK19" s="502"/>
      <c r="AL19" s="503"/>
      <c r="AM19" s="22">
        <v>238</v>
      </c>
      <c r="AN19" s="501">
        <v>179.5</v>
      </c>
      <c r="AO19" s="502"/>
      <c r="AP19" s="502"/>
      <c r="AQ19" s="503"/>
      <c r="AR19" s="22">
        <v>179.5</v>
      </c>
      <c r="AS19" s="501">
        <v>131.69999999999999</v>
      </c>
      <c r="AT19" s="502"/>
      <c r="AU19" s="502"/>
      <c r="AV19" s="503"/>
      <c r="AW19" s="22">
        <f>132.6</f>
        <v>132.6</v>
      </c>
      <c r="AX19" s="501">
        <v>225.6</v>
      </c>
      <c r="AY19" s="502"/>
      <c r="AZ19" s="502"/>
      <c r="BA19" s="503"/>
      <c r="BB19" s="22">
        <v>226</v>
      </c>
      <c r="BC19" s="479"/>
      <c r="BD19" s="492"/>
      <c r="BE19" s="23"/>
      <c r="BF19" s="457" t="s">
        <v>860</v>
      </c>
      <c r="BG19" s="459"/>
      <c r="BH19" s="459"/>
      <c r="BI19" s="436" t="s">
        <v>16</v>
      </c>
      <c r="BJ19" s="501">
        <f>226.9</f>
        <v>226.9</v>
      </c>
      <c r="BK19" s="502"/>
      <c r="BL19" s="502"/>
      <c r="BM19" s="503"/>
      <c r="BN19" s="22">
        <v>227</v>
      </c>
      <c r="BO19" s="501">
        <v>226.6</v>
      </c>
      <c r="BP19" s="502"/>
      <c r="BQ19" s="502"/>
      <c r="BR19" s="503"/>
      <c r="BS19" s="22">
        <v>227</v>
      </c>
      <c r="BT19" s="501">
        <v>238</v>
      </c>
      <c r="BU19" s="502"/>
      <c r="BV19" s="502"/>
      <c r="BW19" s="503"/>
      <c r="BX19" s="22">
        <v>238</v>
      </c>
      <c r="BY19" s="501">
        <v>154.6</v>
      </c>
      <c r="BZ19" s="502"/>
      <c r="CA19" s="502"/>
      <c r="CB19" s="503"/>
      <c r="CC19" s="22">
        <v>154.6</v>
      </c>
      <c r="CD19" s="479"/>
      <c r="CE19" s="492"/>
      <c r="CF19" s="23"/>
      <c r="CG19" s="457" t="s">
        <v>860</v>
      </c>
      <c r="CH19" s="459"/>
      <c r="CI19" s="459"/>
      <c r="CJ19" s="436" t="s">
        <v>16</v>
      </c>
      <c r="CK19" s="501">
        <f>215.6</f>
        <v>215.6</v>
      </c>
      <c r="CL19" s="502"/>
      <c r="CM19" s="502"/>
      <c r="CN19" s="503"/>
      <c r="CO19" s="22">
        <v>216</v>
      </c>
      <c r="CP19" s="501">
        <v>223.6</v>
      </c>
      <c r="CQ19" s="502"/>
      <c r="CR19" s="502"/>
      <c r="CS19" s="503"/>
      <c r="CT19" s="22">
        <v>224</v>
      </c>
      <c r="CU19" s="501">
        <v>222.6</v>
      </c>
      <c r="CV19" s="502"/>
      <c r="CW19" s="502"/>
      <c r="CX19" s="503"/>
      <c r="CY19" s="22">
        <v>223</v>
      </c>
      <c r="CZ19" s="501">
        <v>215.6</v>
      </c>
      <c r="DA19" s="502"/>
      <c r="DB19" s="502"/>
      <c r="DC19" s="503"/>
      <c r="DD19" s="22">
        <v>216</v>
      </c>
      <c r="DE19" s="479"/>
      <c r="DF19" s="492"/>
      <c r="DG19" s="23"/>
      <c r="DH19" s="457" t="s">
        <v>860</v>
      </c>
      <c r="DI19" s="459"/>
      <c r="DJ19" s="459"/>
      <c r="DK19" s="436" t="s">
        <v>16</v>
      </c>
      <c r="DL19" s="501">
        <v>215.6</v>
      </c>
      <c r="DM19" s="502"/>
      <c r="DN19" s="502"/>
      <c r="DO19" s="503"/>
      <c r="DP19" s="22">
        <v>216</v>
      </c>
      <c r="DQ19" s="501">
        <v>174.1</v>
      </c>
      <c r="DR19" s="502"/>
      <c r="DS19" s="502"/>
      <c r="DT19" s="503"/>
      <c r="DU19" s="22">
        <v>173</v>
      </c>
      <c r="DV19" s="501">
        <v>153.19999999999999</v>
      </c>
      <c r="DW19" s="502"/>
      <c r="DX19" s="502"/>
      <c r="DY19" s="503"/>
      <c r="DZ19" s="22">
        <v>153</v>
      </c>
      <c r="EA19" s="501">
        <f>204.2</f>
        <v>204.2</v>
      </c>
      <c r="EB19" s="502"/>
      <c r="EC19" s="502"/>
      <c r="ED19" s="503"/>
      <c r="EE19" s="22">
        <v>204</v>
      </c>
      <c r="EF19" s="479"/>
      <c r="EG19" s="492"/>
      <c r="EH19" s="23"/>
      <c r="EI19" s="457" t="s">
        <v>860</v>
      </c>
      <c r="EJ19" s="459"/>
      <c r="EK19" s="459"/>
      <c r="EL19" s="436" t="s">
        <v>16</v>
      </c>
      <c r="EM19" s="501">
        <v>204.3</v>
      </c>
      <c r="EN19" s="502"/>
      <c r="EO19" s="502"/>
      <c r="EP19" s="503"/>
      <c r="EQ19" s="22">
        <v>204</v>
      </c>
      <c r="ER19" s="501">
        <v>147.69999999999999</v>
      </c>
      <c r="ES19" s="502"/>
      <c r="ET19" s="502"/>
      <c r="EU19" s="503"/>
      <c r="EV19" s="22">
        <v>145</v>
      </c>
      <c r="EW19" s="501">
        <v>30.1</v>
      </c>
      <c r="EX19" s="502"/>
      <c r="EY19" s="502"/>
      <c r="EZ19" s="503"/>
      <c r="FA19" s="22">
        <v>35</v>
      </c>
      <c r="FB19" s="501">
        <v>154</v>
      </c>
      <c r="FC19" s="502"/>
      <c r="FD19" s="502"/>
      <c r="FE19" s="503"/>
      <c r="FF19" s="22">
        <v>157</v>
      </c>
      <c r="FG19" s="479"/>
      <c r="FH19" s="492"/>
      <c r="FI19" s="23"/>
      <c r="FJ19" s="457" t="s">
        <v>860</v>
      </c>
      <c r="FK19" s="459"/>
      <c r="FL19" s="459"/>
      <c r="FM19" s="436" t="s">
        <v>16</v>
      </c>
      <c r="FN19" s="501">
        <v>115.1</v>
      </c>
      <c r="FO19" s="502"/>
      <c r="FP19" s="502"/>
      <c r="FQ19" s="503"/>
      <c r="FR19" s="22">
        <v>110</v>
      </c>
      <c r="FS19" s="501">
        <v>116.6</v>
      </c>
      <c r="FT19" s="502"/>
      <c r="FU19" s="502"/>
      <c r="FV19" s="503"/>
      <c r="FW19" s="22">
        <v>125</v>
      </c>
      <c r="FX19" s="501">
        <v>69.599999999999994</v>
      </c>
      <c r="FY19" s="502"/>
      <c r="FZ19" s="502"/>
      <c r="GA19" s="503"/>
      <c r="GB19" s="22">
        <v>70</v>
      </c>
      <c r="GC19" s="501">
        <v>38.299999999999997</v>
      </c>
      <c r="GD19" s="502"/>
      <c r="GE19" s="502"/>
      <c r="GF19" s="503"/>
      <c r="GG19" s="22">
        <v>38</v>
      </c>
      <c r="GH19" s="479"/>
      <c r="GI19" s="492"/>
      <c r="GJ19" s="23"/>
      <c r="GK19" s="457" t="s">
        <v>860</v>
      </c>
      <c r="GL19" s="459"/>
      <c r="GM19" s="459"/>
      <c r="GN19" s="436" t="s">
        <v>16</v>
      </c>
      <c r="GO19" s="501">
        <v>98.3</v>
      </c>
      <c r="GP19" s="502"/>
      <c r="GQ19" s="502"/>
      <c r="GR19" s="503"/>
      <c r="GS19" s="22">
        <v>95</v>
      </c>
      <c r="GT19" s="501">
        <v>219</v>
      </c>
      <c r="GU19" s="502"/>
      <c r="GV19" s="502"/>
      <c r="GW19" s="503"/>
      <c r="GX19" s="22">
        <v>219</v>
      </c>
      <c r="GY19" s="501">
        <f>219</f>
        <v>219</v>
      </c>
      <c r="GZ19" s="502"/>
      <c r="HA19" s="502"/>
      <c r="HB19" s="503"/>
      <c r="HC19" s="22">
        <v>219</v>
      </c>
      <c r="HD19" s="501">
        <v>219</v>
      </c>
      <c r="HE19" s="502"/>
      <c r="HF19" s="502"/>
      <c r="HG19" s="503"/>
      <c r="HH19" s="22">
        <v>219</v>
      </c>
      <c r="HI19" s="479"/>
      <c r="HJ19" s="492"/>
      <c r="HK19" s="23"/>
      <c r="HL19" s="457" t="s">
        <v>860</v>
      </c>
      <c r="HM19" s="459"/>
      <c r="HN19" s="459"/>
      <c r="HO19" s="436" t="s">
        <v>16</v>
      </c>
      <c r="HP19" s="501">
        <v>219</v>
      </c>
      <c r="HQ19" s="502"/>
      <c r="HR19" s="502"/>
      <c r="HS19" s="503"/>
      <c r="HT19" s="22">
        <v>219</v>
      </c>
      <c r="HU19" s="501">
        <v>184.1</v>
      </c>
      <c r="HV19" s="502"/>
      <c r="HW19" s="502"/>
      <c r="HX19" s="503"/>
      <c r="HY19" s="22">
        <v>184</v>
      </c>
      <c r="HZ19" s="501">
        <v>182</v>
      </c>
      <c r="IA19" s="502"/>
      <c r="IB19" s="502"/>
      <c r="IC19" s="503"/>
      <c r="ID19" s="22">
        <v>181</v>
      </c>
      <c r="IE19" s="501">
        <v>219</v>
      </c>
      <c r="IF19" s="502"/>
      <c r="IG19" s="502"/>
      <c r="IH19" s="503"/>
      <c r="II19" s="22">
        <v>219</v>
      </c>
      <c r="IJ19" s="478"/>
      <c r="IK19" s="492"/>
      <c r="IL19" s="23"/>
      <c r="IM19" s="457" t="s">
        <v>860</v>
      </c>
      <c r="IN19" s="459"/>
      <c r="IO19" s="459"/>
      <c r="IP19" s="436" t="s">
        <v>16</v>
      </c>
      <c r="IQ19" s="501">
        <v>219</v>
      </c>
      <c r="IR19" s="502"/>
      <c r="IS19" s="502"/>
      <c r="IT19" s="503"/>
      <c r="IU19" s="22">
        <v>219</v>
      </c>
      <c r="IV19" s="501">
        <v>219</v>
      </c>
      <c r="IW19" s="502"/>
      <c r="IX19" s="502"/>
      <c r="IY19" s="503"/>
      <c r="IZ19" s="22">
        <v>219</v>
      </c>
      <c r="JA19" s="501">
        <v>218.5</v>
      </c>
      <c r="JB19" s="502"/>
      <c r="JC19" s="502"/>
      <c r="JD19" s="503"/>
      <c r="JE19" s="22">
        <v>219</v>
      </c>
      <c r="JF19" s="501">
        <v>168.8</v>
      </c>
      <c r="JG19" s="502"/>
      <c r="JH19" s="502"/>
      <c r="JI19" s="503"/>
      <c r="JJ19" s="22">
        <v>169</v>
      </c>
      <c r="JK19" s="479"/>
      <c r="JL19" s="492"/>
      <c r="JM19" s="23"/>
      <c r="JN19" s="457" t="s">
        <v>860</v>
      </c>
      <c r="JO19" s="459"/>
      <c r="JP19" s="459"/>
      <c r="JQ19" s="436" t="s">
        <v>16</v>
      </c>
      <c r="JR19" s="501">
        <v>167.8</v>
      </c>
      <c r="JS19" s="502"/>
      <c r="JT19" s="502"/>
      <c r="JU19" s="503"/>
      <c r="JV19" s="22">
        <v>168</v>
      </c>
      <c r="JW19" s="501">
        <v>184.3</v>
      </c>
      <c r="JX19" s="502"/>
      <c r="JY19" s="502"/>
      <c r="JZ19" s="503"/>
      <c r="KA19" s="22">
        <v>207</v>
      </c>
      <c r="KB19" s="501">
        <f>219</f>
        <v>219</v>
      </c>
      <c r="KC19" s="502"/>
      <c r="KD19" s="502"/>
      <c r="KE19" s="503"/>
      <c r="KF19" s="22">
        <v>219</v>
      </c>
      <c r="KG19" s="501">
        <v>219</v>
      </c>
      <c r="KH19" s="502"/>
      <c r="KI19" s="502"/>
      <c r="KJ19" s="503"/>
      <c r="KK19" s="22">
        <v>219</v>
      </c>
      <c r="KL19" s="479"/>
      <c r="KM19" s="492"/>
      <c r="KN19" s="23"/>
      <c r="KO19" s="457" t="s">
        <v>860</v>
      </c>
      <c r="KP19" s="459"/>
      <c r="KQ19" s="459"/>
      <c r="KR19" s="436" t="s">
        <v>16</v>
      </c>
      <c r="KS19" s="501">
        <v>219</v>
      </c>
      <c r="KT19" s="502"/>
      <c r="KU19" s="502"/>
      <c r="KV19" s="503"/>
      <c r="KW19" s="22">
        <v>219</v>
      </c>
      <c r="KX19" s="501">
        <v>219</v>
      </c>
      <c r="KY19" s="502"/>
      <c r="KZ19" s="502"/>
      <c r="LA19" s="503"/>
      <c r="LB19" s="22">
        <v>219</v>
      </c>
      <c r="LC19" s="501">
        <v>181</v>
      </c>
      <c r="LD19" s="502"/>
      <c r="LE19" s="502"/>
      <c r="LF19" s="503"/>
      <c r="LG19" s="22">
        <v>182</v>
      </c>
      <c r="LH19" s="501">
        <v>181</v>
      </c>
      <c r="LI19" s="502"/>
      <c r="LJ19" s="502"/>
      <c r="LK19" s="503"/>
      <c r="LL19" s="22">
        <v>182</v>
      </c>
      <c r="LM19" s="479"/>
      <c r="LN19" s="492"/>
      <c r="LO19" s="23"/>
      <c r="LP19" s="457" t="s">
        <v>860</v>
      </c>
      <c r="LQ19" s="459"/>
      <c r="LR19" s="459"/>
      <c r="LS19" s="436" t="s">
        <v>16</v>
      </c>
      <c r="LT19" s="501">
        <v>219</v>
      </c>
      <c r="LU19" s="502"/>
      <c r="LV19" s="502"/>
      <c r="LW19" s="503"/>
      <c r="LX19" s="22">
        <v>219</v>
      </c>
      <c r="LY19" s="501">
        <v>173</v>
      </c>
      <c r="LZ19" s="502"/>
      <c r="MA19" s="502"/>
      <c r="MB19" s="503"/>
      <c r="MC19" s="22">
        <v>88</v>
      </c>
      <c r="MD19" s="501">
        <v>254</v>
      </c>
      <c r="ME19" s="502"/>
      <c r="MF19" s="502"/>
      <c r="MG19" s="503"/>
      <c r="MH19" s="22">
        <v>254</v>
      </c>
      <c r="MI19" s="501">
        <v>202</v>
      </c>
      <c r="MJ19" s="502"/>
      <c r="MK19" s="502"/>
      <c r="ML19" s="503"/>
      <c r="MM19" s="22">
        <v>202</v>
      </c>
      <c r="MN19" s="479"/>
      <c r="MO19" s="492"/>
      <c r="MP19" s="23"/>
      <c r="MQ19" s="457" t="s">
        <v>860</v>
      </c>
      <c r="MR19" s="459"/>
      <c r="MS19" s="459"/>
      <c r="MT19" s="436" t="s">
        <v>16</v>
      </c>
      <c r="MU19" s="501">
        <v>165.2</v>
      </c>
      <c r="MV19" s="502"/>
      <c r="MW19" s="502"/>
      <c r="MX19" s="503"/>
      <c r="MY19" s="22">
        <v>153</v>
      </c>
      <c r="MZ19" s="501">
        <v>152.6</v>
      </c>
      <c r="NA19" s="502"/>
      <c r="NB19" s="502"/>
      <c r="NC19" s="503"/>
      <c r="ND19" s="22">
        <v>153</v>
      </c>
      <c r="NE19" s="501">
        <f>254</f>
        <v>254</v>
      </c>
      <c r="NF19" s="502"/>
      <c r="NG19" s="502"/>
      <c r="NH19" s="503"/>
      <c r="NI19" s="22">
        <v>254</v>
      </c>
      <c r="NJ19" s="501">
        <v>254</v>
      </c>
      <c r="NK19" s="502"/>
      <c r="NL19" s="502"/>
      <c r="NM19" s="503"/>
      <c r="NN19" s="22">
        <v>254</v>
      </c>
      <c r="NO19" s="479"/>
      <c r="NP19" s="492"/>
      <c r="NQ19" s="23"/>
      <c r="NR19" s="457" t="s">
        <v>860</v>
      </c>
      <c r="NS19" s="459"/>
      <c r="NT19" s="459"/>
      <c r="NU19" s="436" t="s">
        <v>16</v>
      </c>
      <c r="NV19" s="501">
        <v>202</v>
      </c>
      <c r="NW19" s="502"/>
      <c r="NX19" s="502"/>
      <c r="NY19" s="503"/>
      <c r="NZ19" s="22">
        <v>202</v>
      </c>
      <c r="OA19" s="501">
        <v>201</v>
      </c>
      <c r="OB19" s="502"/>
      <c r="OC19" s="502"/>
      <c r="OD19" s="503"/>
      <c r="OE19" s="22">
        <v>201</v>
      </c>
      <c r="OF19" s="501">
        <v>254</v>
      </c>
      <c r="OG19" s="502"/>
      <c r="OH19" s="502"/>
      <c r="OI19" s="503"/>
      <c r="OJ19" s="22">
        <v>254</v>
      </c>
      <c r="OK19" s="501">
        <v>254</v>
      </c>
      <c r="OL19" s="502"/>
      <c r="OM19" s="502"/>
      <c r="ON19" s="503"/>
      <c r="OO19" s="22">
        <f>254</f>
        <v>254</v>
      </c>
      <c r="OP19" s="479"/>
      <c r="OQ19" s="492"/>
      <c r="OR19" s="23"/>
      <c r="OS19" s="457" t="s">
        <v>860</v>
      </c>
      <c r="OT19" s="459"/>
      <c r="OU19" s="459"/>
      <c r="OV19" s="436" t="s">
        <v>16</v>
      </c>
      <c r="OW19" s="501">
        <v>254</v>
      </c>
      <c r="OX19" s="502"/>
      <c r="OY19" s="502"/>
      <c r="OZ19" s="503"/>
      <c r="PA19" s="22">
        <v>254</v>
      </c>
      <c r="PB19" s="501">
        <v>254</v>
      </c>
      <c r="PC19" s="502"/>
      <c r="PD19" s="502"/>
      <c r="PE19" s="503"/>
      <c r="PF19" s="22">
        <v>254</v>
      </c>
      <c r="PG19" s="501">
        <v>254</v>
      </c>
      <c r="PH19" s="502"/>
      <c r="PI19" s="502"/>
      <c r="PJ19" s="503"/>
      <c r="PK19" s="22">
        <v>262</v>
      </c>
      <c r="PL19" s="501">
        <v>172.3</v>
      </c>
      <c r="PM19" s="502"/>
      <c r="PN19" s="502"/>
      <c r="PO19" s="503"/>
      <c r="PP19" s="22">
        <v>172</v>
      </c>
      <c r="PQ19" s="479"/>
      <c r="PR19" s="492"/>
      <c r="PS19" s="23"/>
      <c r="PT19" s="457" t="s">
        <v>860</v>
      </c>
      <c r="PU19" s="459"/>
      <c r="PV19" s="459"/>
      <c r="PW19" s="436" t="s">
        <v>16</v>
      </c>
      <c r="PX19" s="501">
        <v>127.7</v>
      </c>
      <c r="PY19" s="502"/>
      <c r="PZ19" s="502"/>
      <c r="QA19" s="503"/>
      <c r="QB19" s="22">
        <v>200</v>
      </c>
      <c r="QC19" s="501">
        <v>254</v>
      </c>
      <c r="QD19" s="502"/>
      <c r="QE19" s="502"/>
      <c r="QF19" s="503"/>
      <c r="QG19" s="22">
        <v>254</v>
      </c>
      <c r="QH19" s="501">
        <v>172.1</v>
      </c>
      <c r="QI19" s="502"/>
      <c r="QJ19" s="502"/>
      <c r="QK19" s="503"/>
      <c r="QL19" s="22">
        <v>172</v>
      </c>
      <c r="QM19" s="501">
        <v>254</v>
      </c>
      <c r="QN19" s="502"/>
      <c r="QO19" s="502"/>
      <c r="QP19" s="503"/>
      <c r="QQ19" s="22">
        <v>254</v>
      </c>
      <c r="QR19" s="479"/>
      <c r="QS19" s="492"/>
      <c r="QT19" s="23"/>
      <c r="QU19" s="457" t="s">
        <v>860</v>
      </c>
      <c r="QV19" s="459"/>
      <c r="QW19" s="459"/>
      <c r="QX19" s="436" t="s">
        <v>16</v>
      </c>
      <c r="QY19" s="501">
        <v>254</v>
      </c>
      <c r="QZ19" s="502"/>
      <c r="RA19" s="502"/>
      <c r="RB19" s="503"/>
      <c r="RC19" s="22">
        <v>254</v>
      </c>
      <c r="RD19" s="501">
        <v>184.1</v>
      </c>
      <c r="RE19" s="502"/>
      <c r="RF19" s="502"/>
      <c r="RG19" s="503"/>
      <c r="RH19" s="22">
        <v>184</v>
      </c>
      <c r="RI19" s="501">
        <v>107</v>
      </c>
      <c r="RJ19" s="502"/>
      <c r="RK19" s="502"/>
      <c r="RL19" s="503"/>
      <c r="RM19" s="22">
        <v>178</v>
      </c>
      <c r="RN19" s="501">
        <v>254</v>
      </c>
      <c r="RO19" s="502"/>
      <c r="RP19" s="502"/>
      <c r="RQ19" s="503"/>
      <c r="RR19" s="22">
        <v>254</v>
      </c>
      <c r="RS19" s="479"/>
      <c r="RT19" s="492"/>
      <c r="RU19" s="23"/>
      <c r="RV19" s="457" t="s">
        <v>860</v>
      </c>
      <c r="RW19" s="459"/>
      <c r="RX19" s="459"/>
      <c r="RY19" s="436" t="s">
        <v>16</v>
      </c>
      <c r="RZ19" s="501">
        <v>234.8</v>
      </c>
      <c r="SA19" s="502"/>
      <c r="SB19" s="502"/>
      <c r="SC19" s="503"/>
      <c r="SD19" s="22">
        <v>254</v>
      </c>
      <c r="SE19" s="501">
        <v>227</v>
      </c>
      <c r="SF19" s="502"/>
      <c r="SG19" s="502"/>
      <c r="SH19" s="503"/>
      <c r="SI19" s="22">
        <v>227</v>
      </c>
      <c r="SJ19" s="501">
        <v>229</v>
      </c>
      <c r="SK19" s="502"/>
      <c r="SL19" s="502"/>
      <c r="SM19" s="503"/>
      <c r="SN19" s="22">
        <v>229</v>
      </c>
      <c r="SO19" s="501">
        <v>223</v>
      </c>
      <c r="SP19" s="502"/>
      <c r="SQ19" s="502"/>
      <c r="SR19" s="503"/>
      <c r="SS19" s="22">
        <v>223</v>
      </c>
      <c r="ST19" s="479"/>
      <c r="SU19" s="492"/>
      <c r="SV19" s="23"/>
      <c r="SW19" s="457" t="s">
        <v>860</v>
      </c>
      <c r="SX19" s="459"/>
      <c r="SY19" s="459"/>
      <c r="SZ19" s="436" t="s">
        <v>16</v>
      </c>
      <c r="TA19" s="501">
        <v>229</v>
      </c>
      <c r="TB19" s="502"/>
      <c r="TC19" s="502"/>
      <c r="TD19" s="503"/>
      <c r="TE19" s="22">
        <v>229</v>
      </c>
      <c r="TF19" s="501">
        <v>220</v>
      </c>
      <c r="TG19" s="502"/>
      <c r="TH19" s="502"/>
      <c r="TI19" s="503"/>
      <c r="TJ19" s="22">
        <v>220</v>
      </c>
      <c r="TK19" s="501">
        <v>220</v>
      </c>
      <c r="TL19" s="502"/>
      <c r="TM19" s="502"/>
      <c r="TN19" s="503"/>
      <c r="TO19" s="22">
        <v>220</v>
      </c>
      <c r="TP19" s="501">
        <v>220</v>
      </c>
      <c r="TQ19" s="502"/>
      <c r="TR19" s="502"/>
      <c r="TS19" s="503"/>
      <c r="TT19" s="22">
        <v>220</v>
      </c>
      <c r="TU19" s="479"/>
      <c r="TV19" s="492"/>
      <c r="TW19" s="23"/>
      <c r="TX19" s="457" t="s">
        <v>860</v>
      </c>
      <c r="TY19" s="459"/>
      <c r="TZ19" s="459"/>
      <c r="UA19" s="436" t="s">
        <v>16</v>
      </c>
      <c r="UB19" s="501">
        <v>245</v>
      </c>
      <c r="UC19" s="502"/>
      <c r="UD19" s="502"/>
      <c r="UE19" s="503"/>
      <c r="UF19" s="22">
        <v>245</v>
      </c>
      <c r="UG19" s="501">
        <f>255</f>
        <v>255</v>
      </c>
      <c r="UH19" s="502"/>
      <c r="UI19" s="502"/>
      <c r="UJ19" s="503"/>
      <c r="UK19" s="22">
        <v>255</v>
      </c>
      <c r="UL19" s="501">
        <v>242</v>
      </c>
      <c r="UM19" s="502"/>
      <c r="UN19" s="502"/>
      <c r="UO19" s="503"/>
      <c r="UP19" s="22">
        <v>242</v>
      </c>
      <c r="UQ19" s="501">
        <v>245</v>
      </c>
      <c r="UR19" s="502"/>
      <c r="US19" s="502"/>
      <c r="UT19" s="503"/>
      <c r="UU19" s="22">
        <v>250</v>
      </c>
      <c r="UV19" s="479"/>
      <c r="UW19" s="492"/>
      <c r="UX19" s="23"/>
      <c r="UY19" s="457" t="s">
        <v>860</v>
      </c>
      <c r="UZ19" s="459"/>
      <c r="VA19" s="459"/>
      <c r="VB19" s="436" t="s">
        <v>16</v>
      </c>
      <c r="VC19" s="501">
        <v>245</v>
      </c>
      <c r="VD19" s="502"/>
      <c r="VE19" s="502"/>
      <c r="VF19" s="503"/>
      <c r="VG19" s="22">
        <v>245</v>
      </c>
      <c r="VH19" s="501">
        <v>245</v>
      </c>
      <c r="VI19" s="502"/>
      <c r="VJ19" s="502"/>
      <c r="VK19" s="503"/>
      <c r="VL19" s="22">
        <v>245</v>
      </c>
      <c r="VM19" s="501">
        <v>260.60000000000002</v>
      </c>
      <c r="VN19" s="502"/>
      <c r="VO19" s="502"/>
      <c r="VP19" s="503"/>
      <c r="VQ19" s="22">
        <v>245</v>
      </c>
      <c r="VR19" s="501">
        <v>245</v>
      </c>
      <c r="VS19" s="502"/>
      <c r="VT19" s="502"/>
      <c r="VU19" s="503"/>
      <c r="VV19" s="22">
        <v>245</v>
      </c>
      <c r="VW19" s="479"/>
      <c r="VX19" s="492"/>
      <c r="VY19" s="23"/>
      <c r="VZ19" s="457" t="s">
        <v>860</v>
      </c>
      <c r="WA19" s="459"/>
      <c r="WB19" s="459"/>
      <c r="WC19" s="436" t="s">
        <v>16</v>
      </c>
      <c r="WD19" s="501">
        <v>242</v>
      </c>
      <c r="WE19" s="502"/>
      <c r="WF19" s="502"/>
      <c r="WG19" s="503"/>
      <c r="WH19" s="22">
        <v>242</v>
      </c>
      <c r="WI19" s="501">
        <v>254</v>
      </c>
      <c r="WJ19" s="502"/>
      <c r="WK19" s="502"/>
      <c r="WL19" s="503"/>
      <c r="WM19" s="22">
        <f>254</f>
        <v>254</v>
      </c>
      <c r="WN19" s="501">
        <f>249</f>
        <v>249</v>
      </c>
      <c r="WO19" s="502"/>
      <c r="WP19" s="502"/>
      <c r="WQ19" s="503"/>
      <c r="WR19" s="22">
        <f>249</f>
        <v>249</v>
      </c>
      <c r="WS19" s="501">
        <v>228</v>
      </c>
      <c r="WT19" s="502"/>
      <c r="WU19" s="502"/>
      <c r="WV19" s="503"/>
      <c r="WW19" s="22">
        <v>230</v>
      </c>
      <c r="WX19" s="479"/>
      <c r="WY19" s="492"/>
      <c r="WZ19" s="23"/>
      <c r="XA19" s="457" t="s">
        <v>860</v>
      </c>
      <c r="XB19" s="459"/>
      <c r="XC19" s="459"/>
      <c r="XD19" s="436" t="s">
        <v>16</v>
      </c>
      <c r="XE19" s="501">
        <v>267.2</v>
      </c>
      <c r="XF19" s="502"/>
      <c r="XG19" s="502"/>
      <c r="XH19" s="503"/>
      <c r="XI19" s="22">
        <f>267.2</f>
        <v>267.2</v>
      </c>
      <c r="XJ19" s="501">
        <f>278</f>
        <v>278</v>
      </c>
      <c r="XK19" s="502"/>
      <c r="XL19" s="502"/>
      <c r="XM19" s="503"/>
      <c r="XN19" s="22">
        <v>278</v>
      </c>
      <c r="XO19" s="501">
        <v>233</v>
      </c>
      <c r="XP19" s="502"/>
      <c r="XQ19" s="502"/>
      <c r="XR19" s="503"/>
      <c r="XS19" s="22">
        <v>228</v>
      </c>
      <c r="XT19" s="501">
        <v>230</v>
      </c>
      <c r="XU19" s="502"/>
      <c r="XV19" s="502"/>
      <c r="XW19" s="503"/>
      <c r="XX19" s="22">
        <v>224</v>
      </c>
      <c r="XY19" s="479"/>
      <c r="XZ19" s="492"/>
      <c r="YA19" s="23"/>
      <c r="YB19" s="457" t="s">
        <v>860</v>
      </c>
      <c r="YC19" s="459"/>
      <c r="YD19" s="459"/>
      <c r="YE19" s="436" t="s">
        <v>16</v>
      </c>
      <c r="YF19" s="501">
        <v>211</v>
      </c>
      <c r="YG19" s="502"/>
      <c r="YH19" s="502"/>
      <c r="YI19" s="503"/>
      <c r="YJ19" s="22">
        <v>211</v>
      </c>
      <c r="YK19" s="501">
        <v>208</v>
      </c>
      <c r="YL19" s="502"/>
      <c r="YM19" s="502"/>
      <c r="YN19" s="503"/>
      <c r="YO19" s="22">
        <v>208</v>
      </c>
      <c r="YP19" s="501">
        <v>211</v>
      </c>
      <c r="YQ19" s="502"/>
      <c r="YR19" s="502"/>
      <c r="YS19" s="503"/>
      <c r="YT19" s="22">
        <v>211</v>
      </c>
      <c r="YU19" s="501">
        <v>211</v>
      </c>
      <c r="YV19" s="502"/>
      <c r="YW19" s="502"/>
      <c r="YX19" s="503"/>
      <c r="YY19" s="22">
        <v>209</v>
      </c>
      <c r="YZ19" s="479"/>
      <c r="ZA19" s="492"/>
      <c r="ZB19" s="23"/>
      <c r="ZC19" s="457" t="s">
        <v>860</v>
      </c>
      <c r="ZD19" s="459"/>
      <c r="ZE19" s="459"/>
      <c r="ZF19" s="436" t="s">
        <v>16</v>
      </c>
      <c r="ZG19" s="501">
        <v>253</v>
      </c>
      <c r="ZH19" s="502"/>
      <c r="ZI19" s="502"/>
      <c r="ZJ19" s="503"/>
      <c r="ZK19" s="22">
        <v>253</v>
      </c>
      <c r="ZL19" s="501">
        <v>253</v>
      </c>
      <c r="ZM19" s="502"/>
      <c r="ZN19" s="502"/>
      <c r="ZO19" s="503"/>
      <c r="ZP19" s="22">
        <v>255</v>
      </c>
      <c r="ZQ19" s="501">
        <v>208</v>
      </c>
      <c r="ZR19" s="502"/>
      <c r="ZS19" s="502"/>
      <c r="ZT19" s="503"/>
      <c r="ZU19" s="22">
        <v>211</v>
      </c>
      <c r="ZV19" s="501">
        <v>193</v>
      </c>
      <c r="ZW19" s="502"/>
      <c r="ZX19" s="502"/>
      <c r="ZY19" s="503"/>
      <c r="ZZ19" s="22">
        <v>193</v>
      </c>
      <c r="AAA19" s="479"/>
      <c r="AAB19" s="492"/>
      <c r="AAC19" s="23"/>
      <c r="AAD19" s="457" t="s">
        <v>860</v>
      </c>
      <c r="AAE19" s="459"/>
      <c r="AAF19" s="459"/>
      <c r="AAG19" s="436" t="s">
        <v>16</v>
      </c>
      <c r="AAH19" s="501">
        <v>236</v>
      </c>
      <c r="AAI19" s="502"/>
      <c r="AAJ19" s="502"/>
      <c r="AAK19" s="503"/>
      <c r="AAL19" s="22">
        <v>236</v>
      </c>
      <c r="AAM19" s="501">
        <v>236</v>
      </c>
      <c r="AAN19" s="502"/>
      <c r="AAO19" s="502"/>
      <c r="AAP19" s="503"/>
      <c r="AAQ19" s="22">
        <v>236</v>
      </c>
      <c r="AAR19" s="501">
        <v>236</v>
      </c>
      <c r="AAS19" s="502"/>
      <c r="AAT19" s="502"/>
      <c r="AAU19" s="503"/>
      <c r="AAV19" s="22">
        <v>236</v>
      </c>
      <c r="AAW19" s="501">
        <v>236</v>
      </c>
      <c r="AAX19" s="502"/>
      <c r="AAY19" s="502"/>
      <c r="AAZ19" s="503"/>
      <c r="ABA19" s="22">
        <v>236</v>
      </c>
      <c r="ABB19" s="479"/>
      <c r="ABC19" s="492"/>
      <c r="ABD19" s="23"/>
      <c r="ABE19" s="457" t="s">
        <v>860</v>
      </c>
      <c r="ABF19" s="459"/>
      <c r="ABG19" s="459"/>
      <c r="ABH19" s="436" t="s">
        <v>16</v>
      </c>
      <c r="ABI19" s="501">
        <f>224.9</f>
        <v>224.9</v>
      </c>
      <c r="ABJ19" s="502"/>
      <c r="ABK19" s="502"/>
      <c r="ABL19" s="503"/>
      <c r="ABM19" s="22">
        <v>225</v>
      </c>
      <c r="ABN19" s="501">
        <v>193</v>
      </c>
      <c r="ABO19" s="502"/>
      <c r="ABP19" s="502"/>
      <c r="ABQ19" s="503"/>
      <c r="ABR19" s="22">
        <v>193</v>
      </c>
      <c r="ABS19" s="501">
        <v>193</v>
      </c>
      <c r="ABT19" s="502"/>
      <c r="ABU19" s="502"/>
      <c r="ABV19" s="503"/>
      <c r="ABW19" s="22">
        <v>193</v>
      </c>
      <c r="ABX19" s="501">
        <v>210.9</v>
      </c>
      <c r="ABY19" s="502"/>
      <c r="ABZ19" s="502"/>
      <c r="ACA19" s="503"/>
      <c r="ACB19" s="22">
        <f>210.9</f>
        <v>210.9</v>
      </c>
      <c r="ACC19" s="479"/>
      <c r="ACD19" s="492"/>
      <c r="ACE19" s="23"/>
      <c r="ACF19" s="457" t="s">
        <v>860</v>
      </c>
      <c r="ACG19" s="459"/>
      <c r="ACH19" s="459"/>
      <c r="ACI19" s="436" t="s">
        <v>16</v>
      </c>
      <c r="ACJ19" s="501">
        <v>202.8</v>
      </c>
      <c r="ACK19" s="502"/>
      <c r="ACL19" s="502"/>
      <c r="ACM19" s="503"/>
      <c r="ACN19" s="22">
        <v>203</v>
      </c>
      <c r="ACO19" s="501">
        <v>199.8</v>
      </c>
      <c r="ACP19" s="502"/>
      <c r="ACQ19" s="502"/>
      <c r="ACR19" s="503"/>
      <c r="ACS19" s="22">
        <v>200</v>
      </c>
      <c r="ACT19" s="501">
        <v>200.9</v>
      </c>
      <c r="ACU19" s="502"/>
      <c r="ACV19" s="502"/>
      <c r="ACW19" s="503"/>
      <c r="ACX19" s="22">
        <f>199</f>
        <v>199</v>
      </c>
      <c r="ACY19" s="501">
        <v>183.7</v>
      </c>
      <c r="ACZ19" s="502"/>
      <c r="ADA19" s="502"/>
      <c r="ADB19" s="503"/>
      <c r="ADC19" s="22">
        <f>183.7</f>
        <v>183.7</v>
      </c>
      <c r="ADD19" s="479"/>
      <c r="ADE19" s="492"/>
      <c r="ADF19" s="23"/>
      <c r="ADG19" s="457" t="s">
        <v>860</v>
      </c>
      <c r="ADH19" s="459"/>
      <c r="ADI19" s="459"/>
      <c r="ADJ19" s="436" t="s">
        <v>16</v>
      </c>
      <c r="ADK19" s="501">
        <v>157</v>
      </c>
      <c r="ADL19" s="502"/>
      <c r="ADM19" s="502"/>
      <c r="ADN19" s="503"/>
      <c r="ADO19" s="22">
        <f>159.1</f>
        <v>159.1</v>
      </c>
      <c r="ADP19" s="501">
        <v>159.4</v>
      </c>
      <c r="ADQ19" s="502"/>
      <c r="ADR19" s="502"/>
      <c r="ADS19" s="503"/>
      <c r="ADT19" s="22">
        <v>159</v>
      </c>
      <c r="ADU19" s="501">
        <v>173.7</v>
      </c>
      <c r="ADV19" s="502"/>
      <c r="ADW19" s="502"/>
      <c r="ADX19" s="503"/>
      <c r="ADY19" s="22">
        <v>174</v>
      </c>
      <c r="ADZ19" s="501">
        <v>173.7</v>
      </c>
      <c r="AEA19" s="502"/>
      <c r="AEB19" s="502"/>
      <c r="AEC19" s="503"/>
      <c r="AED19" s="22">
        <v>174</v>
      </c>
      <c r="AEE19" s="479"/>
      <c r="AEF19" s="492"/>
      <c r="AEG19" s="23"/>
      <c r="AEH19" s="457" t="s">
        <v>860</v>
      </c>
      <c r="AEI19" s="459"/>
      <c r="AEJ19" s="459"/>
      <c r="AEK19" s="436" t="s">
        <v>16</v>
      </c>
      <c r="AEL19" s="501">
        <v>214</v>
      </c>
      <c r="AEM19" s="502"/>
      <c r="AEN19" s="502"/>
      <c r="AEO19" s="503"/>
      <c r="AEP19" s="22">
        <v>207</v>
      </c>
      <c r="AEQ19" s="501">
        <v>193</v>
      </c>
      <c r="AER19" s="502"/>
      <c r="AES19" s="502"/>
      <c r="AET19" s="503"/>
      <c r="AEU19" s="22">
        <v>193</v>
      </c>
      <c r="AEV19" s="501">
        <v>193</v>
      </c>
      <c r="AEW19" s="502"/>
      <c r="AEX19" s="502"/>
      <c r="AEY19" s="503"/>
      <c r="AEZ19" s="22">
        <v>193</v>
      </c>
      <c r="AFA19" s="501">
        <v>208.7</v>
      </c>
      <c r="AFB19" s="502"/>
      <c r="AFC19" s="502"/>
      <c r="AFD19" s="503"/>
      <c r="AFE19" s="22">
        <f>208.7</f>
        <v>208.7</v>
      </c>
      <c r="AFF19" s="479"/>
      <c r="AFG19" s="492"/>
      <c r="AFH19" s="23"/>
      <c r="AFI19" s="457" t="s">
        <v>860</v>
      </c>
      <c r="AFJ19" s="459"/>
      <c r="AFK19" s="459"/>
      <c r="AFL19" s="436" t="s">
        <v>16</v>
      </c>
      <c r="AFM19" s="501">
        <v>208.7</v>
      </c>
      <c r="AFN19" s="502"/>
      <c r="AFO19" s="502"/>
      <c r="AFP19" s="503"/>
      <c r="AFQ19" s="22">
        <v>209</v>
      </c>
      <c r="AFR19" s="501">
        <f>208.7</f>
        <v>208.7</v>
      </c>
      <c r="AFS19" s="502"/>
      <c r="AFT19" s="502"/>
      <c r="AFU19" s="503"/>
      <c r="AFV19" s="22">
        <v>209</v>
      </c>
      <c r="AFW19" s="501">
        <v>206.2</v>
      </c>
      <c r="AFX19" s="502"/>
      <c r="AFY19" s="502"/>
      <c r="AFZ19" s="503"/>
      <c r="AGA19" s="22">
        <v>206</v>
      </c>
      <c r="AGB19" s="501">
        <v>199.2</v>
      </c>
      <c r="AGC19" s="502"/>
      <c r="AGD19" s="502"/>
      <c r="AGE19" s="503"/>
      <c r="AGF19" s="22">
        <v>199</v>
      </c>
      <c r="AGG19" s="479"/>
      <c r="AGH19" s="492"/>
      <c r="AGI19" s="23"/>
      <c r="AGJ19" s="457" t="s">
        <v>860</v>
      </c>
      <c r="AGK19" s="459"/>
      <c r="AGL19" s="459"/>
      <c r="AGM19" s="436" t="s">
        <v>16</v>
      </c>
      <c r="AGN19" s="501">
        <v>193</v>
      </c>
      <c r="AGO19" s="502"/>
      <c r="AGP19" s="502"/>
      <c r="AGQ19" s="503"/>
      <c r="AGR19" s="22">
        <v>193</v>
      </c>
      <c r="AGS19" s="501">
        <v>180.4</v>
      </c>
      <c r="AGT19" s="502"/>
      <c r="AGU19" s="502"/>
      <c r="AGV19" s="503"/>
      <c r="AGW19" s="22">
        <v>180</v>
      </c>
      <c r="AGX19" s="501">
        <v>176.4</v>
      </c>
      <c r="AGY19" s="502"/>
      <c r="AGZ19" s="502"/>
      <c r="AHA19" s="503"/>
      <c r="AHB19" s="22">
        <f>176.4</f>
        <v>176.4</v>
      </c>
      <c r="AHC19" s="501">
        <v>196.7</v>
      </c>
      <c r="AHD19" s="502"/>
      <c r="AHE19" s="502"/>
      <c r="AHF19" s="503"/>
      <c r="AHG19" s="22">
        <v>197</v>
      </c>
      <c r="AHH19" s="479"/>
      <c r="AHI19" s="492"/>
      <c r="AHJ19" s="23"/>
      <c r="AHK19" s="457" t="s">
        <v>860</v>
      </c>
      <c r="AHL19" s="459"/>
      <c r="AHM19" s="459"/>
      <c r="AHN19" s="436" t="s">
        <v>16</v>
      </c>
      <c r="AHO19" s="501">
        <v>204.5</v>
      </c>
      <c r="AHP19" s="502"/>
      <c r="AHQ19" s="502"/>
      <c r="AHR19" s="503"/>
      <c r="AHS19" s="22">
        <v>205</v>
      </c>
      <c r="AHT19" s="501">
        <v>204.5</v>
      </c>
      <c r="AHU19" s="502"/>
      <c r="AHV19" s="502"/>
      <c r="AHW19" s="503"/>
      <c r="AHX19" s="22">
        <v>205</v>
      </c>
      <c r="AHY19" s="501">
        <v>174.2</v>
      </c>
      <c r="AHZ19" s="502"/>
      <c r="AIA19" s="502"/>
      <c r="AIB19" s="503"/>
      <c r="AIC19" s="22">
        <v>174</v>
      </c>
      <c r="AID19" s="501">
        <v>174.2</v>
      </c>
      <c r="AIE19" s="502"/>
      <c r="AIF19" s="502"/>
      <c r="AIG19" s="503"/>
      <c r="AIH19" s="22">
        <v>174</v>
      </c>
      <c r="AII19" s="479"/>
      <c r="AIJ19" s="492"/>
      <c r="AIK19" s="23"/>
      <c r="AIL19" s="457" t="s">
        <v>860</v>
      </c>
      <c r="AIM19" s="459"/>
      <c r="AIN19" s="459"/>
      <c r="AIO19" s="436" t="s">
        <v>16</v>
      </c>
      <c r="AIP19" s="501">
        <v>174.2</v>
      </c>
      <c r="AIQ19" s="502"/>
      <c r="AIR19" s="502"/>
      <c r="AIS19" s="503"/>
      <c r="AIT19" s="22">
        <v>174</v>
      </c>
      <c r="AIU19" s="501">
        <v>204.5</v>
      </c>
      <c r="AIV19" s="502"/>
      <c r="AIW19" s="502"/>
      <c r="AIX19" s="503"/>
      <c r="AIY19" s="22">
        <v>205</v>
      </c>
      <c r="AIZ19" s="501">
        <v>200.6</v>
      </c>
      <c r="AJA19" s="502"/>
      <c r="AJB19" s="502"/>
      <c r="AJC19" s="503"/>
      <c r="AJD19" s="22">
        <v>201</v>
      </c>
      <c r="AJE19" s="501">
        <v>216.8</v>
      </c>
      <c r="AJF19" s="502"/>
      <c r="AJG19" s="502"/>
      <c r="AJH19" s="503"/>
      <c r="AJI19" s="22">
        <v>217</v>
      </c>
      <c r="AJJ19" s="479"/>
      <c r="AJK19" s="492"/>
      <c r="AJL19" s="23"/>
      <c r="AJM19" s="457" t="s">
        <v>860</v>
      </c>
      <c r="AJN19" s="459"/>
      <c r="AJO19" s="459"/>
      <c r="AJP19" s="436" t="s">
        <v>16</v>
      </c>
      <c r="AJQ19" s="501">
        <v>194</v>
      </c>
      <c r="AJR19" s="502"/>
      <c r="AJS19" s="502"/>
      <c r="AJT19" s="503"/>
      <c r="AJU19" s="22">
        <v>194</v>
      </c>
      <c r="AJV19" s="501">
        <v>193</v>
      </c>
      <c r="AJW19" s="502"/>
      <c r="AJX19" s="502"/>
      <c r="AJY19" s="503"/>
      <c r="AJZ19" s="22">
        <v>217</v>
      </c>
      <c r="AKA19" s="501">
        <v>204.2</v>
      </c>
      <c r="AKB19" s="502"/>
      <c r="AKC19" s="502"/>
      <c r="AKD19" s="503"/>
      <c r="AKE19" s="22">
        <v>204</v>
      </c>
      <c r="AKF19" s="501">
        <v>203.2</v>
      </c>
      <c r="AKG19" s="502"/>
      <c r="AKH19" s="502"/>
      <c r="AKI19" s="503"/>
      <c r="AKJ19" s="22">
        <v>203</v>
      </c>
      <c r="AKK19" s="479"/>
      <c r="AKL19" s="492"/>
      <c r="AKM19" s="23"/>
      <c r="AKN19" s="457" t="s">
        <v>860</v>
      </c>
      <c r="AKO19" s="459"/>
      <c r="AKP19" s="459"/>
      <c r="AKQ19" s="436" t="s">
        <v>16</v>
      </c>
      <c r="AKR19" s="501">
        <v>200.2</v>
      </c>
      <c r="AKS19" s="502"/>
      <c r="AKT19" s="502"/>
      <c r="AKU19" s="503"/>
      <c r="AKV19" s="22">
        <v>200</v>
      </c>
      <c r="AKW19" s="501">
        <v>201.1</v>
      </c>
      <c r="AKX19" s="502"/>
      <c r="AKY19" s="502"/>
      <c r="AKZ19" s="503"/>
      <c r="ALA19" s="22">
        <v>201.1</v>
      </c>
      <c r="ALB19" s="501">
        <v>205</v>
      </c>
      <c r="ALC19" s="502"/>
      <c r="ALD19" s="502"/>
      <c r="ALE19" s="503"/>
      <c r="ALF19" s="22">
        <v>205</v>
      </c>
      <c r="ALG19" s="501">
        <v>206.1</v>
      </c>
      <c r="ALH19" s="502"/>
      <c r="ALI19" s="502"/>
      <c r="ALJ19" s="503"/>
      <c r="ALK19" s="22">
        <v>206</v>
      </c>
      <c r="ALL19" s="479"/>
      <c r="ALM19" s="492"/>
      <c r="ALN19" s="23"/>
      <c r="ALO19" s="457" t="s">
        <v>860</v>
      </c>
      <c r="ALP19" s="459"/>
      <c r="ALQ19" s="459"/>
      <c r="ALR19" s="436" t="s">
        <v>16</v>
      </c>
      <c r="ALS19" s="501">
        <v>206.1</v>
      </c>
      <c r="ALT19" s="502"/>
      <c r="ALU19" s="502"/>
      <c r="ALV19" s="503"/>
      <c r="ALW19" s="22">
        <v>206.1</v>
      </c>
      <c r="ALX19" s="501">
        <v>206.1</v>
      </c>
      <c r="ALY19" s="502"/>
      <c r="ALZ19" s="502"/>
      <c r="AMA19" s="503"/>
      <c r="AMB19" s="22">
        <v>206</v>
      </c>
      <c r="AMC19" s="501">
        <v>196.7</v>
      </c>
      <c r="AMD19" s="502"/>
      <c r="AME19" s="502"/>
      <c r="AMF19" s="503"/>
      <c r="AMG19" s="22">
        <v>198</v>
      </c>
      <c r="AMH19" s="501">
        <v>221.6</v>
      </c>
      <c r="AMI19" s="502"/>
      <c r="AMJ19" s="502"/>
      <c r="AMK19" s="503"/>
      <c r="AML19" s="22">
        <v>222</v>
      </c>
      <c r="AMM19" s="479"/>
      <c r="AMN19" s="492"/>
      <c r="AMO19" s="23"/>
      <c r="AMP19" s="457" t="s">
        <v>860</v>
      </c>
      <c r="AMQ19" s="459"/>
      <c r="AMR19" s="459"/>
      <c r="AMS19" s="436" t="s">
        <v>16</v>
      </c>
      <c r="AMT19" s="501">
        <v>197.7</v>
      </c>
      <c r="AMU19" s="502"/>
      <c r="AMV19" s="502"/>
      <c r="AMW19" s="503"/>
      <c r="AMX19" s="22">
        <v>198</v>
      </c>
      <c r="AMY19" s="501">
        <v>197.4</v>
      </c>
      <c r="AMZ19" s="502"/>
      <c r="ANA19" s="502"/>
      <c r="ANB19" s="503"/>
      <c r="ANC19" s="22">
        <v>195</v>
      </c>
      <c r="AND19" s="501">
        <v>249</v>
      </c>
      <c r="ANE19" s="502"/>
      <c r="ANF19" s="502"/>
      <c r="ANG19" s="503"/>
      <c r="ANH19" s="22">
        <v>249</v>
      </c>
      <c r="ANI19" s="501">
        <v>239.6</v>
      </c>
      <c r="ANJ19" s="502"/>
      <c r="ANK19" s="502"/>
      <c r="ANL19" s="503"/>
      <c r="ANM19" s="22">
        <v>240</v>
      </c>
      <c r="ANN19" s="479"/>
      <c r="ANO19" s="492"/>
      <c r="ANP19" s="23"/>
      <c r="ANQ19" s="457" t="s">
        <v>860</v>
      </c>
      <c r="ANR19" s="459"/>
      <c r="ANS19" s="459"/>
      <c r="ANT19" s="436" t="s">
        <v>16</v>
      </c>
      <c r="ANU19" s="501">
        <v>209</v>
      </c>
      <c r="ANV19" s="502"/>
      <c r="ANW19" s="502"/>
      <c r="ANX19" s="503"/>
      <c r="ANY19" s="22">
        <v>209</v>
      </c>
      <c r="ANZ19" s="501">
        <v>211</v>
      </c>
      <c r="AOA19" s="502"/>
      <c r="AOB19" s="502"/>
      <c r="AOC19" s="503"/>
      <c r="AOD19" s="22">
        <v>211</v>
      </c>
      <c r="AOE19" s="501">
        <v>252.3</v>
      </c>
      <c r="AOF19" s="502"/>
      <c r="AOG19" s="502"/>
      <c r="AOH19" s="503"/>
      <c r="AOI19" s="526">
        <v>252</v>
      </c>
      <c r="AOJ19" s="527">
        <v>252</v>
      </c>
      <c r="AOK19" s="501">
        <f>257</f>
        <v>257</v>
      </c>
      <c r="AOL19" s="502"/>
      <c r="AOM19" s="502"/>
      <c r="AON19" s="503"/>
      <c r="AOO19" s="22">
        <v>257</v>
      </c>
      <c r="AOP19" s="479"/>
      <c r="AOQ19" s="492"/>
      <c r="AOR19" s="23"/>
      <c r="AOS19" s="457" t="s">
        <v>860</v>
      </c>
      <c r="AOT19" s="459"/>
      <c r="AOU19" s="459"/>
      <c r="AOV19" s="436" t="s">
        <v>16</v>
      </c>
      <c r="AOW19" s="501">
        <v>252.3</v>
      </c>
      <c r="AOX19" s="502"/>
      <c r="AOY19" s="502"/>
      <c r="AOZ19" s="503"/>
      <c r="APA19" s="22">
        <v>252</v>
      </c>
      <c r="APB19" s="501">
        <v>252.3</v>
      </c>
      <c r="APC19" s="502"/>
      <c r="APD19" s="502"/>
      <c r="APE19" s="503"/>
      <c r="APF19" s="22">
        <v>252</v>
      </c>
      <c r="APG19" s="501">
        <v>209</v>
      </c>
      <c r="APH19" s="502"/>
      <c r="API19" s="502"/>
      <c r="APJ19" s="503"/>
      <c r="APK19" s="22">
        <v>252</v>
      </c>
      <c r="APL19" s="501">
        <v>211</v>
      </c>
      <c r="APM19" s="502"/>
      <c r="APN19" s="502"/>
      <c r="APO19" s="503"/>
      <c r="APP19" s="22">
        <v>211</v>
      </c>
      <c r="APQ19" s="479"/>
      <c r="APR19" s="492"/>
      <c r="APS19" s="23"/>
      <c r="APT19" s="457" t="s">
        <v>860</v>
      </c>
      <c r="APU19" s="459"/>
      <c r="APV19" s="459"/>
      <c r="APW19" s="436" t="s">
        <v>16</v>
      </c>
      <c r="APX19" s="501">
        <f>252.3</f>
        <v>252.3</v>
      </c>
      <c r="APY19" s="502"/>
      <c r="APZ19" s="502"/>
      <c r="AQA19" s="503"/>
      <c r="AQB19" s="22">
        <v>252</v>
      </c>
      <c r="AQC19" s="501">
        <v>251.9</v>
      </c>
      <c r="AQD19" s="502"/>
      <c r="AQE19" s="502"/>
      <c r="AQF19" s="503"/>
      <c r="AQG19" s="22">
        <v>252</v>
      </c>
      <c r="AQH19" s="501">
        <v>200</v>
      </c>
      <c r="AQI19" s="502"/>
      <c r="AQJ19" s="502"/>
      <c r="AQK19" s="503"/>
      <c r="AQL19" s="22">
        <v>200</v>
      </c>
      <c r="AQM19" s="501">
        <v>202</v>
      </c>
      <c r="AQN19" s="502"/>
      <c r="AQO19" s="502"/>
      <c r="AQP19" s="503"/>
      <c r="AQQ19" s="22">
        <v>202</v>
      </c>
      <c r="AQR19" s="479"/>
      <c r="AQS19" s="492"/>
      <c r="AQT19" s="23"/>
      <c r="AQU19" s="457" t="s">
        <v>860</v>
      </c>
      <c r="AQV19" s="459"/>
      <c r="AQW19" s="459"/>
      <c r="AQX19" s="436" t="s">
        <v>16</v>
      </c>
      <c r="AQY19" s="501">
        <v>200</v>
      </c>
      <c r="AQZ19" s="502"/>
      <c r="ARA19" s="502"/>
      <c r="ARB19" s="503"/>
      <c r="ARC19" s="22">
        <v>200</v>
      </c>
      <c r="ARD19" s="501">
        <v>200</v>
      </c>
      <c r="ARE19" s="502"/>
      <c r="ARF19" s="502"/>
      <c r="ARG19" s="503"/>
      <c r="ARH19" s="22">
        <v>200</v>
      </c>
      <c r="ARI19" s="501">
        <v>202</v>
      </c>
      <c r="ARJ19" s="502"/>
      <c r="ARK19" s="502"/>
      <c r="ARL19" s="503"/>
      <c r="ARM19" s="22">
        <v>200</v>
      </c>
      <c r="ARN19" s="501">
        <v>225</v>
      </c>
      <c r="ARO19" s="502"/>
      <c r="ARP19" s="502"/>
      <c r="ARQ19" s="503"/>
      <c r="ARR19" s="22">
        <v>225</v>
      </c>
      <c r="ARS19" s="479"/>
      <c r="ART19" s="492"/>
      <c r="ARU19" s="23"/>
      <c r="ARV19" s="457" t="s">
        <v>860</v>
      </c>
      <c r="ARW19" s="459"/>
      <c r="ARX19" s="459"/>
      <c r="ARY19" s="436" t="s">
        <v>16</v>
      </c>
      <c r="ARZ19" s="501">
        <v>240</v>
      </c>
      <c r="ASA19" s="502"/>
      <c r="ASB19" s="502"/>
      <c r="ASC19" s="503"/>
      <c r="ASD19" s="22">
        <v>240</v>
      </c>
      <c r="ASE19" s="501">
        <v>223</v>
      </c>
      <c r="ASF19" s="502"/>
      <c r="ASG19" s="502"/>
      <c r="ASH19" s="503"/>
      <c r="ASI19" s="22">
        <v>223</v>
      </c>
      <c r="ASJ19" s="501">
        <v>203</v>
      </c>
      <c r="ASK19" s="502"/>
      <c r="ASL19" s="502"/>
      <c r="ASM19" s="503"/>
      <c r="ASN19" s="22">
        <v>203</v>
      </c>
      <c r="ASO19" s="501">
        <v>225</v>
      </c>
      <c r="ASP19" s="502"/>
      <c r="ASQ19" s="502"/>
      <c r="ASR19" s="503"/>
      <c r="ASS19" s="22">
        <v>225</v>
      </c>
      <c r="AST19" s="479"/>
      <c r="ASU19" s="492"/>
      <c r="ASV19" s="23"/>
      <c r="ASW19" s="457" t="s">
        <v>860</v>
      </c>
      <c r="ASX19" s="459"/>
      <c r="ASY19" s="459"/>
      <c r="ASZ19" s="436" t="s">
        <v>16</v>
      </c>
      <c r="ATA19" s="501">
        <v>273.39999999999998</v>
      </c>
      <c r="ATB19" s="502"/>
      <c r="ATC19" s="502"/>
      <c r="ATD19" s="503"/>
      <c r="ATE19" s="22">
        <v>273</v>
      </c>
      <c r="ATF19" s="501">
        <v>225</v>
      </c>
      <c r="ATG19" s="502"/>
      <c r="ATH19" s="502"/>
      <c r="ATI19" s="503"/>
      <c r="ATJ19" s="22">
        <v>221</v>
      </c>
      <c r="ATK19" s="501">
        <v>225</v>
      </c>
      <c r="ATL19" s="502"/>
      <c r="ATM19" s="502"/>
      <c r="ATN19" s="503"/>
      <c r="ATO19" s="22">
        <v>223</v>
      </c>
      <c r="ATP19" s="501">
        <v>259.2</v>
      </c>
      <c r="ATQ19" s="502"/>
      <c r="ATR19" s="502"/>
      <c r="ATS19" s="503"/>
      <c r="ATT19" s="22">
        <v>259</v>
      </c>
      <c r="ATU19" s="479"/>
      <c r="ATV19" s="492"/>
      <c r="ATW19" s="23"/>
      <c r="ATX19" s="457" t="s">
        <v>860</v>
      </c>
      <c r="ATY19" s="459"/>
      <c r="ATZ19" s="459"/>
      <c r="AUA19" s="436" t="s">
        <v>16</v>
      </c>
      <c r="AUB19" s="501">
        <v>249.1</v>
      </c>
      <c r="AUC19" s="502"/>
      <c r="AUD19" s="502"/>
      <c r="AUE19" s="503"/>
      <c r="AUF19" s="22">
        <v>249</v>
      </c>
      <c r="AUG19" s="501">
        <v>213</v>
      </c>
      <c r="AUH19" s="502"/>
      <c r="AUI19" s="502"/>
      <c r="AUJ19" s="503"/>
      <c r="AUK19" s="22">
        <v>213</v>
      </c>
      <c r="AUL19" s="501">
        <v>223</v>
      </c>
      <c r="AUM19" s="502"/>
      <c r="AUN19" s="502"/>
      <c r="AUO19" s="503"/>
      <c r="AUP19" s="22">
        <v>223</v>
      </c>
      <c r="AUQ19" s="501">
        <v>221</v>
      </c>
      <c r="AUR19" s="502"/>
      <c r="AUS19" s="502"/>
      <c r="AUT19" s="503"/>
      <c r="AUU19" s="22">
        <v>221</v>
      </c>
      <c r="AUV19" s="479"/>
      <c r="AUW19" s="492"/>
      <c r="AUX19" s="23"/>
      <c r="AUY19" s="457" t="s">
        <v>860</v>
      </c>
      <c r="AUZ19" s="459"/>
      <c r="AVA19" s="459"/>
      <c r="AVB19" s="436" t="s">
        <v>16</v>
      </c>
      <c r="AVC19" s="501">
        <f>266</f>
        <v>266</v>
      </c>
      <c r="AVD19" s="502"/>
      <c r="AVE19" s="502"/>
      <c r="AVF19" s="503"/>
      <c r="AVG19" s="22">
        <v>266</v>
      </c>
      <c r="AVH19" s="501">
        <v>266</v>
      </c>
      <c r="AVI19" s="502"/>
      <c r="AVJ19" s="502"/>
      <c r="AVK19" s="503"/>
      <c r="AVL19" s="22">
        <v>266</v>
      </c>
      <c r="AVM19" s="501">
        <v>266</v>
      </c>
      <c r="AVN19" s="502"/>
      <c r="AVO19" s="502"/>
      <c r="AVP19" s="503"/>
      <c r="AVQ19" s="22">
        <v>266</v>
      </c>
      <c r="AVR19" s="501">
        <v>218</v>
      </c>
      <c r="AVS19" s="502"/>
      <c r="AVT19" s="502"/>
      <c r="AVU19" s="503"/>
      <c r="AVV19" s="22">
        <v>219</v>
      </c>
      <c r="AVW19" s="479"/>
      <c r="AVX19" s="492"/>
      <c r="AVY19" s="23"/>
      <c r="AVZ19" s="457" t="s">
        <v>860</v>
      </c>
      <c r="AWA19" s="459"/>
      <c r="AWB19" s="459"/>
      <c r="AWC19" s="436" t="s">
        <v>16</v>
      </c>
      <c r="AWD19" s="501">
        <v>216</v>
      </c>
      <c r="AWE19" s="502"/>
      <c r="AWF19" s="502"/>
      <c r="AWG19" s="503"/>
      <c r="AWH19" s="22">
        <v>218</v>
      </c>
      <c r="AWI19" s="501">
        <v>218</v>
      </c>
      <c r="AWJ19" s="502"/>
      <c r="AWK19" s="502"/>
      <c r="AWL19" s="503"/>
      <c r="AWM19" s="22">
        <v>216</v>
      </c>
      <c r="AWN19" s="501">
        <v>266</v>
      </c>
      <c r="AWO19" s="502"/>
      <c r="AWP19" s="502"/>
      <c r="AWQ19" s="503"/>
      <c r="AWR19" s="22">
        <v>266</v>
      </c>
      <c r="AWS19" s="501">
        <v>172.6</v>
      </c>
      <c r="AWT19" s="502"/>
      <c r="AWU19" s="502"/>
      <c r="AWV19" s="503"/>
      <c r="AWW19" s="22">
        <v>173</v>
      </c>
      <c r="AWX19" s="479"/>
      <c r="AWY19" s="492"/>
      <c r="AWZ19" s="23"/>
      <c r="AXA19" s="457" t="s">
        <v>860</v>
      </c>
      <c r="AXB19" s="459"/>
      <c r="AXC19" s="459"/>
      <c r="AXD19" s="436" t="s">
        <v>16</v>
      </c>
      <c r="AXE19" s="501">
        <v>266</v>
      </c>
      <c r="AXF19" s="502"/>
      <c r="AXG19" s="502"/>
      <c r="AXH19" s="503"/>
      <c r="AXI19" s="22">
        <v>266</v>
      </c>
      <c r="AXJ19" s="501">
        <v>266</v>
      </c>
      <c r="AXK19" s="502"/>
      <c r="AXL19" s="502"/>
      <c r="AXM19" s="503"/>
      <c r="AXN19" s="22">
        <v>266</v>
      </c>
      <c r="AXO19" s="501">
        <v>218</v>
      </c>
      <c r="AXP19" s="502"/>
      <c r="AXQ19" s="502"/>
      <c r="AXR19" s="503"/>
      <c r="AXS19" s="22">
        <v>218</v>
      </c>
      <c r="AXT19" s="501">
        <v>220</v>
      </c>
      <c r="AXU19" s="502"/>
      <c r="AXV19" s="502"/>
      <c r="AXW19" s="503"/>
      <c r="AXX19" s="22">
        <v>218</v>
      </c>
      <c r="AXY19" s="479"/>
      <c r="AXZ19" s="492"/>
      <c r="AYA19" s="23"/>
      <c r="AYB19" s="457" t="s">
        <v>860</v>
      </c>
      <c r="AYC19" s="459"/>
      <c r="AYD19" s="459"/>
      <c r="AYE19" s="436" t="s">
        <v>16</v>
      </c>
      <c r="AYF19" s="501">
        <v>222</v>
      </c>
      <c r="AYG19" s="502"/>
      <c r="AYH19" s="502"/>
      <c r="AYI19" s="503"/>
      <c r="AYJ19" s="22">
        <v>222</v>
      </c>
      <c r="AYK19" s="501">
        <v>113.2</v>
      </c>
      <c r="AYL19" s="502"/>
      <c r="AYM19" s="502"/>
      <c r="AYN19" s="503"/>
      <c r="AYO19" s="22">
        <v>113</v>
      </c>
      <c r="AYP19" s="501">
        <v>214</v>
      </c>
      <c r="AYQ19" s="502"/>
      <c r="AYR19" s="502"/>
      <c r="AYS19" s="503"/>
      <c r="AYT19" s="22">
        <v>216</v>
      </c>
      <c r="AYU19" s="501">
        <v>266</v>
      </c>
      <c r="AYV19" s="502"/>
      <c r="AYW19" s="502"/>
      <c r="AYX19" s="503"/>
      <c r="AYY19" s="22">
        <v>266</v>
      </c>
      <c r="AYZ19" s="479"/>
      <c r="AZA19" s="492"/>
      <c r="AZB19" s="23"/>
      <c r="AZC19" s="457" t="s">
        <v>860</v>
      </c>
      <c r="AZD19" s="459"/>
      <c r="AZE19" s="459"/>
      <c r="AZF19" s="436" t="s">
        <v>16</v>
      </c>
      <c r="AZG19" s="501">
        <v>260.2</v>
      </c>
      <c r="AZH19" s="502"/>
      <c r="AZI19" s="502"/>
      <c r="AZJ19" s="503"/>
      <c r="AZK19" s="22">
        <v>260</v>
      </c>
      <c r="AZL19" s="501">
        <v>260.2</v>
      </c>
      <c r="AZM19" s="502"/>
      <c r="AZN19" s="502"/>
      <c r="AZO19" s="503"/>
      <c r="AZP19" s="22">
        <v>260</v>
      </c>
      <c r="AZQ19" s="501">
        <v>254</v>
      </c>
      <c r="AZR19" s="502"/>
      <c r="AZS19" s="502"/>
      <c r="AZT19" s="503"/>
      <c r="AZU19" s="22">
        <v>254</v>
      </c>
      <c r="AZV19" s="501">
        <v>206</v>
      </c>
      <c r="AZW19" s="502"/>
      <c r="AZX19" s="502"/>
      <c r="AZY19" s="503"/>
      <c r="AZZ19" s="22">
        <v>205</v>
      </c>
      <c r="BAA19" s="478"/>
      <c r="BAB19" s="492"/>
      <c r="BAC19" s="23"/>
      <c r="BAD19" s="457" t="s">
        <v>860</v>
      </c>
      <c r="BAE19" s="459"/>
      <c r="BAF19" s="459"/>
      <c r="BAG19" s="436" t="s">
        <v>16</v>
      </c>
      <c r="BAH19" s="501">
        <v>206</v>
      </c>
      <c r="BAI19" s="502"/>
      <c r="BAJ19" s="502"/>
      <c r="BAK19" s="503"/>
      <c r="BAL19" s="22">
        <v>206</v>
      </c>
      <c r="BAM19" s="501">
        <v>254</v>
      </c>
      <c r="BAN19" s="502"/>
      <c r="BAO19" s="502"/>
      <c r="BAP19" s="503"/>
      <c r="BAQ19" s="22">
        <v>254</v>
      </c>
      <c r="BAR19" s="501">
        <v>254</v>
      </c>
      <c r="BAS19" s="502"/>
      <c r="BAT19" s="502"/>
      <c r="BAU19" s="503"/>
      <c r="BAV19" s="22">
        <v>254</v>
      </c>
      <c r="BAW19" s="501">
        <v>254</v>
      </c>
      <c r="BAX19" s="502"/>
      <c r="BAY19" s="502"/>
      <c r="BAZ19" s="503"/>
      <c r="BBA19" s="22">
        <v>254</v>
      </c>
      <c r="BBB19" s="479"/>
      <c r="BBC19" s="492"/>
      <c r="BBD19" s="23"/>
      <c r="BBE19" s="457" t="s">
        <v>860</v>
      </c>
      <c r="BBF19" s="459"/>
      <c r="BBG19" s="459"/>
      <c r="BBH19" s="436" t="s">
        <v>16</v>
      </c>
      <c r="BBI19" s="501">
        <v>254</v>
      </c>
      <c r="BBJ19" s="502"/>
      <c r="BBK19" s="502"/>
      <c r="BBL19" s="503"/>
      <c r="BBM19" s="22">
        <v>254</v>
      </c>
      <c r="BBN19" s="501">
        <v>206</v>
      </c>
      <c r="BBO19" s="502"/>
      <c r="BBP19" s="502"/>
      <c r="BBQ19" s="503"/>
      <c r="BBR19" s="22">
        <v>205</v>
      </c>
      <c r="BBS19" s="501">
        <v>206</v>
      </c>
      <c r="BBT19" s="502"/>
      <c r="BBU19" s="502"/>
      <c r="BBV19" s="503"/>
      <c r="BBW19" s="22">
        <v>206</v>
      </c>
      <c r="BBX19" s="501">
        <v>262</v>
      </c>
      <c r="BBY19" s="502"/>
      <c r="BBZ19" s="502"/>
      <c r="BCA19" s="503"/>
      <c r="BCB19" s="22">
        <v>242</v>
      </c>
      <c r="BCC19" s="479"/>
      <c r="BCD19" s="492"/>
      <c r="BCE19" s="23"/>
      <c r="BCF19" s="457" t="s">
        <v>860</v>
      </c>
      <c r="BCG19" s="459"/>
      <c r="BCH19" s="459"/>
      <c r="BCI19" s="436" t="s">
        <v>16</v>
      </c>
      <c r="BCJ19" s="501">
        <f>254</f>
        <v>254</v>
      </c>
      <c r="BCK19" s="502"/>
      <c r="BCL19" s="502"/>
      <c r="BCM19" s="503"/>
      <c r="BCN19" s="22">
        <v>254</v>
      </c>
      <c r="BCO19" s="501">
        <v>242.4</v>
      </c>
      <c r="BCP19" s="502"/>
      <c r="BCQ19" s="502"/>
      <c r="BCR19" s="503"/>
      <c r="BCS19" s="22">
        <v>242</v>
      </c>
      <c r="BCT19" s="501">
        <v>242</v>
      </c>
      <c r="BCU19" s="502"/>
      <c r="BCV19" s="502"/>
      <c r="BCW19" s="503"/>
      <c r="BCX19" s="22">
        <v>242</v>
      </c>
      <c r="BCY19" s="501">
        <v>242.4</v>
      </c>
      <c r="BCZ19" s="502"/>
      <c r="BDA19" s="502"/>
      <c r="BDB19" s="503"/>
      <c r="BDC19" s="22">
        <v>242</v>
      </c>
      <c r="BDD19" s="479"/>
      <c r="BDE19" s="492"/>
      <c r="BDF19" s="23"/>
      <c r="BDG19" s="457" t="s">
        <v>860</v>
      </c>
      <c r="BDH19" s="459"/>
      <c r="BDI19" s="459"/>
      <c r="BDJ19" s="436" t="s">
        <v>16</v>
      </c>
      <c r="BDK19" s="501">
        <v>200</v>
      </c>
      <c r="BDL19" s="502"/>
      <c r="BDM19" s="502"/>
      <c r="BDN19" s="503"/>
      <c r="BDO19" s="22">
        <v>200</v>
      </c>
      <c r="BDP19" s="501">
        <v>234.5</v>
      </c>
      <c r="BDQ19" s="502"/>
      <c r="BDR19" s="502"/>
      <c r="BDS19" s="503"/>
      <c r="BDT19" s="22">
        <v>235</v>
      </c>
      <c r="BDU19" s="501">
        <v>200</v>
      </c>
      <c r="BDV19" s="502"/>
      <c r="BDW19" s="502"/>
      <c r="BDX19" s="503"/>
      <c r="BDY19" s="22">
        <v>197</v>
      </c>
      <c r="BDZ19" s="501">
        <v>238.5</v>
      </c>
      <c r="BEA19" s="502"/>
      <c r="BEB19" s="502"/>
      <c r="BEC19" s="503"/>
      <c r="BED19" s="22">
        <v>239</v>
      </c>
      <c r="BEE19" s="479"/>
      <c r="BEF19" s="492"/>
      <c r="BEG19" s="23"/>
      <c r="BEH19" s="457" t="s">
        <v>860</v>
      </c>
      <c r="BEI19" s="459"/>
      <c r="BEJ19" s="459"/>
      <c r="BEK19" s="436" t="s">
        <v>16</v>
      </c>
      <c r="BEL19" s="501">
        <v>236.5</v>
      </c>
      <c r="BEM19" s="502"/>
      <c r="BEN19" s="502"/>
      <c r="BEO19" s="503"/>
      <c r="BEP19" s="22">
        <v>237</v>
      </c>
      <c r="BEQ19" s="501">
        <v>245</v>
      </c>
      <c r="BER19" s="502"/>
      <c r="BES19" s="502"/>
      <c r="BET19" s="503"/>
      <c r="BEU19" s="22">
        <v>245</v>
      </c>
      <c r="BEV19" s="501">
        <v>236.5</v>
      </c>
      <c r="BEW19" s="502"/>
      <c r="BEX19" s="502"/>
      <c r="BEY19" s="503"/>
      <c r="BEZ19" s="22">
        <v>237</v>
      </c>
      <c r="BFA19" s="501">
        <v>245</v>
      </c>
      <c r="BFB19" s="502"/>
      <c r="BFC19" s="502"/>
      <c r="BFD19" s="503"/>
      <c r="BFE19" s="22">
        <v>245</v>
      </c>
      <c r="BFF19" s="479"/>
      <c r="BFG19" s="492"/>
      <c r="BFH19" s="23"/>
      <c r="BFI19" s="457" t="s">
        <v>860</v>
      </c>
      <c r="BFJ19" s="459"/>
      <c r="BFK19" s="459"/>
      <c r="BFL19" s="436" t="s">
        <v>16</v>
      </c>
      <c r="BFM19" s="501">
        <v>169.7</v>
      </c>
      <c r="BFN19" s="502"/>
      <c r="BFO19" s="502"/>
      <c r="BFP19" s="503"/>
      <c r="BFQ19" s="22">
        <v>165</v>
      </c>
      <c r="BFR19" s="501">
        <v>180.2</v>
      </c>
      <c r="BFS19" s="502"/>
      <c r="BFT19" s="502"/>
      <c r="BFU19" s="503"/>
      <c r="BFV19" s="22">
        <v>182</v>
      </c>
      <c r="BFW19" s="501"/>
      <c r="BFX19" s="502"/>
      <c r="BFY19" s="502"/>
      <c r="BFZ19" s="503"/>
      <c r="BGA19" s="22"/>
      <c r="BGB19" s="501"/>
      <c r="BGC19" s="502"/>
      <c r="BGD19" s="502"/>
      <c r="BGE19" s="503"/>
      <c r="BGF19" s="22"/>
    </row>
    <row r="20" spans="1:1540" ht="45" customHeight="1" x14ac:dyDescent="0.4">
      <c r="A20" s="478"/>
      <c r="B20" s="294" t="s">
        <v>861</v>
      </c>
      <c r="C20" s="528" t="s">
        <v>18</v>
      </c>
      <c r="D20" s="466"/>
      <c r="E20" s="466"/>
      <c r="F20" s="466"/>
      <c r="G20" s="467"/>
      <c r="H20" s="501">
        <v>1131.8</v>
      </c>
      <c r="I20" s="502"/>
      <c r="J20" s="502"/>
      <c r="K20" s="503"/>
      <c r="L20" s="22">
        <v>1041.8</v>
      </c>
      <c r="M20" s="501">
        <v>1109</v>
      </c>
      <c r="N20" s="502"/>
      <c r="O20" s="502"/>
      <c r="P20" s="503"/>
      <c r="Q20" s="22">
        <v>1051</v>
      </c>
      <c r="R20" s="501">
        <v>1286</v>
      </c>
      <c r="S20" s="502"/>
      <c r="T20" s="502"/>
      <c r="U20" s="503"/>
      <c r="V20" s="22">
        <v>1252</v>
      </c>
      <c r="W20" s="501">
        <v>1256</v>
      </c>
      <c r="X20" s="502"/>
      <c r="Y20" s="502"/>
      <c r="Z20" s="503"/>
      <c r="AA20" s="22">
        <v>1188</v>
      </c>
      <c r="AB20" s="479"/>
      <c r="AC20" s="294" t="s">
        <v>861</v>
      </c>
      <c r="AD20" s="528" t="s">
        <v>18</v>
      </c>
      <c r="AE20" s="466"/>
      <c r="AF20" s="466"/>
      <c r="AG20" s="466"/>
      <c r="AH20" s="467"/>
      <c r="AI20" s="501">
        <v>1245</v>
      </c>
      <c r="AJ20" s="502"/>
      <c r="AK20" s="502"/>
      <c r="AL20" s="503"/>
      <c r="AM20" s="22">
        <v>1140</v>
      </c>
      <c r="AN20" s="501">
        <v>1180.5</v>
      </c>
      <c r="AO20" s="502"/>
      <c r="AP20" s="502"/>
      <c r="AQ20" s="503"/>
      <c r="AR20" s="22">
        <v>1144</v>
      </c>
      <c r="AS20" s="501">
        <v>1058.7</v>
      </c>
      <c r="AT20" s="502"/>
      <c r="AU20" s="502"/>
      <c r="AV20" s="503"/>
      <c r="AW20" s="22">
        <f>AW17+AW18+AW19</f>
        <v>989</v>
      </c>
      <c r="AX20" s="501">
        <v>1266.5999999999999</v>
      </c>
      <c r="AY20" s="502"/>
      <c r="AZ20" s="502"/>
      <c r="BA20" s="503"/>
      <c r="BB20" s="22">
        <v>1208</v>
      </c>
      <c r="BC20" s="479"/>
      <c r="BD20" s="294" t="s">
        <v>861</v>
      </c>
      <c r="BE20" s="528" t="s">
        <v>18</v>
      </c>
      <c r="BF20" s="466"/>
      <c r="BG20" s="466"/>
      <c r="BH20" s="466"/>
      <c r="BI20" s="467"/>
      <c r="BJ20" s="501">
        <f>BJ17+BJ18+BJ19</f>
        <v>1166.1000000000001</v>
      </c>
      <c r="BK20" s="502"/>
      <c r="BL20" s="502"/>
      <c r="BM20" s="503"/>
      <c r="BN20" s="22">
        <v>1148</v>
      </c>
      <c r="BO20" s="501">
        <v>1189.5999999999999</v>
      </c>
      <c r="BP20" s="502"/>
      <c r="BQ20" s="502"/>
      <c r="BR20" s="503"/>
      <c r="BS20" s="22">
        <v>1200</v>
      </c>
      <c r="BT20" s="501">
        <v>1309</v>
      </c>
      <c r="BU20" s="502"/>
      <c r="BV20" s="502"/>
      <c r="BW20" s="503"/>
      <c r="BX20" s="22">
        <v>1221</v>
      </c>
      <c r="BY20" s="501">
        <v>1057.5999999999999</v>
      </c>
      <c r="BZ20" s="502"/>
      <c r="CA20" s="502"/>
      <c r="CB20" s="503"/>
      <c r="CC20" s="22">
        <f>CC17+CC18+CC19</f>
        <v>966.80000000000007</v>
      </c>
      <c r="CD20" s="479"/>
      <c r="CE20" s="294" t="s">
        <v>861</v>
      </c>
      <c r="CF20" s="528" t="s">
        <v>18</v>
      </c>
      <c r="CG20" s="466"/>
      <c r="CH20" s="466"/>
      <c r="CI20" s="466"/>
      <c r="CJ20" s="467"/>
      <c r="CK20" s="501">
        <f>CK17+CK18+CK19</f>
        <v>1289.8</v>
      </c>
      <c r="CL20" s="502"/>
      <c r="CM20" s="502"/>
      <c r="CN20" s="503"/>
      <c r="CO20" s="22">
        <v>1186</v>
      </c>
      <c r="CP20" s="501">
        <v>1276.5999999999999</v>
      </c>
      <c r="CQ20" s="502"/>
      <c r="CR20" s="502"/>
      <c r="CS20" s="503"/>
      <c r="CT20" s="22">
        <v>1215</v>
      </c>
      <c r="CU20" s="501">
        <v>1268.5999999999999</v>
      </c>
      <c r="CV20" s="502"/>
      <c r="CW20" s="502"/>
      <c r="CX20" s="503"/>
      <c r="CY20" s="22">
        <v>1076</v>
      </c>
      <c r="CZ20" s="501">
        <v>1206.5999999999999</v>
      </c>
      <c r="DA20" s="502"/>
      <c r="DB20" s="502"/>
      <c r="DC20" s="503"/>
      <c r="DD20" s="22">
        <v>1220</v>
      </c>
      <c r="DE20" s="479"/>
      <c r="DF20" s="294" t="s">
        <v>861</v>
      </c>
      <c r="DG20" s="528" t="s">
        <v>18</v>
      </c>
      <c r="DH20" s="466"/>
      <c r="DI20" s="466"/>
      <c r="DJ20" s="466"/>
      <c r="DK20" s="467"/>
      <c r="DL20" s="501">
        <v>1229.5999999999999</v>
      </c>
      <c r="DM20" s="502"/>
      <c r="DN20" s="502"/>
      <c r="DO20" s="503"/>
      <c r="DP20" s="22">
        <v>1110</v>
      </c>
      <c r="DQ20" s="501">
        <v>1148.0999999999999</v>
      </c>
      <c r="DR20" s="502"/>
      <c r="DS20" s="502"/>
      <c r="DT20" s="503"/>
      <c r="DU20" s="22">
        <v>1091</v>
      </c>
      <c r="DV20" s="501">
        <v>1087.2</v>
      </c>
      <c r="DW20" s="502"/>
      <c r="DX20" s="502"/>
      <c r="DY20" s="503"/>
      <c r="DZ20" s="22">
        <v>1057</v>
      </c>
      <c r="EA20" s="501">
        <f>EA17+EA18+EA19</f>
        <v>1220.9000000000001</v>
      </c>
      <c r="EB20" s="502"/>
      <c r="EC20" s="502"/>
      <c r="ED20" s="503"/>
      <c r="EE20" s="22">
        <v>1187</v>
      </c>
      <c r="EF20" s="479"/>
      <c r="EG20" s="294" t="s">
        <v>861</v>
      </c>
      <c r="EH20" s="528" t="s">
        <v>18</v>
      </c>
      <c r="EI20" s="466"/>
      <c r="EJ20" s="466"/>
      <c r="EK20" s="466"/>
      <c r="EL20" s="467"/>
      <c r="EM20" s="501">
        <v>1246.3</v>
      </c>
      <c r="EN20" s="502"/>
      <c r="EO20" s="502"/>
      <c r="EP20" s="503"/>
      <c r="EQ20" s="22">
        <v>1151</v>
      </c>
      <c r="ER20" s="501">
        <v>1164.7</v>
      </c>
      <c r="ES20" s="502"/>
      <c r="ET20" s="502"/>
      <c r="EU20" s="503"/>
      <c r="EV20" s="22">
        <v>1111</v>
      </c>
      <c r="EW20" s="501">
        <v>1039.0999999999999</v>
      </c>
      <c r="EX20" s="502"/>
      <c r="EY20" s="502"/>
      <c r="EZ20" s="503"/>
      <c r="FA20" s="22">
        <v>819</v>
      </c>
      <c r="FB20" s="501">
        <v>1053</v>
      </c>
      <c r="FC20" s="502"/>
      <c r="FD20" s="502"/>
      <c r="FE20" s="503"/>
      <c r="FF20" s="22">
        <v>952</v>
      </c>
      <c r="FG20" s="479"/>
      <c r="FH20" s="294" t="s">
        <v>861</v>
      </c>
      <c r="FI20" s="528" t="s">
        <v>18</v>
      </c>
      <c r="FJ20" s="466"/>
      <c r="FK20" s="466"/>
      <c r="FL20" s="466"/>
      <c r="FM20" s="467"/>
      <c r="FN20" s="501">
        <v>1074.0999999999999</v>
      </c>
      <c r="FO20" s="502"/>
      <c r="FP20" s="502"/>
      <c r="FQ20" s="503"/>
      <c r="FR20" s="22">
        <v>1016</v>
      </c>
      <c r="FS20" s="501">
        <v>1111.5999999999999</v>
      </c>
      <c r="FT20" s="502"/>
      <c r="FU20" s="502"/>
      <c r="FV20" s="503"/>
      <c r="FW20" s="22">
        <v>1044</v>
      </c>
      <c r="FX20" s="501">
        <v>932.6</v>
      </c>
      <c r="FY20" s="502"/>
      <c r="FZ20" s="502"/>
      <c r="GA20" s="503"/>
      <c r="GB20" s="22">
        <v>935</v>
      </c>
      <c r="GC20" s="501">
        <v>929.3</v>
      </c>
      <c r="GD20" s="502"/>
      <c r="GE20" s="502"/>
      <c r="GF20" s="503"/>
      <c r="GG20" s="22">
        <v>906</v>
      </c>
      <c r="GH20" s="479"/>
      <c r="GI20" s="294" t="s">
        <v>861</v>
      </c>
      <c r="GJ20" s="528" t="s">
        <v>18</v>
      </c>
      <c r="GK20" s="466"/>
      <c r="GL20" s="466"/>
      <c r="GM20" s="466"/>
      <c r="GN20" s="467"/>
      <c r="GO20" s="501">
        <v>1008.3</v>
      </c>
      <c r="GP20" s="502"/>
      <c r="GQ20" s="502"/>
      <c r="GR20" s="503"/>
      <c r="GS20" s="22">
        <v>969</v>
      </c>
      <c r="GT20" s="501">
        <v>1184</v>
      </c>
      <c r="GU20" s="502"/>
      <c r="GV20" s="502"/>
      <c r="GW20" s="503"/>
      <c r="GX20" s="22">
        <v>1167</v>
      </c>
      <c r="GY20" s="501">
        <f>GY17+GY18+GY19</f>
        <v>1236.7</v>
      </c>
      <c r="GZ20" s="502"/>
      <c r="HA20" s="502"/>
      <c r="HB20" s="503"/>
      <c r="HC20" s="22">
        <v>1188</v>
      </c>
      <c r="HD20" s="501">
        <v>1247</v>
      </c>
      <c r="HE20" s="502"/>
      <c r="HF20" s="502"/>
      <c r="HG20" s="503"/>
      <c r="HH20" s="22">
        <v>1200</v>
      </c>
      <c r="HI20" s="479"/>
      <c r="HJ20" s="294" t="s">
        <v>861</v>
      </c>
      <c r="HK20" s="528" t="s">
        <v>18</v>
      </c>
      <c r="HL20" s="466"/>
      <c r="HM20" s="466"/>
      <c r="HN20" s="466"/>
      <c r="HO20" s="467"/>
      <c r="HP20" s="501">
        <f>HP17+HP18+HP19+0.1</f>
        <v>1229.0999999999999</v>
      </c>
      <c r="HQ20" s="502"/>
      <c r="HR20" s="502"/>
      <c r="HS20" s="503"/>
      <c r="HT20" s="22">
        <v>1197</v>
      </c>
      <c r="HU20" s="501">
        <v>1173.0999999999999</v>
      </c>
      <c r="HV20" s="502"/>
      <c r="HW20" s="502"/>
      <c r="HX20" s="503"/>
      <c r="HY20" s="22">
        <v>1218</v>
      </c>
      <c r="HZ20" s="501">
        <v>1043</v>
      </c>
      <c r="IA20" s="502"/>
      <c r="IB20" s="502"/>
      <c r="IC20" s="503"/>
      <c r="ID20" s="22">
        <v>1052</v>
      </c>
      <c r="IE20" s="501">
        <v>1247</v>
      </c>
      <c r="IF20" s="502"/>
      <c r="IG20" s="502"/>
      <c r="IH20" s="503"/>
      <c r="II20" s="22">
        <v>1194</v>
      </c>
      <c r="IJ20" s="478"/>
      <c r="IK20" s="294" t="s">
        <v>861</v>
      </c>
      <c r="IL20" s="528" t="s">
        <v>18</v>
      </c>
      <c r="IM20" s="466"/>
      <c r="IN20" s="466"/>
      <c r="IO20" s="466"/>
      <c r="IP20" s="467"/>
      <c r="IQ20" s="501">
        <v>1308</v>
      </c>
      <c r="IR20" s="502"/>
      <c r="IS20" s="502"/>
      <c r="IT20" s="503"/>
      <c r="IU20" s="22">
        <f>IU17+IU18+IU19-0.4</f>
        <v>1249.3999999999999</v>
      </c>
      <c r="IV20" s="501">
        <v>1301</v>
      </c>
      <c r="IW20" s="502"/>
      <c r="IX20" s="502"/>
      <c r="IY20" s="503"/>
      <c r="IZ20" s="22">
        <v>1284</v>
      </c>
      <c r="JA20" s="501">
        <v>1250.5</v>
      </c>
      <c r="JB20" s="502"/>
      <c r="JC20" s="502"/>
      <c r="JD20" s="503"/>
      <c r="JE20" s="22">
        <v>1104</v>
      </c>
      <c r="JF20" s="501">
        <v>1124.8</v>
      </c>
      <c r="JG20" s="502"/>
      <c r="JH20" s="502"/>
      <c r="JI20" s="503"/>
      <c r="JJ20" s="22">
        <v>1154</v>
      </c>
      <c r="JK20" s="479"/>
      <c r="JL20" s="294" t="s">
        <v>861</v>
      </c>
      <c r="JM20" s="528" t="s">
        <v>18</v>
      </c>
      <c r="JN20" s="466"/>
      <c r="JO20" s="466"/>
      <c r="JP20" s="466"/>
      <c r="JQ20" s="467"/>
      <c r="JR20" s="501">
        <v>1107.8</v>
      </c>
      <c r="JS20" s="502"/>
      <c r="JT20" s="502"/>
      <c r="JU20" s="503"/>
      <c r="JV20" s="22">
        <v>1105</v>
      </c>
      <c r="JW20" s="501">
        <v>1205.3</v>
      </c>
      <c r="JX20" s="502"/>
      <c r="JY20" s="502"/>
      <c r="JZ20" s="503"/>
      <c r="KA20" s="22">
        <v>1321</v>
      </c>
      <c r="KB20" s="501">
        <f>KB17+KB18+KB19</f>
        <v>1296.7</v>
      </c>
      <c r="KC20" s="502"/>
      <c r="KD20" s="502"/>
      <c r="KE20" s="503"/>
      <c r="KF20" s="22">
        <v>1292</v>
      </c>
      <c r="KG20" s="501">
        <v>1306</v>
      </c>
      <c r="KH20" s="502"/>
      <c r="KI20" s="502"/>
      <c r="KJ20" s="503"/>
      <c r="KK20" s="22">
        <v>1310</v>
      </c>
      <c r="KL20" s="479"/>
      <c r="KM20" s="294" t="s">
        <v>861</v>
      </c>
      <c r="KN20" s="528" t="s">
        <v>18</v>
      </c>
      <c r="KO20" s="466"/>
      <c r="KP20" s="466"/>
      <c r="KQ20" s="466"/>
      <c r="KR20" s="467"/>
      <c r="KS20" s="501">
        <v>1317</v>
      </c>
      <c r="KT20" s="502"/>
      <c r="KU20" s="502"/>
      <c r="KV20" s="503"/>
      <c r="KW20" s="22">
        <v>1290</v>
      </c>
      <c r="KX20" s="501">
        <v>1310</v>
      </c>
      <c r="KY20" s="502"/>
      <c r="KZ20" s="502"/>
      <c r="LA20" s="503"/>
      <c r="LB20" s="22">
        <v>1297</v>
      </c>
      <c r="LC20" s="501">
        <v>1172</v>
      </c>
      <c r="LD20" s="502"/>
      <c r="LE20" s="502"/>
      <c r="LF20" s="503"/>
      <c r="LG20" s="22">
        <v>1219</v>
      </c>
      <c r="LH20" s="501">
        <v>1113</v>
      </c>
      <c r="LI20" s="502"/>
      <c r="LJ20" s="502"/>
      <c r="LK20" s="503"/>
      <c r="LL20" s="22">
        <v>1153</v>
      </c>
      <c r="LM20" s="479"/>
      <c r="LN20" s="294" t="s">
        <v>861</v>
      </c>
      <c r="LO20" s="528" t="s">
        <v>18</v>
      </c>
      <c r="LP20" s="466"/>
      <c r="LQ20" s="466"/>
      <c r="LR20" s="466"/>
      <c r="LS20" s="467"/>
      <c r="LT20" s="501">
        <v>1475</v>
      </c>
      <c r="LU20" s="502"/>
      <c r="LV20" s="502"/>
      <c r="LW20" s="503"/>
      <c r="LX20" s="22">
        <v>1471</v>
      </c>
      <c r="LY20" s="501">
        <v>1253</v>
      </c>
      <c r="LZ20" s="502"/>
      <c r="MA20" s="502"/>
      <c r="MB20" s="503"/>
      <c r="MC20" s="22">
        <v>1168</v>
      </c>
      <c r="MD20" s="501">
        <v>1397</v>
      </c>
      <c r="ME20" s="502"/>
      <c r="MF20" s="502"/>
      <c r="MG20" s="503"/>
      <c r="MH20" s="22">
        <v>1257</v>
      </c>
      <c r="MI20" s="501">
        <v>1156</v>
      </c>
      <c r="MJ20" s="502"/>
      <c r="MK20" s="502"/>
      <c r="ML20" s="503"/>
      <c r="MM20" s="22">
        <v>1268</v>
      </c>
      <c r="MN20" s="479"/>
      <c r="MO20" s="294" t="s">
        <v>861</v>
      </c>
      <c r="MP20" s="528" t="s">
        <v>18</v>
      </c>
      <c r="MQ20" s="466"/>
      <c r="MR20" s="466"/>
      <c r="MS20" s="466"/>
      <c r="MT20" s="467"/>
      <c r="MU20" s="501">
        <v>1122.2</v>
      </c>
      <c r="MV20" s="502"/>
      <c r="MW20" s="502"/>
      <c r="MX20" s="503"/>
      <c r="MY20" s="22">
        <v>1010</v>
      </c>
      <c r="MZ20" s="501">
        <v>1322.6</v>
      </c>
      <c r="NA20" s="502"/>
      <c r="NB20" s="502"/>
      <c r="NC20" s="503"/>
      <c r="ND20" s="22">
        <v>1118</v>
      </c>
      <c r="NE20" s="501">
        <f>NE17+NE18+NE19+1</f>
        <v>1370.3</v>
      </c>
      <c r="NF20" s="502"/>
      <c r="NG20" s="502"/>
      <c r="NH20" s="503"/>
      <c r="NI20" s="22">
        <v>1365</v>
      </c>
      <c r="NJ20" s="501">
        <v>1291</v>
      </c>
      <c r="NK20" s="502"/>
      <c r="NL20" s="502"/>
      <c r="NM20" s="503"/>
      <c r="NN20" s="22">
        <v>1333</v>
      </c>
      <c r="NO20" s="479"/>
      <c r="NP20" s="294" t="s">
        <v>861</v>
      </c>
      <c r="NQ20" s="528" t="s">
        <v>18</v>
      </c>
      <c r="NR20" s="466"/>
      <c r="NS20" s="466"/>
      <c r="NT20" s="466"/>
      <c r="NU20" s="467"/>
      <c r="NV20" s="501">
        <v>1294</v>
      </c>
      <c r="NW20" s="502"/>
      <c r="NX20" s="502"/>
      <c r="NY20" s="503"/>
      <c r="NZ20" s="22">
        <v>1055</v>
      </c>
      <c r="OA20" s="501">
        <v>1106</v>
      </c>
      <c r="OB20" s="502"/>
      <c r="OC20" s="502"/>
      <c r="OD20" s="503"/>
      <c r="OE20" s="22">
        <v>1071</v>
      </c>
      <c r="OF20" s="501">
        <v>1339</v>
      </c>
      <c r="OG20" s="502"/>
      <c r="OH20" s="502"/>
      <c r="OI20" s="503"/>
      <c r="OJ20" s="22">
        <v>1360</v>
      </c>
      <c r="OK20" s="501">
        <v>1481</v>
      </c>
      <c r="OL20" s="502"/>
      <c r="OM20" s="502"/>
      <c r="ON20" s="503"/>
      <c r="OO20" s="22">
        <f>OO17+OO18+OO19+1</f>
        <v>1429.1999999999998</v>
      </c>
      <c r="OP20" s="479"/>
      <c r="OQ20" s="294" t="s">
        <v>861</v>
      </c>
      <c r="OR20" s="528" t="s">
        <v>18</v>
      </c>
      <c r="OS20" s="466"/>
      <c r="OT20" s="466"/>
      <c r="OU20" s="466"/>
      <c r="OV20" s="467"/>
      <c r="OW20" s="501">
        <v>1443</v>
      </c>
      <c r="OX20" s="502"/>
      <c r="OY20" s="502"/>
      <c r="OZ20" s="503"/>
      <c r="PA20" s="22">
        <v>1260</v>
      </c>
      <c r="PB20" s="501">
        <v>1474</v>
      </c>
      <c r="PC20" s="502"/>
      <c r="PD20" s="502"/>
      <c r="PE20" s="503"/>
      <c r="PF20" s="22">
        <v>1450</v>
      </c>
      <c r="PG20" s="501">
        <v>1487</v>
      </c>
      <c r="PH20" s="502"/>
      <c r="PI20" s="502"/>
      <c r="PJ20" s="503"/>
      <c r="PK20" s="22">
        <v>1439</v>
      </c>
      <c r="PL20" s="501">
        <v>1295.3</v>
      </c>
      <c r="PM20" s="502"/>
      <c r="PN20" s="502"/>
      <c r="PO20" s="503"/>
      <c r="PP20" s="22">
        <v>1200</v>
      </c>
      <c r="PQ20" s="479"/>
      <c r="PR20" s="294" t="s">
        <v>861</v>
      </c>
      <c r="PS20" s="528" t="s">
        <v>18</v>
      </c>
      <c r="PT20" s="466"/>
      <c r="PU20" s="466"/>
      <c r="PV20" s="466"/>
      <c r="PW20" s="467"/>
      <c r="PX20" s="501">
        <v>1135.7</v>
      </c>
      <c r="PY20" s="502"/>
      <c r="PZ20" s="502"/>
      <c r="QA20" s="503"/>
      <c r="QB20" s="22">
        <v>996</v>
      </c>
      <c r="QC20" s="501">
        <v>1467</v>
      </c>
      <c r="QD20" s="502"/>
      <c r="QE20" s="502"/>
      <c r="QF20" s="503"/>
      <c r="QG20" s="22">
        <v>1555</v>
      </c>
      <c r="QH20" s="501">
        <v>1459.1</v>
      </c>
      <c r="QI20" s="502"/>
      <c r="QJ20" s="502"/>
      <c r="QK20" s="503"/>
      <c r="QL20" s="22">
        <v>1513</v>
      </c>
      <c r="QM20" s="501">
        <v>1523</v>
      </c>
      <c r="QN20" s="502"/>
      <c r="QO20" s="502"/>
      <c r="QP20" s="503"/>
      <c r="QQ20" s="22">
        <v>1435</v>
      </c>
      <c r="QR20" s="479"/>
      <c r="QS20" s="294" t="s">
        <v>861</v>
      </c>
      <c r="QT20" s="528" t="s">
        <v>18</v>
      </c>
      <c r="QU20" s="466"/>
      <c r="QV20" s="466"/>
      <c r="QW20" s="466"/>
      <c r="QX20" s="467"/>
      <c r="QY20" s="501">
        <v>1491</v>
      </c>
      <c r="QZ20" s="502"/>
      <c r="RA20" s="502"/>
      <c r="RB20" s="503"/>
      <c r="RC20" s="22">
        <v>1369</v>
      </c>
      <c r="RD20" s="501">
        <v>1327.1</v>
      </c>
      <c r="RE20" s="502"/>
      <c r="RF20" s="502"/>
      <c r="RG20" s="503"/>
      <c r="RH20" s="22">
        <v>1208</v>
      </c>
      <c r="RI20" s="501">
        <v>1030</v>
      </c>
      <c r="RJ20" s="502"/>
      <c r="RK20" s="502"/>
      <c r="RL20" s="503"/>
      <c r="RM20" s="22">
        <v>999</v>
      </c>
      <c r="RN20" s="501">
        <v>1521</v>
      </c>
      <c r="RO20" s="502"/>
      <c r="RP20" s="502"/>
      <c r="RQ20" s="503"/>
      <c r="RR20" s="22">
        <v>1368</v>
      </c>
      <c r="RS20" s="479"/>
      <c r="RT20" s="294" t="s">
        <v>861</v>
      </c>
      <c r="RU20" s="528" t="s">
        <v>18</v>
      </c>
      <c r="RV20" s="466"/>
      <c r="RW20" s="466"/>
      <c r="RX20" s="466"/>
      <c r="RY20" s="467"/>
      <c r="RZ20" s="501">
        <v>1581.8</v>
      </c>
      <c r="SA20" s="502"/>
      <c r="SB20" s="502"/>
      <c r="SC20" s="503"/>
      <c r="SD20" s="22">
        <v>1566</v>
      </c>
      <c r="SE20" s="501">
        <v>1338</v>
      </c>
      <c r="SF20" s="502"/>
      <c r="SG20" s="502"/>
      <c r="SH20" s="503"/>
      <c r="SI20" s="22">
        <v>1354</v>
      </c>
      <c r="SJ20" s="501">
        <v>1455</v>
      </c>
      <c r="SK20" s="502"/>
      <c r="SL20" s="502"/>
      <c r="SM20" s="503"/>
      <c r="SN20" s="22">
        <v>1339</v>
      </c>
      <c r="SO20" s="501">
        <v>1425</v>
      </c>
      <c r="SP20" s="502"/>
      <c r="SQ20" s="502"/>
      <c r="SR20" s="503"/>
      <c r="SS20" s="22">
        <v>1249</v>
      </c>
      <c r="ST20" s="479"/>
      <c r="SU20" s="294" t="s">
        <v>861</v>
      </c>
      <c r="SV20" s="528" t="s">
        <v>18</v>
      </c>
      <c r="SW20" s="466"/>
      <c r="SX20" s="466"/>
      <c r="SY20" s="466"/>
      <c r="SZ20" s="467"/>
      <c r="TA20" s="501">
        <v>1611</v>
      </c>
      <c r="TB20" s="502"/>
      <c r="TC20" s="502"/>
      <c r="TD20" s="503"/>
      <c r="TE20" s="22">
        <v>1455</v>
      </c>
      <c r="TF20" s="501">
        <v>1504</v>
      </c>
      <c r="TG20" s="502"/>
      <c r="TH20" s="502"/>
      <c r="TI20" s="503"/>
      <c r="TJ20" s="22">
        <v>1466</v>
      </c>
      <c r="TK20" s="501">
        <v>1502</v>
      </c>
      <c r="TL20" s="502"/>
      <c r="TM20" s="502"/>
      <c r="TN20" s="503"/>
      <c r="TO20" s="22">
        <v>1424</v>
      </c>
      <c r="TP20" s="501">
        <v>1551</v>
      </c>
      <c r="TQ20" s="502"/>
      <c r="TR20" s="502"/>
      <c r="TS20" s="503"/>
      <c r="TT20" s="22">
        <v>1400</v>
      </c>
      <c r="TU20" s="479"/>
      <c r="TV20" s="294" t="s">
        <v>861</v>
      </c>
      <c r="TW20" s="528" t="s">
        <v>18</v>
      </c>
      <c r="TX20" s="466"/>
      <c r="TY20" s="466"/>
      <c r="TZ20" s="466"/>
      <c r="UA20" s="467"/>
      <c r="UB20" s="501">
        <v>1397</v>
      </c>
      <c r="UC20" s="502"/>
      <c r="UD20" s="502"/>
      <c r="UE20" s="503"/>
      <c r="UF20" s="22">
        <v>1465</v>
      </c>
      <c r="UG20" s="501">
        <f>UG17+UG18+UG19</f>
        <v>1581.1000000000001</v>
      </c>
      <c r="UH20" s="502"/>
      <c r="UI20" s="502"/>
      <c r="UJ20" s="503"/>
      <c r="UK20" s="22">
        <v>1598</v>
      </c>
      <c r="UL20" s="501">
        <v>1561</v>
      </c>
      <c r="UM20" s="502"/>
      <c r="UN20" s="502"/>
      <c r="UO20" s="503"/>
      <c r="UP20" s="22">
        <v>1556</v>
      </c>
      <c r="UQ20" s="501">
        <v>1539</v>
      </c>
      <c r="UR20" s="502"/>
      <c r="US20" s="502"/>
      <c r="UT20" s="503"/>
      <c r="UU20" s="22">
        <v>1465</v>
      </c>
      <c r="UV20" s="479"/>
      <c r="UW20" s="294" t="s">
        <v>861</v>
      </c>
      <c r="UX20" s="528" t="s">
        <v>18</v>
      </c>
      <c r="UY20" s="466"/>
      <c r="UZ20" s="466"/>
      <c r="VA20" s="466"/>
      <c r="VB20" s="467"/>
      <c r="VC20" s="501">
        <v>1571</v>
      </c>
      <c r="VD20" s="502"/>
      <c r="VE20" s="502"/>
      <c r="VF20" s="503"/>
      <c r="VG20" s="22">
        <v>1620</v>
      </c>
      <c r="VH20" s="501">
        <v>1587</v>
      </c>
      <c r="VI20" s="502"/>
      <c r="VJ20" s="502"/>
      <c r="VK20" s="503"/>
      <c r="VL20" s="22">
        <v>1411</v>
      </c>
      <c r="VM20" s="501">
        <v>1679.6</v>
      </c>
      <c r="VN20" s="502"/>
      <c r="VO20" s="502"/>
      <c r="VP20" s="503"/>
      <c r="VQ20" s="22">
        <v>1611</v>
      </c>
      <c r="VR20" s="501">
        <v>1615</v>
      </c>
      <c r="VS20" s="502"/>
      <c r="VT20" s="502"/>
      <c r="VU20" s="503"/>
      <c r="VV20" s="22">
        <v>1512</v>
      </c>
      <c r="VW20" s="479"/>
      <c r="VX20" s="294" t="s">
        <v>861</v>
      </c>
      <c r="VY20" s="528" t="s">
        <v>18</v>
      </c>
      <c r="VZ20" s="466"/>
      <c r="WA20" s="466"/>
      <c r="WB20" s="466"/>
      <c r="WC20" s="467"/>
      <c r="WD20" s="501">
        <v>1565</v>
      </c>
      <c r="WE20" s="502"/>
      <c r="WF20" s="502"/>
      <c r="WG20" s="503"/>
      <c r="WH20" s="22">
        <v>1606</v>
      </c>
      <c r="WI20" s="501">
        <v>1502</v>
      </c>
      <c r="WJ20" s="502"/>
      <c r="WK20" s="502"/>
      <c r="WL20" s="503"/>
      <c r="WM20" s="22">
        <f>WM17+WM18+WM19+1</f>
        <v>1538.3999999999999</v>
      </c>
      <c r="WN20" s="501">
        <f>WN17+WN18+WN19-0.2</f>
        <v>1523.4</v>
      </c>
      <c r="WO20" s="502"/>
      <c r="WP20" s="502"/>
      <c r="WQ20" s="503"/>
      <c r="WR20" s="22">
        <f>WR17+WR18+WR19</f>
        <v>1516.8</v>
      </c>
      <c r="WS20" s="501">
        <v>1460</v>
      </c>
      <c r="WT20" s="502"/>
      <c r="WU20" s="502"/>
      <c r="WV20" s="503"/>
      <c r="WW20" s="22">
        <v>1549</v>
      </c>
      <c r="WX20" s="479"/>
      <c r="WY20" s="294" t="s">
        <v>861</v>
      </c>
      <c r="WZ20" s="528" t="s">
        <v>18</v>
      </c>
      <c r="XA20" s="466"/>
      <c r="XB20" s="466"/>
      <c r="XC20" s="466"/>
      <c r="XD20" s="467"/>
      <c r="XE20" s="501">
        <v>1693.2</v>
      </c>
      <c r="XF20" s="502"/>
      <c r="XG20" s="502"/>
      <c r="XH20" s="503"/>
      <c r="XI20" s="22">
        <f>XI17+XI18+XI19</f>
        <v>1740.8</v>
      </c>
      <c r="XJ20" s="501">
        <f>XJ17+XJ18+XJ19</f>
        <v>1688.4</v>
      </c>
      <c r="XK20" s="502"/>
      <c r="XL20" s="502"/>
      <c r="XM20" s="503"/>
      <c r="XN20" s="22">
        <v>1530</v>
      </c>
      <c r="XO20" s="501">
        <v>1482</v>
      </c>
      <c r="XP20" s="502"/>
      <c r="XQ20" s="502"/>
      <c r="XR20" s="503"/>
      <c r="XS20" s="22">
        <v>1520</v>
      </c>
      <c r="XT20" s="501">
        <v>1469</v>
      </c>
      <c r="XU20" s="502"/>
      <c r="XV20" s="502"/>
      <c r="XW20" s="503"/>
      <c r="XX20" s="22">
        <v>1421</v>
      </c>
      <c r="XY20" s="479"/>
      <c r="XZ20" s="294" t="s">
        <v>861</v>
      </c>
      <c r="YA20" s="528" t="s">
        <v>18</v>
      </c>
      <c r="YB20" s="466"/>
      <c r="YC20" s="466"/>
      <c r="YD20" s="466"/>
      <c r="YE20" s="467"/>
      <c r="YF20" s="501">
        <v>1559</v>
      </c>
      <c r="YG20" s="502"/>
      <c r="YH20" s="502"/>
      <c r="YI20" s="503"/>
      <c r="YJ20" s="22">
        <v>1640</v>
      </c>
      <c r="YK20" s="501">
        <v>1371</v>
      </c>
      <c r="YL20" s="502"/>
      <c r="YM20" s="502"/>
      <c r="YN20" s="503"/>
      <c r="YO20" s="22">
        <v>1339</v>
      </c>
      <c r="YP20" s="501">
        <v>1383</v>
      </c>
      <c r="YQ20" s="502"/>
      <c r="YR20" s="502"/>
      <c r="YS20" s="503"/>
      <c r="YT20" s="22">
        <v>1360</v>
      </c>
      <c r="YU20" s="501">
        <v>1302</v>
      </c>
      <c r="YV20" s="502"/>
      <c r="YW20" s="502"/>
      <c r="YX20" s="503"/>
      <c r="YY20" s="22">
        <v>1230</v>
      </c>
      <c r="YZ20" s="479"/>
      <c r="ZA20" s="294" t="s">
        <v>861</v>
      </c>
      <c r="ZB20" s="528" t="s">
        <v>18</v>
      </c>
      <c r="ZC20" s="466"/>
      <c r="ZD20" s="466"/>
      <c r="ZE20" s="466"/>
      <c r="ZF20" s="467"/>
      <c r="ZG20" s="501">
        <v>1639</v>
      </c>
      <c r="ZH20" s="502"/>
      <c r="ZI20" s="502"/>
      <c r="ZJ20" s="503"/>
      <c r="ZK20" s="22">
        <v>1530</v>
      </c>
      <c r="ZL20" s="501">
        <v>1575</v>
      </c>
      <c r="ZM20" s="502"/>
      <c r="ZN20" s="502"/>
      <c r="ZO20" s="503"/>
      <c r="ZP20" s="22">
        <v>1547</v>
      </c>
      <c r="ZQ20" s="501">
        <v>1331</v>
      </c>
      <c r="ZR20" s="502"/>
      <c r="ZS20" s="502"/>
      <c r="ZT20" s="503"/>
      <c r="ZU20" s="22">
        <v>1449</v>
      </c>
      <c r="ZV20" s="501">
        <v>1165</v>
      </c>
      <c r="ZW20" s="502"/>
      <c r="ZX20" s="502"/>
      <c r="ZY20" s="503"/>
      <c r="ZZ20" s="22">
        <v>1271</v>
      </c>
      <c r="AAA20" s="479"/>
      <c r="AAB20" s="294" t="s">
        <v>861</v>
      </c>
      <c r="AAC20" s="528" t="s">
        <v>18</v>
      </c>
      <c r="AAD20" s="466"/>
      <c r="AAE20" s="466"/>
      <c r="AAF20" s="466"/>
      <c r="AAG20" s="467"/>
      <c r="AAH20" s="501">
        <v>1408</v>
      </c>
      <c r="AAI20" s="502"/>
      <c r="AAJ20" s="502"/>
      <c r="AAK20" s="503"/>
      <c r="AAL20" s="22">
        <v>1400</v>
      </c>
      <c r="AAM20" s="501">
        <v>1440</v>
      </c>
      <c r="AAN20" s="502"/>
      <c r="AAO20" s="502"/>
      <c r="AAP20" s="503"/>
      <c r="AAQ20" s="22">
        <v>1328</v>
      </c>
      <c r="AAR20" s="501">
        <v>1466</v>
      </c>
      <c r="AAS20" s="502"/>
      <c r="AAT20" s="502"/>
      <c r="AAU20" s="503"/>
      <c r="AAV20" s="22">
        <v>1477</v>
      </c>
      <c r="AAW20" s="501">
        <v>1383</v>
      </c>
      <c r="AAX20" s="502"/>
      <c r="AAY20" s="502"/>
      <c r="AAZ20" s="503"/>
      <c r="ABA20" s="22">
        <v>1292</v>
      </c>
      <c r="ABB20" s="479"/>
      <c r="ABC20" s="294" t="s">
        <v>861</v>
      </c>
      <c r="ABD20" s="528" t="s">
        <v>18</v>
      </c>
      <c r="ABE20" s="466"/>
      <c r="ABF20" s="466"/>
      <c r="ABG20" s="466"/>
      <c r="ABH20" s="467"/>
      <c r="ABI20" s="501">
        <f>ABI17+ABI18+ABI19+0.1</f>
        <v>1329.5</v>
      </c>
      <c r="ABJ20" s="502"/>
      <c r="ABK20" s="502"/>
      <c r="ABL20" s="503"/>
      <c r="ABM20" s="22">
        <v>1344</v>
      </c>
      <c r="ABN20" s="501">
        <v>1286</v>
      </c>
      <c r="ABO20" s="502"/>
      <c r="ABP20" s="502"/>
      <c r="ABQ20" s="503"/>
      <c r="ABR20" s="22">
        <v>1186</v>
      </c>
      <c r="ABS20" s="501">
        <v>1240</v>
      </c>
      <c r="ABT20" s="502"/>
      <c r="ABU20" s="502"/>
      <c r="ABV20" s="503"/>
      <c r="ABW20" s="22">
        <v>1093</v>
      </c>
      <c r="ABX20" s="501">
        <v>1297.9000000000001</v>
      </c>
      <c r="ABY20" s="502"/>
      <c r="ABZ20" s="502"/>
      <c r="ACA20" s="503"/>
      <c r="ACB20" s="22">
        <f>ACB17+ACB18+ACB19</f>
        <v>1335.3000000000002</v>
      </c>
      <c r="ACC20" s="479"/>
      <c r="ACD20" s="294" t="s">
        <v>861</v>
      </c>
      <c r="ACE20" s="528" t="s">
        <v>18</v>
      </c>
      <c r="ACF20" s="466"/>
      <c r="ACG20" s="466"/>
      <c r="ACH20" s="466"/>
      <c r="ACI20" s="467"/>
      <c r="ACJ20" s="501">
        <v>1287.8</v>
      </c>
      <c r="ACK20" s="502"/>
      <c r="ACL20" s="502"/>
      <c r="ACM20" s="503"/>
      <c r="ACN20" s="22">
        <v>1310</v>
      </c>
      <c r="ACO20" s="501">
        <v>1267.8</v>
      </c>
      <c r="ACP20" s="502"/>
      <c r="ACQ20" s="502"/>
      <c r="ACR20" s="503"/>
      <c r="ACS20" s="22">
        <v>1286</v>
      </c>
      <c r="ACT20" s="501">
        <v>1262.9000000000001</v>
      </c>
      <c r="ACU20" s="502"/>
      <c r="ACV20" s="502"/>
      <c r="ACW20" s="503"/>
      <c r="ACX20" s="22">
        <f>ACX17+ACX18+ACX19+0.1</f>
        <v>1254.5</v>
      </c>
      <c r="ACY20" s="501">
        <v>1200.7</v>
      </c>
      <c r="ACZ20" s="502"/>
      <c r="ADA20" s="502"/>
      <c r="ADB20" s="503"/>
      <c r="ADC20" s="22">
        <f>ADC17+ADC18+ADC19</f>
        <v>1102.0999999999999</v>
      </c>
      <c r="ADD20" s="479"/>
      <c r="ADE20" s="294" t="s">
        <v>861</v>
      </c>
      <c r="ADF20" s="528" t="s">
        <v>18</v>
      </c>
      <c r="ADG20" s="466"/>
      <c r="ADH20" s="466"/>
      <c r="ADI20" s="466"/>
      <c r="ADJ20" s="467"/>
      <c r="ADK20" s="501">
        <v>1087</v>
      </c>
      <c r="ADL20" s="502"/>
      <c r="ADM20" s="502"/>
      <c r="ADN20" s="503"/>
      <c r="ADO20" s="22">
        <f>ADO17+ADO18+ADO19-1</f>
        <v>1100.6999999999998</v>
      </c>
      <c r="ADP20" s="501">
        <v>1191.4000000000001</v>
      </c>
      <c r="ADQ20" s="502"/>
      <c r="ADR20" s="502"/>
      <c r="ADS20" s="503"/>
      <c r="ADT20" s="22">
        <v>1230</v>
      </c>
      <c r="ADU20" s="501">
        <v>1239.7</v>
      </c>
      <c r="ADV20" s="502"/>
      <c r="ADW20" s="502"/>
      <c r="ADX20" s="503"/>
      <c r="ADY20" s="22">
        <v>1277</v>
      </c>
      <c r="ADZ20" s="501">
        <v>1229.7</v>
      </c>
      <c r="AEA20" s="502"/>
      <c r="AEB20" s="502"/>
      <c r="AEC20" s="503"/>
      <c r="AED20" s="22">
        <v>1310</v>
      </c>
      <c r="AEE20" s="479"/>
      <c r="AEF20" s="294" t="s">
        <v>861</v>
      </c>
      <c r="AEG20" s="528" t="s">
        <v>18</v>
      </c>
      <c r="AEH20" s="466"/>
      <c r="AEI20" s="466"/>
      <c r="AEJ20" s="466"/>
      <c r="AEK20" s="467"/>
      <c r="AEL20" s="501">
        <v>1290</v>
      </c>
      <c r="AEM20" s="502"/>
      <c r="AEN20" s="502"/>
      <c r="AEO20" s="503"/>
      <c r="AEP20" s="22">
        <v>1360</v>
      </c>
      <c r="AEQ20" s="501">
        <v>1110</v>
      </c>
      <c r="AER20" s="502"/>
      <c r="AES20" s="502"/>
      <c r="AET20" s="503"/>
      <c r="AEU20" s="22">
        <v>1174</v>
      </c>
      <c r="AEV20" s="501">
        <v>1059</v>
      </c>
      <c r="AEW20" s="502"/>
      <c r="AEX20" s="502"/>
      <c r="AEY20" s="503"/>
      <c r="AEZ20" s="22">
        <v>1132</v>
      </c>
      <c r="AFA20" s="501">
        <v>1209.7</v>
      </c>
      <c r="AFB20" s="502"/>
      <c r="AFC20" s="502"/>
      <c r="AFD20" s="503"/>
      <c r="AFE20" s="22">
        <f>AFE17+AFE18+AFE19</f>
        <v>1296.9000000000001</v>
      </c>
      <c r="AFF20" s="479"/>
      <c r="AFG20" s="294" t="s">
        <v>861</v>
      </c>
      <c r="AFH20" s="528" t="s">
        <v>18</v>
      </c>
      <c r="AFI20" s="466"/>
      <c r="AFJ20" s="466"/>
      <c r="AFK20" s="466"/>
      <c r="AFL20" s="467"/>
      <c r="AFM20" s="501">
        <v>1228.7</v>
      </c>
      <c r="AFN20" s="502"/>
      <c r="AFO20" s="502"/>
      <c r="AFP20" s="503"/>
      <c r="AFQ20" s="22">
        <v>1333</v>
      </c>
      <c r="AFR20" s="501">
        <f>AFR17+AFR18+AFR19</f>
        <v>1244.7</v>
      </c>
      <c r="AFS20" s="502"/>
      <c r="AFT20" s="502"/>
      <c r="AFU20" s="503"/>
      <c r="AFV20" s="22">
        <v>1317</v>
      </c>
      <c r="AFW20" s="501">
        <v>1262.2</v>
      </c>
      <c r="AFX20" s="502"/>
      <c r="AFY20" s="502"/>
      <c r="AFZ20" s="503"/>
      <c r="AGA20" s="22">
        <v>1301</v>
      </c>
      <c r="AGB20" s="501">
        <v>1249.2</v>
      </c>
      <c r="AGC20" s="502"/>
      <c r="AGD20" s="502"/>
      <c r="AGE20" s="503"/>
      <c r="AGF20" s="22">
        <v>1233</v>
      </c>
      <c r="AGG20" s="479"/>
      <c r="AGH20" s="294" t="s">
        <v>861</v>
      </c>
      <c r="AGI20" s="528" t="s">
        <v>18</v>
      </c>
      <c r="AGJ20" s="466"/>
      <c r="AGK20" s="466"/>
      <c r="AGL20" s="466"/>
      <c r="AGM20" s="467"/>
      <c r="AGN20" s="501">
        <v>1130</v>
      </c>
      <c r="AGO20" s="502"/>
      <c r="AGP20" s="502"/>
      <c r="AGQ20" s="503"/>
      <c r="AGR20" s="22">
        <v>1167</v>
      </c>
      <c r="AGS20" s="501">
        <v>1060.4000000000001</v>
      </c>
      <c r="AGT20" s="502"/>
      <c r="AGU20" s="502"/>
      <c r="AGV20" s="503"/>
      <c r="AGW20" s="22">
        <v>1109</v>
      </c>
      <c r="AGX20" s="501">
        <v>1202.4000000000001</v>
      </c>
      <c r="AGY20" s="502"/>
      <c r="AGZ20" s="502"/>
      <c r="AHA20" s="503"/>
      <c r="AHB20" s="22">
        <f>AHB17+AHB18+AHB19-1</f>
        <v>1251.6000000000001</v>
      </c>
      <c r="AHC20" s="501">
        <v>1225.7</v>
      </c>
      <c r="AHD20" s="502"/>
      <c r="AHE20" s="502"/>
      <c r="AHF20" s="503"/>
      <c r="AHG20" s="22">
        <f>AHG17+AHG18+AHG19</f>
        <v>1260</v>
      </c>
      <c r="AHH20" s="479"/>
      <c r="AHI20" s="294" t="s">
        <v>861</v>
      </c>
      <c r="AHJ20" s="528" t="s">
        <v>18</v>
      </c>
      <c r="AHK20" s="466"/>
      <c r="AHL20" s="466"/>
      <c r="AHM20" s="466"/>
      <c r="AHN20" s="467"/>
      <c r="AHO20" s="501">
        <v>1242.5</v>
      </c>
      <c r="AHP20" s="502"/>
      <c r="AHQ20" s="502"/>
      <c r="AHR20" s="503"/>
      <c r="AHS20" s="22">
        <v>1247</v>
      </c>
      <c r="AHT20" s="501">
        <v>1286.5</v>
      </c>
      <c r="AHU20" s="502"/>
      <c r="AHV20" s="502"/>
      <c r="AHW20" s="503"/>
      <c r="AHX20" s="22">
        <v>1288</v>
      </c>
      <c r="AHY20" s="501">
        <v>1176.2</v>
      </c>
      <c r="AHZ20" s="502"/>
      <c r="AIA20" s="502"/>
      <c r="AIB20" s="503"/>
      <c r="AIC20" s="22">
        <v>1196</v>
      </c>
      <c r="AID20" s="501">
        <v>1151.2</v>
      </c>
      <c r="AIE20" s="502"/>
      <c r="AIF20" s="502"/>
      <c r="AIG20" s="503"/>
      <c r="AIH20" s="22">
        <v>1206</v>
      </c>
      <c r="AII20" s="479"/>
      <c r="AIJ20" s="294" t="s">
        <v>861</v>
      </c>
      <c r="AIK20" s="528" t="s">
        <v>18</v>
      </c>
      <c r="AIL20" s="466"/>
      <c r="AIM20" s="466"/>
      <c r="AIN20" s="466"/>
      <c r="AIO20" s="467"/>
      <c r="AIP20" s="501">
        <v>1140.2</v>
      </c>
      <c r="AIQ20" s="502"/>
      <c r="AIR20" s="502"/>
      <c r="AIS20" s="503"/>
      <c r="AIT20" s="22">
        <v>1161</v>
      </c>
      <c r="AIU20" s="501">
        <v>1289.5</v>
      </c>
      <c r="AIV20" s="502"/>
      <c r="AIW20" s="502"/>
      <c r="AIX20" s="503"/>
      <c r="AIY20" s="22">
        <v>1306</v>
      </c>
      <c r="AIZ20" s="501">
        <v>1251.5999999999999</v>
      </c>
      <c r="AJA20" s="502"/>
      <c r="AJB20" s="502"/>
      <c r="AJC20" s="503"/>
      <c r="AJD20" s="22">
        <v>1252</v>
      </c>
      <c r="AJE20" s="501">
        <v>1290.8</v>
      </c>
      <c r="AJF20" s="502"/>
      <c r="AJG20" s="502"/>
      <c r="AJH20" s="503"/>
      <c r="AJI20" s="22">
        <v>1283</v>
      </c>
      <c r="AJJ20" s="479"/>
      <c r="AJK20" s="294" t="s">
        <v>861</v>
      </c>
      <c r="AJL20" s="528" t="s">
        <v>18</v>
      </c>
      <c r="AJM20" s="466"/>
      <c r="AJN20" s="466"/>
      <c r="AJO20" s="466"/>
      <c r="AJP20" s="467"/>
      <c r="AJQ20" s="501">
        <v>1148</v>
      </c>
      <c r="AJR20" s="502"/>
      <c r="AJS20" s="502"/>
      <c r="AJT20" s="503"/>
      <c r="AJU20" s="22">
        <v>1159</v>
      </c>
      <c r="AJV20" s="501">
        <v>1159</v>
      </c>
      <c r="AJW20" s="502"/>
      <c r="AJX20" s="502"/>
      <c r="AJY20" s="503"/>
      <c r="AJZ20" s="22">
        <v>1133</v>
      </c>
      <c r="AKA20" s="501">
        <v>1328.2</v>
      </c>
      <c r="AKB20" s="502"/>
      <c r="AKC20" s="502"/>
      <c r="AKD20" s="503"/>
      <c r="AKE20" s="22">
        <v>1281</v>
      </c>
      <c r="AKF20" s="501">
        <v>1315.2</v>
      </c>
      <c r="AKG20" s="502"/>
      <c r="AKH20" s="502"/>
      <c r="AKI20" s="503"/>
      <c r="AKJ20" s="22">
        <v>1339</v>
      </c>
      <c r="AKK20" s="479"/>
      <c r="AKL20" s="294" t="s">
        <v>861</v>
      </c>
      <c r="AKM20" s="528" t="s">
        <v>18</v>
      </c>
      <c r="AKN20" s="466"/>
      <c r="AKO20" s="466"/>
      <c r="AKP20" s="466"/>
      <c r="AKQ20" s="467"/>
      <c r="AKR20" s="501">
        <v>1244.2</v>
      </c>
      <c r="AKS20" s="502"/>
      <c r="AKT20" s="502"/>
      <c r="AKU20" s="503"/>
      <c r="AKV20" s="22">
        <v>1251</v>
      </c>
      <c r="AKW20" s="501">
        <v>1200.0999999999999</v>
      </c>
      <c r="AKX20" s="502"/>
      <c r="AKY20" s="502"/>
      <c r="AKZ20" s="503"/>
      <c r="ALA20" s="22">
        <f>ALA17+ALA18+ALA19-1</f>
        <v>1270.5</v>
      </c>
      <c r="ALB20" s="501">
        <v>1128</v>
      </c>
      <c r="ALC20" s="502"/>
      <c r="ALD20" s="502"/>
      <c r="ALE20" s="503"/>
      <c r="ALF20" s="22">
        <v>1207</v>
      </c>
      <c r="ALG20" s="501">
        <v>1170.0999999999999</v>
      </c>
      <c r="ALH20" s="502"/>
      <c r="ALI20" s="502"/>
      <c r="ALJ20" s="503"/>
      <c r="ALK20" s="22">
        <v>1186</v>
      </c>
      <c r="ALL20" s="479"/>
      <c r="ALM20" s="294" t="s">
        <v>861</v>
      </c>
      <c r="ALN20" s="528" t="s">
        <v>18</v>
      </c>
      <c r="ALO20" s="466"/>
      <c r="ALP20" s="466"/>
      <c r="ALQ20" s="466"/>
      <c r="ALR20" s="467"/>
      <c r="ALS20" s="501">
        <v>1166.0999999999999</v>
      </c>
      <c r="ALT20" s="502"/>
      <c r="ALU20" s="502"/>
      <c r="ALV20" s="503"/>
      <c r="ALW20" s="22">
        <f>ALW17+ALW18+ALW19</f>
        <v>1203.0999999999999</v>
      </c>
      <c r="ALX20" s="501">
        <v>1165.0999999999999</v>
      </c>
      <c r="ALY20" s="502"/>
      <c r="ALZ20" s="502"/>
      <c r="AMA20" s="503"/>
      <c r="AMB20" s="22">
        <v>1177</v>
      </c>
      <c r="AMC20" s="501">
        <v>1039.7</v>
      </c>
      <c r="AMD20" s="502"/>
      <c r="AME20" s="502"/>
      <c r="AMF20" s="503"/>
      <c r="AMG20" s="22">
        <v>1126</v>
      </c>
      <c r="AMH20" s="501">
        <v>1204.5999999999999</v>
      </c>
      <c r="AMI20" s="502"/>
      <c r="AMJ20" s="502"/>
      <c r="AMK20" s="503"/>
      <c r="AML20" s="22">
        <v>1238</v>
      </c>
      <c r="AMM20" s="479"/>
      <c r="AMN20" s="294" t="s">
        <v>861</v>
      </c>
      <c r="AMO20" s="528" t="s">
        <v>18</v>
      </c>
      <c r="AMP20" s="466"/>
      <c r="AMQ20" s="466"/>
      <c r="AMR20" s="466"/>
      <c r="AMS20" s="467"/>
      <c r="AMT20" s="501">
        <v>1273.7</v>
      </c>
      <c r="AMU20" s="502"/>
      <c r="AMV20" s="502"/>
      <c r="AMW20" s="503"/>
      <c r="AMX20" s="22">
        <v>1254</v>
      </c>
      <c r="AMY20" s="501">
        <v>1136.4000000000001</v>
      </c>
      <c r="AMZ20" s="502"/>
      <c r="ANA20" s="502"/>
      <c r="ANB20" s="503"/>
      <c r="ANC20" s="22">
        <v>1172</v>
      </c>
      <c r="AND20" s="501">
        <v>1323</v>
      </c>
      <c r="ANE20" s="502"/>
      <c r="ANF20" s="502"/>
      <c r="ANG20" s="503"/>
      <c r="ANH20" s="22">
        <v>1300</v>
      </c>
      <c r="ANI20" s="501">
        <v>1292.5999999999999</v>
      </c>
      <c r="ANJ20" s="502"/>
      <c r="ANK20" s="502"/>
      <c r="ANL20" s="503"/>
      <c r="ANM20" s="22">
        <v>1297</v>
      </c>
      <c r="ANN20" s="479"/>
      <c r="ANO20" s="294" t="s">
        <v>861</v>
      </c>
      <c r="ANP20" s="528" t="s">
        <v>18</v>
      </c>
      <c r="ANQ20" s="466"/>
      <c r="ANR20" s="466"/>
      <c r="ANS20" s="466"/>
      <c r="ANT20" s="467"/>
      <c r="ANU20" s="501">
        <v>1257</v>
      </c>
      <c r="ANV20" s="502"/>
      <c r="ANW20" s="502"/>
      <c r="ANX20" s="503"/>
      <c r="ANY20" s="22">
        <v>1305</v>
      </c>
      <c r="ANZ20" s="501">
        <v>1159</v>
      </c>
      <c r="AOA20" s="502"/>
      <c r="AOB20" s="502"/>
      <c r="AOC20" s="503"/>
      <c r="AOD20" s="22">
        <v>1126</v>
      </c>
      <c r="AOE20" s="501">
        <v>1411.3</v>
      </c>
      <c r="AOF20" s="502"/>
      <c r="AOG20" s="502"/>
      <c r="AOH20" s="503"/>
      <c r="AOI20" s="526">
        <v>1388</v>
      </c>
      <c r="AOJ20" s="527">
        <v>1388</v>
      </c>
      <c r="AOK20" s="501">
        <f>AOK17+AOK18+AOK19+1</f>
        <v>1259.3000000000002</v>
      </c>
      <c r="AOL20" s="502"/>
      <c r="AOM20" s="502"/>
      <c r="AON20" s="503"/>
      <c r="AOO20" s="22">
        <v>1384</v>
      </c>
      <c r="AOP20" s="479"/>
      <c r="AOQ20" s="294" t="s">
        <v>861</v>
      </c>
      <c r="AOR20" s="528" t="s">
        <v>18</v>
      </c>
      <c r="AOS20" s="466"/>
      <c r="AOT20" s="466"/>
      <c r="AOU20" s="466"/>
      <c r="AOV20" s="467"/>
      <c r="AOW20" s="501">
        <v>1398.3</v>
      </c>
      <c r="AOX20" s="502"/>
      <c r="AOY20" s="502"/>
      <c r="AOZ20" s="503"/>
      <c r="APA20" s="22">
        <v>1393</v>
      </c>
      <c r="APB20" s="501">
        <v>1418.3</v>
      </c>
      <c r="APC20" s="502"/>
      <c r="APD20" s="502"/>
      <c r="APE20" s="503"/>
      <c r="APF20" s="22">
        <v>1377</v>
      </c>
      <c r="APG20" s="501">
        <v>1140</v>
      </c>
      <c r="APH20" s="502"/>
      <c r="API20" s="502"/>
      <c r="APJ20" s="503"/>
      <c r="APK20" s="22">
        <v>1172</v>
      </c>
      <c r="APL20" s="501">
        <v>1117</v>
      </c>
      <c r="APM20" s="502"/>
      <c r="APN20" s="502"/>
      <c r="APO20" s="503"/>
      <c r="APP20" s="22">
        <v>1194</v>
      </c>
      <c r="APQ20" s="479"/>
      <c r="APR20" s="294" t="s">
        <v>861</v>
      </c>
      <c r="APS20" s="528" t="s">
        <v>18</v>
      </c>
      <c r="APT20" s="466"/>
      <c r="APU20" s="466"/>
      <c r="APV20" s="466"/>
      <c r="APW20" s="467"/>
      <c r="APX20" s="501">
        <f>APX17+APX18+APX19</f>
        <v>1372.8999999999999</v>
      </c>
      <c r="APY20" s="502"/>
      <c r="APZ20" s="502"/>
      <c r="AQA20" s="503"/>
      <c r="AQB20" s="22">
        <v>1374</v>
      </c>
      <c r="AQC20" s="501">
        <v>1380.9</v>
      </c>
      <c r="AQD20" s="502"/>
      <c r="AQE20" s="502"/>
      <c r="AQF20" s="503"/>
      <c r="AQG20" s="22">
        <v>1294</v>
      </c>
      <c r="AQH20" s="501">
        <v>1184</v>
      </c>
      <c r="AQI20" s="502"/>
      <c r="AQJ20" s="502"/>
      <c r="AQK20" s="503"/>
      <c r="AQL20" s="22">
        <v>1264</v>
      </c>
      <c r="AQM20" s="501">
        <v>1226</v>
      </c>
      <c r="AQN20" s="502"/>
      <c r="AQO20" s="502"/>
      <c r="AQP20" s="503"/>
      <c r="AQQ20" s="22">
        <v>1101</v>
      </c>
      <c r="AQR20" s="479"/>
      <c r="AQS20" s="294" t="s">
        <v>861</v>
      </c>
      <c r="AQT20" s="528" t="s">
        <v>18</v>
      </c>
      <c r="AQU20" s="466"/>
      <c r="AQV20" s="466"/>
      <c r="AQW20" s="466"/>
      <c r="AQX20" s="467"/>
      <c r="AQY20" s="501">
        <v>1186</v>
      </c>
      <c r="AQZ20" s="502"/>
      <c r="ARA20" s="502"/>
      <c r="ARB20" s="503"/>
      <c r="ARC20" s="22">
        <v>1040</v>
      </c>
      <c r="ARD20" s="501">
        <v>1127</v>
      </c>
      <c r="ARE20" s="502"/>
      <c r="ARF20" s="502"/>
      <c r="ARG20" s="503"/>
      <c r="ARH20" s="22">
        <v>1107</v>
      </c>
      <c r="ARI20" s="501">
        <v>1149</v>
      </c>
      <c r="ARJ20" s="502"/>
      <c r="ARK20" s="502"/>
      <c r="ARL20" s="503"/>
      <c r="ARM20" s="22">
        <v>1178</v>
      </c>
      <c r="ARN20" s="501">
        <v>1366</v>
      </c>
      <c r="ARO20" s="502"/>
      <c r="ARP20" s="502"/>
      <c r="ARQ20" s="503"/>
      <c r="ARR20" s="22">
        <v>1365</v>
      </c>
      <c r="ARS20" s="479"/>
      <c r="ART20" s="294" t="s">
        <v>861</v>
      </c>
      <c r="ARU20" s="528" t="s">
        <v>18</v>
      </c>
      <c r="ARV20" s="466"/>
      <c r="ARW20" s="466"/>
      <c r="ARX20" s="466"/>
      <c r="ARY20" s="467"/>
      <c r="ARZ20" s="501">
        <v>1463</v>
      </c>
      <c r="ASA20" s="502"/>
      <c r="ASB20" s="502"/>
      <c r="ASC20" s="503"/>
      <c r="ASD20" s="22">
        <v>1329</v>
      </c>
      <c r="ASE20" s="501">
        <v>1336</v>
      </c>
      <c r="ASF20" s="502"/>
      <c r="ASG20" s="502"/>
      <c r="ASH20" s="503"/>
      <c r="ASI20" s="22">
        <v>1144</v>
      </c>
      <c r="ASJ20" s="501">
        <v>1306</v>
      </c>
      <c r="ASK20" s="502"/>
      <c r="ASL20" s="502"/>
      <c r="ASM20" s="503"/>
      <c r="ASN20" s="22">
        <v>1209</v>
      </c>
      <c r="ASO20" s="501">
        <v>1453</v>
      </c>
      <c r="ASP20" s="502"/>
      <c r="ASQ20" s="502"/>
      <c r="ASR20" s="503"/>
      <c r="ASS20" s="22">
        <v>1439</v>
      </c>
      <c r="AST20" s="479"/>
      <c r="ASU20" s="294" t="s">
        <v>861</v>
      </c>
      <c r="ASV20" s="528" t="s">
        <v>18</v>
      </c>
      <c r="ASW20" s="466"/>
      <c r="ASX20" s="466"/>
      <c r="ASY20" s="466"/>
      <c r="ASZ20" s="467"/>
      <c r="ATA20" s="501">
        <v>1447.4</v>
      </c>
      <c r="ATB20" s="502"/>
      <c r="ATC20" s="502"/>
      <c r="ATD20" s="503"/>
      <c r="ATE20" s="22">
        <v>1416</v>
      </c>
      <c r="ATF20" s="501">
        <v>1386</v>
      </c>
      <c r="ATG20" s="502"/>
      <c r="ATH20" s="502"/>
      <c r="ATI20" s="503"/>
      <c r="ATJ20" s="22">
        <v>1354</v>
      </c>
      <c r="ATK20" s="501">
        <v>1293</v>
      </c>
      <c r="ATL20" s="502"/>
      <c r="ATM20" s="502"/>
      <c r="ATN20" s="503"/>
      <c r="ATO20" s="22">
        <v>1303</v>
      </c>
      <c r="ATP20" s="501">
        <v>1507.2</v>
      </c>
      <c r="ATQ20" s="502"/>
      <c r="ATR20" s="502"/>
      <c r="ATS20" s="503"/>
      <c r="ATT20" s="22">
        <v>1360</v>
      </c>
      <c r="ATU20" s="479"/>
      <c r="ATV20" s="294" t="s">
        <v>861</v>
      </c>
      <c r="ATW20" s="528" t="s">
        <v>18</v>
      </c>
      <c r="ATX20" s="466"/>
      <c r="ATY20" s="466"/>
      <c r="ATZ20" s="466"/>
      <c r="AUA20" s="467"/>
      <c r="AUB20" s="501">
        <v>1489.1</v>
      </c>
      <c r="AUC20" s="502"/>
      <c r="AUD20" s="502"/>
      <c r="AUE20" s="503"/>
      <c r="AUF20" s="22">
        <v>1396</v>
      </c>
      <c r="AUG20" s="501">
        <v>1226</v>
      </c>
      <c r="AUH20" s="502"/>
      <c r="AUI20" s="502"/>
      <c r="AUJ20" s="503"/>
      <c r="AUK20" s="22">
        <v>1168</v>
      </c>
      <c r="AUL20" s="501">
        <v>1326</v>
      </c>
      <c r="AUM20" s="502"/>
      <c r="AUN20" s="502"/>
      <c r="AUO20" s="503"/>
      <c r="AUP20" s="22">
        <v>1356</v>
      </c>
      <c r="AUQ20" s="501">
        <v>1280</v>
      </c>
      <c r="AUR20" s="502"/>
      <c r="AUS20" s="502"/>
      <c r="AUT20" s="503"/>
      <c r="AUU20" s="22">
        <v>1265</v>
      </c>
      <c r="AUV20" s="479"/>
      <c r="AUW20" s="294" t="s">
        <v>861</v>
      </c>
      <c r="AUX20" s="528" t="s">
        <v>18</v>
      </c>
      <c r="AUY20" s="466"/>
      <c r="AUZ20" s="466"/>
      <c r="AVA20" s="466"/>
      <c r="AVB20" s="467"/>
      <c r="AVC20" s="501">
        <f>AVC17+AVC18+AVC19</f>
        <v>1470.2</v>
      </c>
      <c r="AVD20" s="502"/>
      <c r="AVE20" s="502"/>
      <c r="AVF20" s="503"/>
      <c r="AVG20" s="22">
        <v>1475</v>
      </c>
      <c r="AVH20" s="501">
        <v>1520</v>
      </c>
      <c r="AVI20" s="502"/>
      <c r="AVJ20" s="502"/>
      <c r="AVK20" s="503"/>
      <c r="AVL20" s="22">
        <v>1449</v>
      </c>
      <c r="AVM20" s="501">
        <v>1480</v>
      </c>
      <c r="AVN20" s="502"/>
      <c r="AVO20" s="502"/>
      <c r="AVP20" s="503"/>
      <c r="AVQ20" s="22">
        <v>1407</v>
      </c>
      <c r="AVR20" s="501">
        <v>1358</v>
      </c>
      <c r="AVS20" s="502"/>
      <c r="AVT20" s="502"/>
      <c r="AVU20" s="503"/>
      <c r="AVV20" s="22">
        <v>1298</v>
      </c>
      <c r="AVW20" s="479"/>
      <c r="AVX20" s="294" t="s">
        <v>861</v>
      </c>
      <c r="AVY20" s="528" t="s">
        <v>18</v>
      </c>
      <c r="AVZ20" s="466"/>
      <c r="AWA20" s="466"/>
      <c r="AWB20" s="466"/>
      <c r="AWC20" s="467"/>
      <c r="AWD20" s="501">
        <v>1250</v>
      </c>
      <c r="AWE20" s="502"/>
      <c r="AWF20" s="502"/>
      <c r="AWG20" s="503"/>
      <c r="AWH20" s="22">
        <v>1321</v>
      </c>
      <c r="AWI20" s="501">
        <v>1348</v>
      </c>
      <c r="AWJ20" s="502"/>
      <c r="AWK20" s="502"/>
      <c r="AWL20" s="503"/>
      <c r="AWM20" s="22">
        <v>1331</v>
      </c>
      <c r="AWN20" s="501">
        <v>1456</v>
      </c>
      <c r="AWO20" s="502"/>
      <c r="AWP20" s="502"/>
      <c r="AWQ20" s="503"/>
      <c r="AWR20" s="22">
        <v>1473</v>
      </c>
      <c r="AWS20" s="501">
        <v>1266.5999999999999</v>
      </c>
      <c r="AWT20" s="502"/>
      <c r="AWU20" s="502"/>
      <c r="AWV20" s="503"/>
      <c r="AWW20" s="22">
        <v>1239</v>
      </c>
      <c r="AWX20" s="479"/>
      <c r="AWY20" s="294" t="s">
        <v>861</v>
      </c>
      <c r="AWZ20" s="528" t="s">
        <v>18</v>
      </c>
      <c r="AXA20" s="466"/>
      <c r="AXB20" s="466"/>
      <c r="AXC20" s="466"/>
      <c r="AXD20" s="467"/>
      <c r="AXE20" s="501">
        <v>1355.1</v>
      </c>
      <c r="AXF20" s="502"/>
      <c r="AXG20" s="502"/>
      <c r="AXH20" s="503"/>
      <c r="AXI20" s="22">
        <v>1234</v>
      </c>
      <c r="AXJ20" s="501">
        <v>1390</v>
      </c>
      <c r="AXK20" s="502"/>
      <c r="AXL20" s="502"/>
      <c r="AXM20" s="503"/>
      <c r="AXN20" s="22">
        <v>1387</v>
      </c>
      <c r="AXO20" s="501">
        <v>1318</v>
      </c>
      <c r="AXP20" s="502"/>
      <c r="AXQ20" s="502"/>
      <c r="AXR20" s="503"/>
      <c r="AXS20" s="22">
        <v>1304</v>
      </c>
      <c r="AXT20" s="501">
        <v>1220</v>
      </c>
      <c r="AXU20" s="502"/>
      <c r="AXV20" s="502"/>
      <c r="AXW20" s="503"/>
      <c r="AXX20" s="22">
        <v>1193</v>
      </c>
      <c r="AXY20" s="479"/>
      <c r="AXZ20" s="294" t="s">
        <v>861</v>
      </c>
      <c r="AYA20" s="528" t="s">
        <v>18</v>
      </c>
      <c r="AYB20" s="466"/>
      <c r="AYC20" s="466"/>
      <c r="AYD20" s="466"/>
      <c r="AYE20" s="467"/>
      <c r="AYF20" s="501">
        <v>1317</v>
      </c>
      <c r="AYG20" s="502"/>
      <c r="AYH20" s="502"/>
      <c r="AYI20" s="503"/>
      <c r="AYJ20" s="22">
        <v>1247</v>
      </c>
      <c r="AYK20" s="501">
        <v>1207.2</v>
      </c>
      <c r="AYL20" s="502"/>
      <c r="AYM20" s="502"/>
      <c r="AYN20" s="503"/>
      <c r="AYO20" s="22">
        <v>1227</v>
      </c>
      <c r="AYP20" s="501">
        <v>1196</v>
      </c>
      <c r="AYQ20" s="502"/>
      <c r="AYR20" s="502"/>
      <c r="AYS20" s="503"/>
      <c r="AYT20" s="22">
        <v>1261</v>
      </c>
      <c r="AYU20" s="501">
        <v>1460</v>
      </c>
      <c r="AYV20" s="502"/>
      <c r="AYW20" s="502"/>
      <c r="AYX20" s="503"/>
      <c r="AYY20" s="22">
        <v>1397</v>
      </c>
      <c r="AYZ20" s="479"/>
      <c r="AZA20" s="294" t="s">
        <v>861</v>
      </c>
      <c r="AZB20" s="528" t="s">
        <v>18</v>
      </c>
      <c r="AZC20" s="466"/>
      <c r="AZD20" s="466"/>
      <c r="AZE20" s="466"/>
      <c r="AZF20" s="467"/>
      <c r="AZG20" s="501">
        <v>1484.2</v>
      </c>
      <c r="AZH20" s="502"/>
      <c r="AZI20" s="502"/>
      <c r="AZJ20" s="503"/>
      <c r="AZK20" s="22">
        <v>1505</v>
      </c>
      <c r="AZL20" s="501">
        <v>1445.2</v>
      </c>
      <c r="AZM20" s="502"/>
      <c r="AZN20" s="502"/>
      <c r="AZO20" s="503"/>
      <c r="AZP20" s="22">
        <v>1486</v>
      </c>
      <c r="AZQ20" s="501">
        <v>1395</v>
      </c>
      <c r="AZR20" s="502"/>
      <c r="AZS20" s="502"/>
      <c r="AZT20" s="503"/>
      <c r="AZU20" s="22">
        <v>1387</v>
      </c>
      <c r="AZV20" s="501">
        <v>1324</v>
      </c>
      <c r="AZW20" s="502"/>
      <c r="AZX20" s="502"/>
      <c r="AZY20" s="503"/>
      <c r="AZZ20" s="22">
        <v>1311</v>
      </c>
      <c r="BAA20" s="478"/>
      <c r="BAB20" s="294" t="s">
        <v>861</v>
      </c>
      <c r="BAC20" s="528" t="s">
        <v>18</v>
      </c>
      <c r="BAD20" s="466"/>
      <c r="BAE20" s="466"/>
      <c r="BAF20" s="466"/>
      <c r="BAG20" s="467"/>
      <c r="BAH20" s="501">
        <v>1144</v>
      </c>
      <c r="BAI20" s="502"/>
      <c r="BAJ20" s="502"/>
      <c r="BAK20" s="503"/>
      <c r="BAL20" s="22">
        <v>1279</v>
      </c>
      <c r="BAM20" s="501">
        <v>1357</v>
      </c>
      <c r="BAN20" s="502"/>
      <c r="BAO20" s="502"/>
      <c r="BAP20" s="503"/>
      <c r="BAQ20" s="22">
        <v>1398</v>
      </c>
      <c r="BAR20" s="501">
        <v>1305</v>
      </c>
      <c r="BAS20" s="502"/>
      <c r="BAT20" s="502"/>
      <c r="BAU20" s="503"/>
      <c r="BAV20" s="22">
        <v>1358</v>
      </c>
      <c r="BAW20" s="501">
        <v>1320</v>
      </c>
      <c r="BAX20" s="502"/>
      <c r="BAY20" s="502"/>
      <c r="BAZ20" s="503"/>
      <c r="BBA20" s="22">
        <v>1362</v>
      </c>
      <c r="BBB20" s="479"/>
      <c r="BBC20" s="294" t="s">
        <v>861</v>
      </c>
      <c r="BBD20" s="528" t="s">
        <v>18</v>
      </c>
      <c r="BBE20" s="466"/>
      <c r="BBF20" s="466"/>
      <c r="BBG20" s="466"/>
      <c r="BBH20" s="467"/>
      <c r="BBI20" s="501">
        <v>1350</v>
      </c>
      <c r="BBJ20" s="502"/>
      <c r="BBK20" s="502"/>
      <c r="BBL20" s="503"/>
      <c r="BBM20" s="22">
        <v>1372</v>
      </c>
      <c r="BBN20" s="501">
        <v>1201</v>
      </c>
      <c r="BBO20" s="502"/>
      <c r="BBP20" s="502"/>
      <c r="BBQ20" s="503"/>
      <c r="BBR20" s="22">
        <v>1251</v>
      </c>
      <c r="BBS20" s="501">
        <v>1167</v>
      </c>
      <c r="BBT20" s="502"/>
      <c r="BBU20" s="502"/>
      <c r="BBV20" s="503"/>
      <c r="BBW20" s="22">
        <v>1187</v>
      </c>
      <c r="BBX20" s="501">
        <v>1406</v>
      </c>
      <c r="BBY20" s="502"/>
      <c r="BBZ20" s="502"/>
      <c r="BCA20" s="503"/>
      <c r="BCB20" s="22">
        <v>1361</v>
      </c>
      <c r="BCC20" s="479"/>
      <c r="BCD20" s="294" t="s">
        <v>861</v>
      </c>
      <c r="BCE20" s="528" t="s">
        <v>18</v>
      </c>
      <c r="BCF20" s="466"/>
      <c r="BCG20" s="466"/>
      <c r="BCH20" s="466"/>
      <c r="BCI20" s="467"/>
      <c r="BCJ20" s="501">
        <f>BCJ17+BCJ18+BCJ19</f>
        <v>1239.7</v>
      </c>
      <c r="BCK20" s="502"/>
      <c r="BCL20" s="502"/>
      <c r="BCM20" s="503"/>
      <c r="BCN20" s="22">
        <v>1334</v>
      </c>
      <c r="BCO20" s="501">
        <v>1232.4000000000001</v>
      </c>
      <c r="BCP20" s="502"/>
      <c r="BCQ20" s="502"/>
      <c r="BCR20" s="503"/>
      <c r="BCS20" s="22">
        <v>1318</v>
      </c>
      <c r="BCT20" s="501">
        <v>1238</v>
      </c>
      <c r="BCU20" s="502"/>
      <c r="BCV20" s="502"/>
      <c r="BCW20" s="503"/>
      <c r="BCX20" s="22">
        <v>1293</v>
      </c>
      <c r="BCY20" s="501">
        <v>1231.4000000000001</v>
      </c>
      <c r="BCZ20" s="502"/>
      <c r="BDA20" s="502"/>
      <c r="BDB20" s="503"/>
      <c r="BDC20" s="22">
        <v>1271</v>
      </c>
      <c r="BDD20" s="479"/>
      <c r="BDE20" s="294" t="s">
        <v>861</v>
      </c>
      <c r="BDF20" s="528" t="s">
        <v>18</v>
      </c>
      <c r="BDG20" s="466"/>
      <c r="BDH20" s="466"/>
      <c r="BDI20" s="466"/>
      <c r="BDJ20" s="467"/>
      <c r="BDK20" s="501">
        <v>1149</v>
      </c>
      <c r="BDL20" s="502"/>
      <c r="BDM20" s="502"/>
      <c r="BDN20" s="503"/>
      <c r="BDO20" s="22">
        <v>1143</v>
      </c>
      <c r="BDP20" s="501">
        <v>1272.5</v>
      </c>
      <c r="BDQ20" s="502"/>
      <c r="BDR20" s="502"/>
      <c r="BDS20" s="503"/>
      <c r="BDT20" s="22">
        <v>1271</v>
      </c>
      <c r="BDU20" s="501">
        <v>1238</v>
      </c>
      <c r="BDV20" s="502"/>
      <c r="BDW20" s="502"/>
      <c r="BDX20" s="503"/>
      <c r="BDY20" s="22">
        <v>1255</v>
      </c>
      <c r="BDZ20" s="501">
        <v>1337.5</v>
      </c>
      <c r="BEA20" s="502"/>
      <c r="BEB20" s="502"/>
      <c r="BEC20" s="503"/>
      <c r="BED20" s="22">
        <v>1334</v>
      </c>
      <c r="BEE20" s="479"/>
      <c r="BEF20" s="294" t="s">
        <v>861</v>
      </c>
      <c r="BEG20" s="528" t="s">
        <v>18</v>
      </c>
      <c r="BEH20" s="466"/>
      <c r="BEI20" s="466"/>
      <c r="BEJ20" s="466"/>
      <c r="BEK20" s="467"/>
      <c r="BEL20" s="501">
        <v>1274.5</v>
      </c>
      <c r="BEM20" s="502"/>
      <c r="BEN20" s="502"/>
      <c r="BEO20" s="503"/>
      <c r="BEP20" s="22">
        <v>1308</v>
      </c>
      <c r="BEQ20" s="501">
        <v>1362</v>
      </c>
      <c r="BER20" s="502"/>
      <c r="BES20" s="502"/>
      <c r="BET20" s="503"/>
      <c r="BEU20" s="22">
        <v>1293</v>
      </c>
      <c r="BEV20" s="501">
        <v>1266.5</v>
      </c>
      <c r="BEW20" s="502"/>
      <c r="BEX20" s="502"/>
      <c r="BEY20" s="503"/>
      <c r="BEZ20" s="22">
        <v>1289</v>
      </c>
      <c r="BFA20" s="501">
        <v>1255</v>
      </c>
      <c r="BFB20" s="502"/>
      <c r="BFC20" s="502"/>
      <c r="BFD20" s="503"/>
      <c r="BFE20" s="22">
        <v>1242</v>
      </c>
      <c r="BFF20" s="479"/>
      <c r="BFG20" s="294" t="s">
        <v>861</v>
      </c>
      <c r="BFH20" s="528" t="s">
        <v>18</v>
      </c>
      <c r="BFI20" s="466"/>
      <c r="BFJ20" s="466"/>
      <c r="BFK20" s="466"/>
      <c r="BFL20" s="467"/>
      <c r="BFM20" s="501">
        <v>1109.7</v>
      </c>
      <c r="BFN20" s="502"/>
      <c r="BFO20" s="502"/>
      <c r="BFP20" s="503"/>
      <c r="BFQ20" s="22">
        <v>1083</v>
      </c>
      <c r="BFR20" s="501">
        <v>1046.2</v>
      </c>
      <c r="BFS20" s="502"/>
      <c r="BFT20" s="502"/>
      <c r="BFU20" s="503"/>
      <c r="BFV20" s="22">
        <v>1099</v>
      </c>
      <c r="BFW20" s="501"/>
      <c r="BFX20" s="502"/>
      <c r="BFY20" s="502"/>
      <c r="BFZ20" s="503"/>
      <c r="BGA20" s="22"/>
      <c r="BGB20" s="501"/>
      <c r="BGC20" s="502"/>
      <c r="BGD20" s="502"/>
      <c r="BGE20" s="503"/>
      <c r="BGF20" s="22"/>
    </row>
    <row r="21" spans="1:1540" ht="45" customHeight="1" x14ac:dyDescent="0.4">
      <c r="A21" s="478"/>
      <c r="B21" s="447"/>
      <c r="C21" s="512" t="s">
        <v>862</v>
      </c>
      <c r="D21" s="458"/>
      <c r="E21" s="458"/>
      <c r="F21" s="458"/>
      <c r="G21" s="434" t="s">
        <v>6</v>
      </c>
      <c r="H21" s="529">
        <v>1683.8</v>
      </c>
      <c r="I21" s="530"/>
      <c r="J21" s="530"/>
      <c r="K21" s="531"/>
      <c r="L21" s="84">
        <v>1451.7</v>
      </c>
      <c r="M21" s="529">
        <v>1726</v>
      </c>
      <c r="N21" s="530"/>
      <c r="O21" s="530"/>
      <c r="P21" s="531"/>
      <c r="Q21" s="84">
        <v>1453.2844000000002</v>
      </c>
      <c r="R21" s="529">
        <v>1736</v>
      </c>
      <c r="S21" s="530"/>
      <c r="T21" s="530"/>
      <c r="U21" s="531"/>
      <c r="V21" s="84">
        <v>1590.7966000000001</v>
      </c>
      <c r="W21" s="529">
        <v>1601</v>
      </c>
      <c r="X21" s="530"/>
      <c r="Y21" s="530"/>
      <c r="Z21" s="531"/>
      <c r="AA21" s="84">
        <v>1349.5254000000002</v>
      </c>
      <c r="AB21" s="479"/>
      <c r="AC21" s="447"/>
      <c r="AD21" s="512" t="s">
        <v>862</v>
      </c>
      <c r="AE21" s="458"/>
      <c r="AF21" s="458"/>
      <c r="AG21" s="458"/>
      <c r="AH21" s="434" t="s">
        <v>6</v>
      </c>
      <c r="AI21" s="529">
        <v>1463</v>
      </c>
      <c r="AJ21" s="530"/>
      <c r="AK21" s="530"/>
      <c r="AL21" s="531"/>
      <c r="AM21" s="84">
        <v>1140.4000000000001</v>
      </c>
      <c r="AN21" s="529">
        <v>1735.5</v>
      </c>
      <c r="AO21" s="530"/>
      <c r="AP21" s="530"/>
      <c r="AQ21" s="531"/>
      <c r="AR21" s="84">
        <v>1716.9</v>
      </c>
      <c r="AS21" s="529">
        <v>1692.7</v>
      </c>
      <c r="AT21" s="530"/>
      <c r="AU21" s="530"/>
      <c r="AV21" s="531"/>
      <c r="AW21" s="84">
        <f>103.6+323.4+52+15.4+38.2+971.1+4.5+67.8</f>
        <v>1576</v>
      </c>
      <c r="AX21" s="529">
        <v>1714.6</v>
      </c>
      <c r="AY21" s="530"/>
      <c r="AZ21" s="530"/>
      <c r="BA21" s="531"/>
      <c r="BB21" s="84">
        <v>1513.6694</v>
      </c>
      <c r="BC21" s="479"/>
      <c r="BD21" s="447"/>
      <c r="BE21" s="512" t="s">
        <v>862</v>
      </c>
      <c r="BF21" s="458"/>
      <c r="BG21" s="458"/>
      <c r="BH21" s="458"/>
      <c r="BI21" s="434" t="s">
        <v>6</v>
      </c>
      <c r="BJ21" s="529">
        <f>319.8+83.8+217.9+707.3+303+11.7-0.1</f>
        <v>1643.4</v>
      </c>
      <c r="BK21" s="530"/>
      <c r="BL21" s="530"/>
      <c r="BM21" s="531"/>
      <c r="BN21" s="84">
        <v>1360.7386000000001</v>
      </c>
      <c r="BO21" s="529">
        <v>1655.6</v>
      </c>
      <c r="BP21" s="530"/>
      <c r="BQ21" s="530"/>
      <c r="BR21" s="531"/>
      <c r="BS21" s="84">
        <f>BS20+BS23</f>
        <v>1380</v>
      </c>
      <c r="BT21" s="529">
        <v>1705</v>
      </c>
      <c r="BU21" s="530"/>
      <c r="BV21" s="530"/>
      <c r="BW21" s="531"/>
      <c r="BX21" s="84">
        <f>BX20+BX23</f>
        <v>1562</v>
      </c>
      <c r="BY21" s="529">
        <v>1620.6</v>
      </c>
      <c r="BZ21" s="530"/>
      <c r="CA21" s="530"/>
      <c r="CB21" s="531"/>
      <c r="CC21" s="84">
        <f>100+323+59.2+15.6+38+15.8+801.1+76.2</f>
        <v>1428.8999999999999</v>
      </c>
      <c r="CD21" s="479"/>
      <c r="CE21" s="447"/>
      <c r="CF21" s="512" t="s">
        <v>862</v>
      </c>
      <c r="CG21" s="458"/>
      <c r="CH21" s="458"/>
      <c r="CI21" s="458"/>
      <c r="CJ21" s="434" t="s">
        <v>6</v>
      </c>
      <c r="CK21" s="529">
        <f>322.5+98.3+237.2+999.3+73.8+2.6</f>
        <v>1733.6999999999998</v>
      </c>
      <c r="CL21" s="530"/>
      <c r="CM21" s="530"/>
      <c r="CN21" s="531"/>
      <c r="CO21" s="84">
        <v>1572.7226000000001</v>
      </c>
      <c r="CP21" s="529">
        <v>1728.6</v>
      </c>
      <c r="CQ21" s="530"/>
      <c r="CR21" s="530"/>
      <c r="CS21" s="531"/>
      <c r="CT21" s="84">
        <v>1500.2782000000002</v>
      </c>
      <c r="CU21" s="529">
        <v>1400.6</v>
      </c>
      <c r="CV21" s="530"/>
      <c r="CW21" s="530"/>
      <c r="CX21" s="531"/>
      <c r="CY21" s="84">
        <v>1076</v>
      </c>
      <c r="CZ21" s="529">
        <v>1591.6</v>
      </c>
      <c r="DA21" s="530"/>
      <c r="DB21" s="530"/>
      <c r="DC21" s="531"/>
      <c r="DD21" s="84">
        <v>1439.1826000000001</v>
      </c>
      <c r="DE21" s="479"/>
      <c r="DF21" s="447"/>
      <c r="DG21" s="512" t="s">
        <v>862</v>
      </c>
      <c r="DH21" s="458"/>
      <c r="DI21" s="458"/>
      <c r="DJ21" s="458"/>
      <c r="DK21" s="434" t="s">
        <v>6</v>
      </c>
      <c r="DL21" s="529">
        <v>1473.6</v>
      </c>
      <c r="DM21" s="530"/>
      <c r="DN21" s="530"/>
      <c r="DO21" s="531"/>
      <c r="DP21" s="84">
        <v>1110</v>
      </c>
      <c r="DQ21" s="529">
        <v>1677.1</v>
      </c>
      <c r="DR21" s="530"/>
      <c r="DS21" s="530"/>
      <c r="DT21" s="531"/>
      <c r="DU21" s="84">
        <v>1586</v>
      </c>
      <c r="DV21" s="529">
        <v>1686.2</v>
      </c>
      <c r="DW21" s="530"/>
      <c r="DX21" s="530"/>
      <c r="DY21" s="531"/>
      <c r="DZ21" s="84">
        <v>1561.6442</v>
      </c>
      <c r="EA21" s="529">
        <f>386.9+98.3+198.8+963.6+109.5+25</f>
        <v>1782.1</v>
      </c>
      <c r="EB21" s="530"/>
      <c r="EC21" s="530"/>
      <c r="ED21" s="531"/>
      <c r="EE21" s="84">
        <f>EE20+EE23</f>
        <v>1723</v>
      </c>
      <c r="EF21" s="479"/>
      <c r="EG21" s="447"/>
      <c r="EH21" s="512" t="s">
        <v>862</v>
      </c>
      <c r="EI21" s="458"/>
      <c r="EJ21" s="458"/>
      <c r="EK21" s="458"/>
      <c r="EL21" s="434" t="s">
        <v>6</v>
      </c>
      <c r="EM21" s="529">
        <v>1788.3</v>
      </c>
      <c r="EN21" s="530"/>
      <c r="EO21" s="530"/>
      <c r="EP21" s="531"/>
      <c r="EQ21" s="84">
        <v>1571.2964999999999</v>
      </c>
      <c r="ER21" s="529">
        <v>1757.7</v>
      </c>
      <c r="ES21" s="530"/>
      <c r="ET21" s="530"/>
      <c r="EU21" s="531"/>
      <c r="EV21" s="84">
        <v>1524.3764000000001</v>
      </c>
      <c r="EW21" s="529">
        <v>1109.0999999999999</v>
      </c>
      <c r="EX21" s="530"/>
      <c r="EY21" s="530"/>
      <c r="EZ21" s="531"/>
      <c r="FA21" s="84">
        <v>818.6</v>
      </c>
      <c r="FB21" s="529">
        <v>1584</v>
      </c>
      <c r="FC21" s="530"/>
      <c r="FD21" s="530"/>
      <c r="FE21" s="531"/>
      <c r="FF21" s="84">
        <v>1288.6251000000002</v>
      </c>
      <c r="FG21" s="479"/>
      <c r="FH21" s="447"/>
      <c r="FI21" s="512" t="s">
        <v>862</v>
      </c>
      <c r="FJ21" s="458"/>
      <c r="FK21" s="458"/>
      <c r="FL21" s="458"/>
      <c r="FM21" s="434" t="s">
        <v>6</v>
      </c>
      <c r="FN21" s="529">
        <v>1690.1</v>
      </c>
      <c r="FO21" s="530"/>
      <c r="FP21" s="530"/>
      <c r="FQ21" s="531"/>
      <c r="FR21" s="84">
        <v>1576.5664999999999</v>
      </c>
      <c r="FS21" s="529">
        <v>1652.6</v>
      </c>
      <c r="FT21" s="530"/>
      <c r="FU21" s="530"/>
      <c r="FV21" s="531"/>
      <c r="FW21" s="84">
        <v>1557</v>
      </c>
      <c r="FX21" s="529">
        <v>1641.6</v>
      </c>
      <c r="FY21" s="530"/>
      <c r="FZ21" s="530"/>
      <c r="GA21" s="531"/>
      <c r="GB21" s="84">
        <v>1505.4227000000001</v>
      </c>
      <c r="GC21" s="529">
        <v>1350.3</v>
      </c>
      <c r="GD21" s="530"/>
      <c r="GE21" s="530"/>
      <c r="GF21" s="531"/>
      <c r="GG21" s="84">
        <v>1021</v>
      </c>
      <c r="GH21" s="479"/>
      <c r="GI21" s="447"/>
      <c r="GJ21" s="512" t="s">
        <v>862</v>
      </c>
      <c r="GK21" s="458"/>
      <c r="GL21" s="458"/>
      <c r="GM21" s="458"/>
      <c r="GN21" s="434" t="s">
        <v>6</v>
      </c>
      <c r="GO21" s="529">
        <v>1357.3</v>
      </c>
      <c r="GP21" s="530"/>
      <c r="GQ21" s="530"/>
      <c r="GR21" s="531"/>
      <c r="GS21" s="84">
        <v>1219.6959999999999</v>
      </c>
      <c r="GT21" s="529">
        <v>1759</v>
      </c>
      <c r="GU21" s="530"/>
      <c r="GV21" s="530"/>
      <c r="GW21" s="531"/>
      <c r="GX21" s="84">
        <v>1655</v>
      </c>
      <c r="GY21" s="529">
        <f>410.7+97.5+222.3+978.8+42.8+10.7</f>
        <v>1762.8</v>
      </c>
      <c r="GZ21" s="530"/>
      <c r="HA21" s="530"/>
      <c r="HB21" s="531"/>
      <c r="HC21" s="84">
        <v>1751.6610000000001</v>
      </c>
      <c r="HD21" s="529">
        <v>1761</v>
      </c>
      <c r="HE21" s="530"/>
      <c r="HF21" s="530"/>
      <c r="HG21" s="531"/>
      <c r="HH21" s="84">
        <v>1670.8838000000001</v>
      </c>
      <c r="HI21" s="479"/>
      <c r="HJ21" s="447"/>
      <c r="HK21" s="512" t="s">
        <v>862</v>
      </c>
      <c r="HL21" s="458"/>
      <c r="HM21" s="458"/>
      <c r="HN21" s="458"/>
      <c r="HO21" s="434" t="s">
        <v>6</v>
      </c>
      <c r="HP21" s="529">
        <v>1755</v>
      </c>
      <c r="HQ21" s="530"/>
      <c r="HR21" s="530"/>
      <c r="HS21" s="531"/>
      <c r="HT21" s="84">
        <v>1595.9414000000002</v>
      </c>
      <c r="HU21" s="529">
        <v>1666.1</v>
      </c>
      <c r="HV21" s="530"/>
      <c r="HW21" s="530"/>
      <c r="HX21" s="531"/>
      <c r="HY21" s="84">
        <v>1535.5268000000001</v>
      </c>
      <c r="HZ21" s="529">
        <v>1655</v>
      </c>
      <c r="IA21" s="530"/>
      <c r="IB21" s="530"/>
      <c r="IC21" s="531"/>
      <c r="ID21" s="84">
        <v>1515.9938999999999</v>
      </c>
      <c r="IE21" s="529">
        <v>1667</v>
      </c>
      <c r="IF21" s="530"/>
      <c r="IG21" s="530"/>
      <c r="IH21" s="531"/>
      <c r="II21" s="84">
        <v>1539</v>
      </c>
      <c r="IJ21" s="478"/>
      <c r="IK21" s="447"/>
      <c r="IL21" s="512" t="s">
        <v>862</v>
      </c>
      <c r="IM21" s="458"/>
      <c r="IN21" s="458"/>
      <c r="IO21" s="458"/>
      <c r="IP21" s="434" t="s">
        <v>6</v>
      </c>
      <c r="IQ21" s="529">
        <v>1649</v>
      </c>
      <c r="IR21" s="530"/>
      <c r="IS21" s="530"/>
      <c r="IT21" s="531"/>
      <c r="IU21" s="84">
        <f>118.2+323.2+43.8+12.4+32.8+0.4+912.3+6.5+85.6-1</f>
        <v>1534.1999999999998</v>
      </c>
      <c r="IV21" s="529">
        <v>1640</v>
      </c>
      <c r="IW21" s="530"/>
      <c r="IX21" s="530"/>
      <c r="IY21" s="531"/>
      <c r="IZ21" s="84">
        <v>1490.6308000000001</v>
      </c>
      <c r="JA21" s="529">
        <v>1345.5</v>
      </c>
      <c r="JB21" s="530"/>
      <c r="JC21" s="530"/>
      <c r="JD21" s="531"/>
      <c r="JE21" s="84">
        <v>1103.9000000000001</v>
      </c>
      <c r="JF21" s="529">
        <v>1630.8</v>
      </c>
      <c r="JG21" s="530"/>
      <c r="JH21" s="530"/>
      <c r="JI21" s="531"/>
      <c r="JJ21" s="84">
        <v>1382.7136</v>
      </c>
      <c r="JK21" s="479"/>
      <c r="JL21" s="447"/>
      <c r="JM21" s="512" t="s">
        <v>862</v>
      </c>
      <c r="JN21" s="458"/>
      <c r="JO21" s="458"/>
      <c r="JP21" s="458"/>
      <c r="JQ21" s="434" t="s">
        <v>6</v>
      </c>
      <c r="JR21" s="529">
        <v>1624.8</v>
      </c>
      <c r="JS21" s="530"/>
      <c r="JT21" s="530"/>
      <c r="JU21" s="531"/>
      <c r="JV21" s="84">
        <v>1505</v>
      </c>
      <c r="JW21" s="529">
        <v>1476.3</v>
      </c>
      <c r="JX21" s="530"/>
      <c r="JY21" s="530"/>
      <c r="JZ21" s="531"/>
      <c r="KA21" s="84">
        <v>1461.0896000000002</v>
      </c>
      <c r="KB21" s="529">
        <f>322.1+89.5+208.4+972.6+49+16.4</f>
        <v>1658</v>
      </c>
      <c r="KC21" s="530"/>
      <c r="KD21" s="530"/>
      <c r="KE21" s="531"/>
      <c r="KF21" s="84">
        <v>1523.1394</v>
      </c>
      <c r="KG21" s="529">
        <v>1693</v>
      </c>
      <c r="KH21" s="530"/>
      <c r="KI21" s="530"/>
      <c r="KJ21" s="531"/>
      <c r="KK21" s="84">
        <v>1650</v>
      </c>
      <c r="KL21" s="479"/>
      <c r="KM21" s="447"/>
      <c r="KN21" s="512" t="s">
        <v>862</v>
      </c>
      <c r="KO21" s="458"/>
      <c r="KP21" s="458"/>
      <c r="KQ21" s="458"/>
      <c r="KR21" s="434" t="s">
        <v>6</v>
      </c>
      <c r="KS21" s="529">
        <v>1634</v>
      </c>
      <c r="KT21" s="530"/>
      <c r="KU21" s="530"/>
      <c r="KV21" s="531"/>
      <c r="KW21" s="84">
        <v>1405.0204000000001</v>
      </c>
      <c r="KX21" s="529">
        <v>1603</v>
      </c>
      <c r="KY21" s="530"/>
      <c r="KZ21" s="530"/>
      <c r="LA21" s="531"/>
      <c r="LB21" s="84">
        <v>1390.1232</v>
      </c>
      <c r="LC21" s="529">
        <v>1562</v>
      </c>
      <c r="LD21" s="530"/>
      <c r="LE21" s="530"/>
      <c r="LF21" s="531"/>
      <c r="LG21" s="84">
        <v>1431.2438000000002</v>
      </c>
      <c r="LH21" s="529">
        <v>1433</v>
      </c>
      <c r="LI21" s="530"/>
      <c r="LJ21" s="530"/>
      <c r="LK21" s="531"/>
      <c r="LL21" s="84">
        <v>1229.3474000000001</v>
      </c>
      <c r="LM21" s="479"/>
      <c r="LN21" s="447"/>
      <c r="LO21" s="512" t="s">
        <v>862</v>
      </c>
      <c r="LP21" s="458"/>
      <c r="LQ21" s="458"/>
      <c r="LR21" s="458"/>
      <c r="LS21" s="434" t="s">
        <v>6</v>
      </c>
      <c r="LT21" s="529">
        <v>1483</v>
      </c>
      <c r="LU21" s="530"/>
      <c r="LV21" s="530"/>
      <c r="LW21" s="531"/>
      <c r="LX21" s="84">
        <v>1470.8000000000002</v>
      </c>
      <c r="LY21" s="529">
        <v>1389</v>
      </c>
      <c r="LZ21" s="530"/>
      <c r="MA21" s="530"/>
      <c r="MB21" s="531"/>
      <c r="MC21" s="84">
        <v>1225.6274000000001</v>
      </c>
      <c r="MD21" s="529">
        <v>1448</v>
      </c>
      <c r="ME21" s="530"/>
      <c r="MF21" s="530"/>
      <c r="MG21" s="531"/>
      <c r="MH21" s="84">
        <v>1256.8000000000002</v>
      </c>
      <c r="MI21" s="529">
        <v>1693</v>
      </c>
      <c r="MJ21" s="530"/>
      <c r="MK21" s="530"/>
      <c r="ML21" s="531"/>
      <c r="MM21" s="84">
        <v>1650.0517</v>
      </c>
      <c r="MN21" s="479"/>
      <c r="MO21" s="447"/>
      <c r="MP21" s="512" t="s">
        <v>862</v>
      </c>
      <c r="MQ21" s="458"/>
      <c r="MR21" s="458"/>
      <c r="MS21" s="458"/>
      <c r="MT21" s="434" t="s">
        <v>6</v>
      </c>
      <c r="MU21" s="529">
        <v>1665.2</v>
      </c>
      <c r="MV21" s="530"/>
      <c r="MW21" s="530"/>
      <c r="MX21" s="531"/>
      <c r="MY21" s="84">
        <v>1362</v>
      </c>
      <c r="MZ21" s="529">
        <v>1326.6</v>
      </c>
      <c r="NA21" s="530"/>
      <c r="NB21" s="530"/>
      <c r="NC21" s="531"/>
      <c r="ND21" s="84">
        <v>1117.6290999999999</v>
      </c>
      <c r="NE21" s="529">
        <f>321.8+77.7+256.5+868.7+135.3+2.8+1</f>
        <v>1663.8</v>
      </c>
      <c r="NF21" s="530"/>
      <c r="NG21" s="530"/>
      <c r="NH21" s="531"/>
      <c r="NI21" s="84">
        <v>1516.5666000000001</v>
      </c>
      <c r="NJ21" s="529">
        <v>1624</v>
      </c>
      <c r="NK21" s="530"/>
      <c r="NL21" s="530"/>
      <c r="NM21" s="531"/>
      <c r="NN21" s="84">
        <v>1408.8636000000001</v>
      </c>
      <c r="NO21" s="479"/>
      <c r="NP21" s="447"/>
      <c r="NQ21" s="512" t="s">
        <v>862</v>
      </c>
      <c r="NR21" s="458"/>
      <c r="NS21" s="458"/>
      <c r="NT21" s="458"/>
      <c r="NU21" s="434" t="s">
        <v>6</v>
      </c>
      <c r="NV21" s="529">
        <v>1436</v>
      </c>
      <c r="NW21" s="530"/>
      <c r="NX21" s="530"/>
      <c r="NY21" s="531"/>
      <c r="NZ21" s="84">
        <v>1055</v>
      </c>
      <c r="OA21" s="529">
        <v>1451</v>
      </c>
      <c r="OB21" s="530"/>
      <c r="OC21" s="530"/>
      <c r="OD21" s="531"/>
      <c r="OE21" s="84">
        <v>1119.4598000000001</v>
      </c>
      <c r="OF21" s="529">
        <v>1569</v>
      </c>
      <c r="OG21" s="530"/>
      <c r="OH21" s="530"/>
      <c r="OI21" s="531"/>
      <c r="OJ21" s="84">
        <v>1360</v>
      </c>
      <c r="OK21" s="529">
        <v>1615</v>
      </c>
      <c r="OL21" s="530"/>
      <c r="OM21" s="530"/>
      <c r="ON21" s="531"/>
      <c r="OO21" s="84">
        <f>167+319.6+102.3+13.7+46.4+0.8+431.4+347+1</f>
        <v>1429.1999999999998</v>
      </c>
      <c r="OP21" s="479"/>
      <c r="OQ21" s="447"/>
      <c r="OR21" s="512" t="s">
        <v>862</v>
      </c>
      <c r="OS21" s="458"/>
      <c r="OT21" s="458"/>
      <c r="OU21" s="458"/>
      <c r="OV21" s="434" t="s">
        <v>6</v>
      </c>
      <c r="OW21" s="529">
        <v>1591</v>
      </c>
      <c r="OX21" s="530"/>
      <c r="OY21" s="530"/>
      <c r="OZ21" s="531"/>
      <c r="PA21" s="84">
        <v>1260</v>
      </c>
      <c r="PB21" s="529">
        <v>1775</v>
      </c>
      <c r="PC21" s="530"/>
      <c r="PD21" s="530"/>
      <c r="PE21" s="531"/>
      <c r="PF21" s="84">
        <v>1560.5916000000002</v>
      </c>
      <c r="PG21" s="529">
        <v>1674</v>
      </c>
      <c r="PH21" s="530"/>
      <c r="PI21" s="530"/>
      <c r="PJ21" s="531"/>
      <c r="PK21" s="84">
        <v>1486.9660000000001</v>
      </c>
      <c r="PL21" s="529">
        <v>1625.3</v>
      </c>
      <c r="PM21" s="530"/>
      <c r="PN21" s="530"/>
      <c r="PO21" s="531"/>
      <c r="PP21" s="84">
        <v>1288.5418</v>
      </c>
      <c r="PQ21" s="479"/>
      <c r="PR21" s="447"/>
      <c r="PS21" s="512" t="s">
        <v>862</v>
      </c>
      <c r="PT21" s="458"/>
      <c r="PU21" s="458"/>
      <c r="PV21" s="458"/>
      <c r="PW21" s="434" t="s">
        <v>6</v>
      </c>
      <c r="PX21" s="529">
        <v>1350.7</v>
      </c>
      <c r="PY21" s="530"/>
      <c r="PZ21" s="530"/>
      <c r="QA21" s="531"/>
      <c r="QB21" s="84">
        <v>995.80000000000007</v>
      </c>
      <c r="QC21" s="529">
        <v>1653</v>
      </c>
      <c r="QD21" s="530"/>
      <c r="QE21" s="530"/>
      <c r="QF21" s="531"/>
      <c r="QG21" s="84">
        <v>1568.6254000000001</v>
      </c>
      <c r="QH21" s="529">
        <v>1622.1</v>
      </c>
      <c r="QI21" s="530"/>
      <c r="QJ21" s="530"/>
      <c r="QK21" s="531"/>
      <c r="QL21" s="84">
        <v>1513.4700000000003</v>
      </c>
      <c r="QM21" s="529">
        <v>1736</v>
      </c>
      <c r="QN21" s="530"/>
      <c r="QO21" s="530"/>
      <c r="QP21" s="531"/>
      <c r="QQ21" s="84">
        <v>1435</v>
      </c>
      <c r="QR21" s="479"/>
      <c r="QS21" s="447"/>
      <c r="QT21" s="512" t="s">
        <v>862</v>
      </c>
      <c r="QU21" s="458"/>
      <c r="QV21" s="458"/>
      <c r="QW21" s="458"/>
      <c r="QX21" s="434" t="s">
        <v>6</v>
      </c>
      <c r="QY21" s="529">
        <v>1567</v>
      </c>
      <c r="QZ21" s="530"/>
      <c r="RA21" s="530"/>
      <c r="RB21" s="531"/>
      <c r="RC21" s="84">
        <v>1368.8000000000002</v>
      </c>
      <c r="RD21" s="529">
        <v>1424.1</v>
      </c>
      <c r="RE21" s="530"/>
      <c r="RF21" s="530"/>
      <c r="RG21" s="531"/>
      <c r="RH21" s="84">
        <v>1208.1100000000001</v>
      </c>
      <c r="RI21" s="529">
        <v>1031</v>
      </c>
      <c r="RJ21" s="530"/>
      <c r="RK21" s="530"/>
      <c r="RL21" s="531"/>
      <c r="RM21" s="84">
        <v>998.54000000000019</v>
      </c>
      <c r="RN21" s="529">
        <v>1649</v>
      </c>
      <c r="RO21" s="530"/>
      <c r="RP21" s="530"/>
      <c r="RQ21" s="531"/>
      <c r="RR21" s="84">
        <v>1368</v>
      </c>
      <c r="RS21" s="479"/>
      <c r="RT21" s="447"/>
      <c r="RU21" s="512" t="s">
        <v>862</v>
      </c>
      <c r="RV21" s="458"/>
      <c r="RW21" s="458"/>
      <c r="RX21" s="458"/>
      <c r="RY21" s="434" t="s">
        <v>6</v>
      </c>
      <c r="RZ21" s="529">
        <v>1629.8</v>
      </c>
      <c r="SA21" s="530"/>
      <c r="SB21" s="530"/>
      <c r="SC21" s="531"/>
      <c r="SD21" s="84">
        <v>1565.8000000000002</v>
      </c>
      <c r="SE21" s="529">
        <v>1654</v>
      </c>
      <c r="SF21" s="530"/>
      <c r="SG21" s="530"/>
      <c r="SH21" s="531"/>
      <c r="SI21" s="84">
        <v>1354.4</v>
      </c>
      <c r="SJ21" s="529">
        <v>1522</v>
      </c>
      <c r="SK21" s="530"/>
      <c r="SL21" s="530"/>
      <c r="SM21" s="531"/>
      <c r="SN21" s="84">
        <v>1339</v>
      </c>
      <c r="SO21" s="529">
        <v>1513</v>
      </c>
      <c r="SP21" s="530"/>
      <c r="SQ21" s="530"/>
      <c r="SR21" s="531"/>
      <c r="SS21" s="84">
        <v>1249</v>
      </c>
      <c r="ST21" s="479"/>
      <c r="SU21" s="447"/>
      <c r="SV21" s="512" t="s">
        <v>862</v>
      </c>
      <c r="SW21" s="458"/>
      <c r="SX21" s="458"/>
      <c r="SY21" s="458"/>
      <c r="SZ21" s="434" t="s">
        <v>6</v>
      </c>
      <c r="TA21" s="529">
        <v>1671</v>
      </c>
      <c r="TB21" s="530"/>
      <c r="TC21" s="530"/>
      <c r="TD21" s="531"/>
      <c r="TE21" s="84">
        <v>1455.2</v>
      </c>
      <c r="TF21" s="529">
        <v>1599</v>
      </c>
      <c r="TG21" s="530"/>
      <c r="TH21" s="530"/>
      <c r="TI21" s="531"/>
      <c r="TJ21" s="84">
        <v>1466</v>
      </c>
      <c r="TK21" s="529">
        <v>1642</v>
      </c>
      <c r="TL21" s="530"/>
      <c r="TM21" s="530"/>
      <c r="TN21" s="531"/>
      <c r="TO21" s="84">
        <v>1424</v>
      </c>
      <c r="TP21" s="529">
        <v>1639</v>
      </c>
      <c r="TQ21" s="530"/>
      <c r="TR21" s="530"/>
      <c r="TS21" s="531"/>
      <c r="TT21" s="84">
        <v>1400.4</v>
      </c>
      <c r="TU21" s="479"/>
      <c r="TV21" s="447"/>
      <c r="TW21" s="512" t="s">
        <v>862</v>
      </c>
      <c r="TX21" s="458"/>
      <c r="TY21" s="458"/>
      <c r="TZ21" s="458"/>
      <c r="UA21" s="434" t="s">
        <v>6</v>
      </c>
      <c r="UB21" s="529">
        <v>1440</v>
      </c>
      <c r="UC21" s="530"/>
      <c r="UD21" s="530"/>
      <c r="UE21" s="531"/>
      <c r="UF21" s="84">
        <v>1464.6000000000001</v>
      </c>
      <c r="UG21" s="529">
        <f>410.2+128.9+309+710.9+137+7.1</f>
        <v>1703.1</v>
      </c>
      <c r="UH21" s="530"/>
      <c r="UI21" s="530"/>
      <c r="UJ21" s="531"/>
      <c r="UK21" s="84">
        <v>1597.6000000000001</v>
      </c>
      <c r="UL21" s="529">
        <v>1718</v>
      </c>
      <c r="UM21" s="530"/>
      <c r="UN21" s="530"/>
      <c r="UO21" s="531"/>
      <c r="UP21" s="84">
        <v>1555.6000000000001</v>
      </c>
      <c r="UQ21" s="529">
        <v>1764</v>
      </c>
      <c r="UR21" s="530"/>
      <c r="US21" s="530"/>
      <c r="UT21" s="531"/>
      <c r="UU21" s="84">
        <v>1596.9382000000001</v>
      </c>
      <c r="UV21" s="479"/>
      <c r="UW21" s="447"/>
      <c r="UX21" s="512" t="s">
        <v>862</v>
      </c>
      <c r="UY21" s="458"/>
      <c r="UZ21" s="458"/>
      <c r="VA21" s="458"/>
      <c r="VB21" s="434" t="s">
        <v>6</v>
      </c>
      <c r="VC21" s="529">
        <v>1785</v>
      </c>
      <c r="VD21" s="530"/>
      <c r="VE21" s="530"/>
      <c r="VF21" s="531"/>
      <c r="VG21" s="84">
        <v>1620.4</v>
      </c>
      <c r="VH21" s="529">
        <v>1791</v>
      </c>
      <c r="VI21" s="530"/>
      <c r="VJ21" s="530"/>
      <c r="VK21" s="531"/>
      <c r="VL21" s="84">
        <v>1410.6000000000001</v>
      </c>
      <c r="VM21" s="529">
        <v>1782.6</v>
      </c>
      <c r="VN21" s="530"/>
      <c r="VO21" s="530"/>
      <c r="VP21" s="531"/>
      <c r="VQ21" s="84">
        <v>1610.8000000000002</v>
      </c>
      <c r="VR21" s="529">
        <v>1656</v>
      </c>
      <c r="VS21" s="530"/>
      <c r="VT21" s="530"/>
      <c r="VU21" s="531"/>
      <c r="VV21" s="84">
        <v>1512.2</v>
      </c>
      <c r="VW21" s="479"/>
      <c r="VX21" s="447"/>
      <c r="VY21" s="512" t="s">
        <v>862</v>
      </c>
      <c r="VZ21" s="458"/>
      <c r="WA21" s="458"/>
      <c r="WB21" s="458"/>
      <c r="WC21" s="434" t="s">
        <v>6</v>
      </c>
      <c r="WD21" s="529">
        <v>1766</v>
      </c>
      <c r="WE21" s="530"/>
      <c r="WF21" s="530"/>
      <c r="WG21" s="531"/>
      <c r="WH21" s="84">
        <v>1605.8000000000002</v>
      </c>
      <c r="WI21" s="529">
        <v>1529</v>
      </c>
      <c r="WJ21" s="530"/>
      <c r="WK21" s="530"/>
      <c r="WL21" s="531"/>
      <c r="WM21" s="84">
        <f>156.6+408.8+73.8+17.3+52.1+1.6+714.4+112.8+1</f>
        <v>1538.3999999999999</v>
      </c>
      <c r="WN21" s="529">
        <f>408.1+133.1+276+803.2+86.9+9.8</f>
        <v>1717.1000000000001</v>
      </c>
      <c r="WO21" s="530"/>
      <c r="WP21" s="530"/>
      <c r="WQ21" s="531"/>
      <c r="WR21" s="84">
        <f>146.2+408.8+71.3+17.8+50.7+1.4+703.6+117</f>
        <v>1516.8</v>
      </c>
      <c r="WS21" s="529">
        <v>1705</v>
      </c>
      <c r="WT21" s="530"/>
      <c r="WU21" s="530"/>
      <c r="WV21" s="531"/>
      <c r="WW21" s="84">
        <v>1622.2322000000001</v>
      </c>
      <c r="WX21" s="479"/>
      <c r="WY21" s="447"/>
      <c r="WZ21" s="512" t="s">
        <v>862</v>
      </c>
      <c r="XA21" s="458"/>
      <c r="XB21" s="458"/>
      <c r="XC21" s="458"/>
      <c r="XD21" s="434" t="s">
        <v>6</v>
      </c>
      <c r="XE21" s="529">
        <v>1779.2</v>
      </c>
      <c r="XF21" s="530"/>
      <c r="XG21" s="530"/>
      <c r="XH21" s="531"/>
      <c r="XI21" s="84">
        <f>150.8+411.2+75.1+17.4+44.6+11.8+895+135</f>
        <v>1740.9</v>
      </c>
      <c r="XJ21" s="529">
        <f>409.3+127.2+287.9+865.1+21.4+8.3</f>
        <v>1719.2</v>
      </c>
      <c r="XK21" s="530"/>
      <c r="XL21" s="530"/>
      <c r="XM21" s="531"/>
      <c r="XN21" s="84">
        <v>1529.6000000000001</v>
      </c>
      <c r="XO21" s="529">
        <v>1662</v>
      </c>
      <c r="XP21" s="530"/>
      <c r="XQ21" s="530"/>
      <c r="XR21" s="531"/>
      <c r="XS21" s="84">
        <v>1536.5266000000001</v>
      </c>
      <c r="XT21" s="529">
        <v>1631</v>
      </c>
      <c r="XU21" s="530"/>
      <c r="XV21" s="530"/>
      <c r="XW21" s="531"/>
      <c r="XX21" s="84">
        <v>1484.6360000000002</v>
      </c>
      <c r="XY21" s="479"/>
      <c r="XZ21" s="447"/>
      <c r="YA21" s="512" t="s">
        <v>862</v>
      </c>
      <c r="YB21" s="458"/>
      <c r="YC21" s="458"/>
      <c r="YD21" s="458"/>
      <c r="YE21" s="434" t="s">
        <v>6</v>
      </c>
      <c r="YF21" s="529">
        <v>1660</v>
      </c>
      <c r="YG21" s="530"/>
      <c r="YH21" s="530"/>
      <c r="YI21" s="531"/>
      <c r="YJ21" s="84">
        <v>1640</v>
      </c>
      <c r="YK21" s="529">
        <v>1535</v>
      </c>
      <c r="YL21" s="530"/>
      <c r="YM21" s="530"/>
      <c r="YN21" s="531"/>
      <c r="YO21" s="84">
        <v>1339</v>
      </c>
      <c r="YP21" s="529">
        <v>1487</v>
      </c>
      <c r="YQ21" s="530"/>
      <c r="YR21" s="530"/>
      <c r="YS21" s="531"/>
      <c r="YT21" s="84">
        <v>1385.8618000000001</v>
      </c>
      <c r="YU21" s="529">
        <v>1661</v>
      </c>
      <c r="YV21" s="530"/>
      <c r="YW21" s="530"/>
      <c r="YX21" s="531"/>
      <c r="YY21" s="84">
        <v>1548.8076000000001</v>
      </c>
      <c r="YZ21" s="479"/>
      <c r="ZA21" s="447"/>
      <c r="ZB21" s="512" t="s">
        <v>862</v>
      </c>
      <c r="ZC21" s="458"/>
      <c r="ZD21" s="458"/>
      <c r="ZE21" s="458"/>
      <c r="ZF21" s="434" t="s">
        <v>6</v>
      </c>
      <c r="ZG21" s="529">
        <v>1686</v>
      </c>
      <c r="ZH21" s="530"/>
      <c r="ZI21" s="530"/>
      <c r="ZJ21" s="531"/>
      <c r="ZK21" s="84">
        <v>1529.8000000000002</v>
      </c>
      <c r="ZL21" s="529">
        <v>1601</v>
      </c>
      <c r="ZM21" s="530"/>
      <c r="ZN21" s="530"/>
      <c r="ZO21" s="531"/>
      <c r="ZP21" s="84">
        <v>1547.2</v>
      </c>
      <c r="ZQ21" s="529">
        <v>1520</v>
      </c>
      <c r="ZR21" s="530"/>
      <c r="ZS21" s="530"/>
      <c r="ZT21" s="531"/>
      <c r="ZU21" s="84">
        <v>1462.4144000000001</v>
      </c>
      <c r="ZV21" s="529">
        <v>1579</v>
      </c>
      <c r="ZW21" s="530"/>
      <c r="ZX21" s="530"/>
      <c r="ZY21" s="531"/>
      <c r="ZZ21" s="84">
        <v>1349.673</v>
      </c>
      <c r="AAA21" s="479"/>
      <c r="AAB21" s="447"/>
      <c r="AAC21" s="512" t="s">
        <v>862</v>
      </c>
      <c r="AAD21" s="458"/>
      <c r="AAE21" s="458"/>
      <c r="AAF21" s="458"/>
      <c r="AAG21" s="434" t="s">
        <v>6</v>
      </c>
      <c r="AAH21" s="529">
        <v>1597.7</v>
      </c>
      <c r="AAI21" s="530"/>
      <c r="AAJ21" s="530"/>
      <c r="AAK21" s="531"/>
      <c r="AAL21" s="84">
        <v>1533.6999999999998</v>
      </c>
      <c r="AAM21" s="529">
        <v>1505</v>
      </c>
      <c r="AAN21" s="530"/>
      <c r="AAO21" s="530"/>
      <c r="AAP21" s="531"/>
      <c r="AAQ21" s="84">
        <v>1327.8000000000002</v>
      </c>
      <c r="AAR21" s="529">
        <v>1621</v>
      </c>
      <c r="AAS21" s="530"/>
      <c r="AAT21" s="530"/>
      <c r="AAU21" s="531"/>
      <c r="AAV21" s="84">
        <v>1477.2</v>
      </c>
      <c r="AAW21" s="529">
        <v>1648</v>
      </c>
      <c r="AAX21" s="530"/>
      <c r="AAY21" s="530"/>
      <c r="AAZ21" s="531"/>
      <c r="ABA21" s="84">
        <v>1292.2</v>
      </c>
      <c r="ABB21" s="479"/>
      <c r="ABC21" s="447"/>
      <c r="ABD21" s="512" t="s">
        <v>862</v>
      </c>
      <c r="ABE21" s="458"/>
      <c r="ABF21" s="458"/>
      <c r="ABG21" s="458"/>
      <c r="ABH21" s="434" t="s">
        <v>6</v>
      </c>
      <c r="ABI21" s="529">
        <f>410.6+120.8+241.9+844.2+33.8+2.6</f>
        <v>1653.8999999999999</v>
      </c>
      <c r="ABJ21" s="530"/>
      <c r="ABK21" s="530"/>
      <c r="ABL21" s="531"/>
      <c r="ABM21" s="84">
        <v>1596.6312</v>
      </c>
      <c r="ABN21" s="529">
        <v>1393</v>
      </c>
      <c r="ABO21" s="530"/>
      <c r="ABP21" s="530"/>
      <c r="ABQ21" s="531"/>
      <c r="ABR21" s="84">
        <v>1230.1718000000001</v>
      </c>
      <c r="ABS21" s="529">
        <v>1547</v>
      </c>
      <c r="ABT21" s="530"/>
      <c r="ABU21" s="530"/>
      <c r="ABV21" s="531"/>
      <c r="ABW21" s="84">
        <v>1092.6000000000001</v>
      </c>
      <c r="ABX21" s="529">
        <v>1579.9</v>
      </c>
      <c r="ABY21" s="530"/>
      <c r="ABZ21" s="530"/>
      <c r="ACA21" s="531"/>
      <c r="ACB21" s="84">
        <f>80.6+408.8+30.4+19.6+48.8+8.8+785+0.1+97.9</f>
        <v>1480</v>
      </c>
      <c r="ACC21" s="479"/>
      <c r="ACD21" s="447"/>
      <c r="ACE21" s="512" t="s">
        <v>862</v>
      </c>
      <c r="ACF21" s="458"/>
      <c r="ACG21" s="458"/>
      <c r="ACH21" s="458"/>
      <c r="ACI21" s="434" t="s">
        <v>6</v>
      </c>
      <c r="ACJ21" s="529">
        <v>1572.8</v>
      </c>
      <c r="ACK21" s="530"/>
      <c r="ACL21" s="530"/>
      <c r="ACM21" s="531"/>
      <c r="ACN21" s="84">
        <v>1453.1833999999999</v>
      </c>
      <c r="ACO21" s="529">
        <v>1558.8</v>
      </c>
      <c r="ACP21" s="530"/>
      <c r="ACQ21" s="530"/>
      <c r="ACR21" s="531"/>
      <c r="ACS21" s="84">
        <v>1470.5707</v>
      </c>
      <c r="ACT21" s="529">
        <v>1550.9</v>
      </c>
      <c r="ACU21" s="530"/>
      <c r="ACV21" s="530"/>
      <c r="ACW21" s="531"/>
      <c r="ACX21" s="84">
        <f>80+412.8+28.7+20.2+48.2+3.8+599.7+88.2</f>
        <v>1281.6000000000001</v>
      </c>
      <c r="ACY21" s="529">
        <v>1209.7</v>
      </c>
      <c r="ACZ21" s="530"/>
      <c r="ADA21" s="530"/>
      <c r="ADB21" s="531"/>
      <c r="ADC21" s="84">
        <f>46.2+412.8+27.6+20.2+60.4+0.4+416.2+118.3</f>
        <v>1102.0999999999999</v>
      </c>
      <c r="ADD21" s="479"/>
      <c r="ADE21" s="447"/>
      <c r="ADF21" s="512" t="s">
        <v>862</v>
      </c>
      <c r="ADG21" s="458"/>
      <c r="ADH21" s="458"/>
      <c r="ADI21" s="458"/>
      <c r="ADJ21" s="434" t="s">
        <v>6</v>
      </c>
      <c r="ADK21" s="529">
        <v>1492</v>
      </c>
      <c r="ADL21" s="530"/>
      <c r="ADM21" s="530"/>
      <c r="ADN21" s="531"/>
      <c r="ADO21" s="84">
        <f>53.6+412.8+27.1+20.4+46.8+0.4+675.4+19.3+119.3-1</f>
        <v>1374.1</v>
      </c>
      <c r="ADP21" s="529">
        <v>1494.4</v>
      </c>
      <c r="ADQ21" s="530"/>
      <c r="ADR21" s="530"/>
      <c r="ADS21" s="531"/>
      <c r="ADT21" s="84">
        <v>1382.4866</v>
      </c>
      <c r="ADU21" s="529">
        <v>1504.7</v>
      </c>
      <c r="ADV21" s="530"/>
      <c r="ADW21" s="530"/>
      <c r="ADX21" s="531"/>
      <c r="ADY21" s="84">
        <v>1394.3743999999999</v>
      </c>
      <c r="ADZ21" s="529">
        <v>1513.7</v>
      </c>
      <c r="AEA21" s="530"/>
      <c r="AEB21" s="530"/>
      <c r="AEC21" s="531"/>
      <c r="AED21" s="84">
        <v>1454.1828</v>
      </c>
      <c r="AEE21" s="479"/>
      <c r="AEF21" s="447"/>
      <c r="AEG21" s="512" t="s">
        <v>862</v>
      </c>
      <c r="AEH21" s="458"/>
      <c r="AEI21" s="458"/>
      <c r="AEJ21" s="458"/>
      <c r="AEK21" s="434" t="s">
        <v>6</v>
      </c>
      <c r="AEL21" s="529">
        <v>1531</v>
      </c>
      <c r="AEM21" s="530"/>
      <c r="AEN21" s="530"/>
      <c r="AEO21" s="531"/>
      <c r="AEP21" s="84">
        <v>1470.6256000000003</v>
      </c>
      <c r="AEQ21" s="529">
        <v>1548</v>
      </c>
      <c r="AER21" s="530"/>
      <c r="AES21" s="530"/>
      <c r="AET21" s="531"/>
      <c r="AEU21" s="84">
        <v>1482.0838000000001</v>
      </c>
      <c r="AEV21" s="529">
        <v>1507</v>
      </c>
      <c r="AEW21" s="530"/>
      <c r="AEX21" s="530"/>
      <c r="AEY21" s="531"/>
      <c r="AEZ21" s="84">
        <v>1502.3670000000002</v>
      </c>
      <c r="AFA21" s="529">
        <v>1524.7</v>
      </c>
      <c r="AFB21" s="530"/>
      <c r="AFC21" s="530"/>
      <c r="AFD21" s="531"/>
      <c r="AFE21" s="84">
        <f>74.2+409.6+23.9+18.1+47.4+0.2+838+92.3</f>
        <v>1503.7</v>
      </c>
      <c r="AFF21" s="479"/>
      <c r="AFG21" s="447"/>
      <c r="AFH21" s="512" t="s">
        <v>862</v>
      </c>
      <c r="AFI21" s="458"/>
      <c r="AFJ21" s="458"/>
      <c r="AFK21" s="458"/>
      <c r="AFL21" s="434" t="s">
        <v>6</v>
      </c>
      <c r="AFM21" s="529">
        <v>1501.7</v>
      </c>
      <c r="AFN21" s="530"/>
      <c r="AFO21" s="530"/>
      <c r="AFP21" s="531"/>
      <c r="AFQ21" s="84">
        <v>1465.4888000000001</v>
      </c>
      <c r="AFR21" s="529">
        <f>412.3+106.1+160.7+815.1+36+4.3</f>
        <v>1534.4999999999998</v>
      </c>
      <c r="AFS21" s="530"/>
      <c r="AFT21" s="530"/>
      <c r="AFU21" s="531"/>
      <c r="AFV21" s="84">
        <v>1463.1598000000004</v>
      </c>
      <c r="AFW21" s="529">
        <v>1530.2</v>
      </c>
      <c r="AFX21" s="530"/>
      <c r="AFY21" s="530"/>
      <c r="AFZ21" s="531"/>
      <c r="AGA21" s="84">
        <v>1399.8182000000002</v>
      </c>
      <c r="AGB21" s="529">
        <v>1538.2</v>
      </c>
      <c r="AGC21" s="530"/>
      <c r="AGD21" s="530"/>
      <c r="AGE21" s="531"/>
      <c r="AGF21" s="84">
        <v>1240.5604000000001</v>
      </c>
      <c r="AGG21" s="479"/>
      <c r="AGH21" s="447"/>
      <c r="AGI21" s="512" t="s">
        <v>862</v>
      </c>
      <c r="AGJ21" s="458"/>
      <c r="AGK21" s="458"/>
      <c r="AGL21" s="458"/>
      <c r="AGM21" s="434" t="s">
        <v>6</v>
      </c>
      <c r="AGN21" s="529">
        <v>1550</v>
      </c>
      <c r="AGO21" s="530"/>
      <c r="AGP21" s="530"/>
      <c r="AGQ21" s="531"/>
      <c r="AGR21" s="84">
        <v>1353.2283</v>
      </c>
      <c r="AGS21" s="529">
        <v>1534</v>
      </c>
      <c r="AGT21" s="530"/>
      <c r="AGU21" s="530"/>
      <c r="AGV21" s="531"/>
      <c r="AGW21" s="84">
        <v>1388.6596</v>
      </c>
      <c r="AGX21" s="529">
        <v>1500.4</v>
      </c>
      <c r="AGY21" s="530"/>
      <c r="AGZ21" s="530"/>
      <c r="AHA21" s="531"/>
      <c r="AHB21" s="84">
        <f>87.8+413.8+25+18.6+45.7+0.4+758.8+66-0.4</f>
        <v>1415.6999999999998</v>
      </c>
      <c r="AHC21" s="529">
        <v>1535.7</v>
      </c>
      <c r="AHD21" s="530"/>
      <c r="AHE21" s="530"/>
      <c r="AHF21" s="531"/>
      <c r="AHG21" s="84">
        <v>1485</v>
      </c>
      <c r="AHH21" s="479"/>
      <c r="AHI21" s="447"/>
      <c r="AHJ21" s="512" t="s">
        <v>862</v>
      </c>
      <c r="AHK21" s="458"/>
      <c r="AHL21" s="458"/>
      <c r="AHM21" s="458"/>
      <c r="AHN21" s="434" t="s">
        <v>6</v>
      </c>
      <c r="AHO21" s="529">
        <v>1498.5</v>
      </c>
      <c r="AHP21" s="530"/>
      <c r="AHQ21" s="530"/>
      <c r="AHR21" s="531"/>
      <c r="AHS21" s="84">
        <v>1474.8341</v>
      </c>
      <c r="AHT21" s="529">
        <v>1485.5</v>
      </c>
      <c r="AHU21" s="530"/>
      <c r="AHV21" s="530"/>
      <c r="AHW21" s="531"/>
      <c r="AHX21" s="84">
        <v>1465.7358000000002</v>
      </c>
      <c r="AHY21" s="529">
        <v>1470.2</v>
      </c>
      <c r="AHZ21" s="530"/>
      <c r="AIA21" s="530"/>
      <c r="AIB21" s="531"/>
      <c r="AIC21" s="84">
        <v>1445.2777000000001</v>
      </c>
      <c r="AID21" s="529">
        <v>1310.2</v>
      </c>
      <c r="AIE21" s="530"/>
      <c r="AIF21" s="530"/>
      <c r="AIG21" s="531"/>
      <c r="AIH21" s="84">
        <v>1300.2046</v>
      </c>
      <c r="AII21" s="479"/>
      <c r="AIJ21" s="447"/>
      <c r="AIK21" s="512" t="s">
        <v>862</v>
      </c>
      <c r="AIL21" s="458"/>
      <c r="AIM21" s="458"/>
      <c r="AIN21" s="458"/>
      <c r="AIO21" s="434" t="s">
        <v>6</v>
      </c>
      <c r="AIP21" s="529">
        <v>1445.2</v>
      </c>
      <c r="AIQ21" s="530"/>
      <c r="AIR21" s="530"/>
      <c r="AIS21" s="531"/>
      <c r="AIT21" s="84">
        <v>1366.6438000000001</v>
      </c>
      <c r="AIU21" s="529">
        <v>1506.5</v>
      </c>
      <c r="AIV21" s="530"/>
      <c r="AIW21" s="530"/>
      <c r="AIX21" s="531"/>
      <c r="AIY21" s="84">
        <v>1429.9987000000001</v>
      </c>
      <c r="AIZ21" s="529">
        <v>1494.6</v>
      </c>
      <c r="AJA21" s="530"/>
      <c r="AJB21" s="530"/>
      <c r="AJC21" s="531"/>
      <c r="AJD21" s="84">
        <v>1379.8014000000001</v>
      </c>
      <c r="AJE21" s="529">
        <v>1377.8</v>
      </c>
      <c r="AJF21" s="530"/>
      <c r="AJG21" s="530"/>
      <c r="AJH21" s="531"/>
      <c r="AJI21" s="84">
        <v>1282.6000000000001</v>
      </c>
      <c r="AJJ21" s="479"/>
      <c r="AJK21" s="447"/>
      <c r="AJL21" s="512" t="s">
        <v>862</v>
      </c>
      <c r="AJM21" s="458"/>
      <c r="AJN21" s="458"/>
      <c r="AJO21" s="458"/>
      <c r="AJP21" s="434" t="s">
        <v>6</v>
      </c>
      <c r="AJQ21" s="529">
        <v>1153</v>
      </c>
      <c r="AJR21" s="530"/>
      <c r="AJS21" s="530"/>
      <c r="AJT21" s="531"/>
      <c r="AJU21" s="84">
        <v>1177.0098</v>
      </c>
      <c r="AJV21" s="529">
        <v>1249</v>
      </c>
      <c r="AJW21" s="530"/>
      <c r="AJX21" s="530"/>
      <c r="AJY21" s="531"/>
      <c r="AJZ21" s="84">
        <v>1133</v>
      </c>
      <c r="AKA21" s="529">
        <v>1359.2</v>
      </c>
      <c r="AKB21" s="530"/>
      <c r="AKC21" s="530"/>
      <c r="AKD21" s="531"/>
      <c r="AKE21" s="84">
        <v>1281.2</v>
      </c>
      <c r="AKF21" s="529">
        <v>1372.2</v>
      </c>
      <c r="AKG21" s="530"/>
      <c r="AKH21" s="530"/>
      <c r="AKI21" s="531"/>
      <c r="AKJ21" s="84">
        <v>1339.4</v>
      </c>
      <c r="AKK21" s="479"/>
      <c r="AKL21" s="447"/>
      <c r="AKM21" s="512" t="s">
        <v>862</v>
      </c>
      <c r="AKN21" s="458"/>
      <c r="AKO21" s="458"/>
      <c r="AKP21" s="458"/>
      <c r="AKQ21" s="434" t="s">
        <v>6</v>
      </c>
      <c r="AKR21" s="529">
        <v>1352.2</v>
      </c>
      <c r="AKS21" s="530"/>
      <c r="AKT21" s="530"/>
      <c r="AKU21" s="531"/>
      <c r="AKV21" s="84">
        <v>1250.8000000000002</v>
      </c>
      <c r="AKW21" s="529">
        <v>1277.0999999999999</v>
      </c>
      <c r="AKX21" s="530"/>
      <c r="AKY21" s="530"/>
      <c r="AKZ21" s="531"/>
      <c r="ALA21" s="84">
        <f>75+299+26.9+17+36.9+24.8+663.2+128.7-1</f>
        <v>1270.5</v>
      </c>
      <c r="ALB21" s="529">
        <v>1237</v>
      </c>
      <c r="ALC21" s="530"/>
      <c r="ALD21" s="530"/>
      <c r="ALE21" s="531"/>
      <c r="ALF21" s="84">
        <v>1263.5706</v>
      </c>
      <c r="ALG21" s="529">
        <v>1380.1</v>
      </c>
      <c r="ALH21" s="530"/>
      <c r="ALI21" s="530"/>
      <c r="ALJ21" s="531"/>
      <c r="ALK21" s="84">
        <v>1337.3164999999999</v>
      </c>
      <c r="ALL21" s="479"/>
      <c r="ALM21" s="447"/>
      <c r="ALN21" s="512" t="s">
        <v>862</v>
      </c>
      <c r="ALO21" s="458"/>
      <c r="ALP21" s="458"/>
      <c r="ALQ21" s="458"/>
      <c r="ALR21" s="434" t="s">
        <v>6</v>
      </c>
      <c r="ALS21" s="529">
        <v>1382.1</v>
      </c>
      <c r="ALT21" s="530"/>
      <c r="ALU21" s="530"/>
      <c r="ALV21" s="531"/>
      <c r="ALW21" s="84">
        <f>82+298.8+21+17.3+44.5+737.6+157.5</f>
        <v>1358.7</v>
      </c>
      <c r="ALX21" s="529">
        <v>1394.1</v>
      </c>
      <c r="ALY21" s="530"/>
      <c r="ALZ21" s="530"/>
      <c r="AMA21" s="531"/>
      <c r="AMB21" s="84">
        <v>1358.8128000000002</v>
      </c>
      <c r="AMC21" s="529">
        <v>1245.7</v>
      </c>
      <c r="AMD21" s="530"/>
      <c r="AME21" s="530"/>
      <c r="AMF21" s="531"/>
      <c r="AMG21" s="84">
        <v>1236.6539</v>
      </c>
      <c r="AMH21" s="529">
        <v>1380.6</v>
      </c>
      <c r="AMI21" s="530"/>
      <c r="AMJ21" s="530"/>
      <c r="AMK21" s="531"/>
      <c r="AML21" s="84">
        <v>1238</v>
      </c>
      <c r="AMM21" s="479"/>
      <c r="AMN21" s="447"/>
      <c r="AMO21" s="512" t="s">
        <v>862</v>
      </c>
      <c r="AMP21" s="458"/>
      <c r="AMQ21" s="458"/>
      <c r="AMR21" s="458"/>
      <c r="AMS21" s="434" t="s">
        <v>6</v>
      </c>
      <c r="AMT21" s="529">
        <v>1380.7</v>
      </c>
      <c r="AMU21" s="530"/>
      <c r="AMV21" s="530"/>
      <c r="AMW21" s="531"/>
      <c r="AMX21" s="84">
        <v>1267.7488000000003</v>
      </c>
      <c r="AMY21" s="529">
        <v>1367.4</v>
      </c>
      <c r="AMZ21" s="530"/>
      <c r="ANA21" s="530"/>
      <c r="ANB21" s="531"/>
      <c r="ANC21" s="84">
        <v>1247.8018000000002</v>
      </c>
      <c r="AND21" s="529">
        <v>1340</v>
      </c>
      <c r="ANE21" s="530"/>
      <c r="ANF21" s="530"/>
      <c r="ANG21" s="531"/>
      <c r="ANH21" s="84">
        <v>1299.8000000000002</v>
      </c>
      <c r="ANI21" s="529">
        <v>1344.6</v>
      </c>
      <c r="ANJ21" s="530"/>
      <c r="ANK21" s="530"/>
      <c r="ANL21" s="531"/>
      <c r="ANM21" s="84">
        <v>1296.8000000000002</v>
      </c>
      <c r="ANN21" s="479"/>
      <c r="ANO21" s="447"/>
      <c r="ANP21" s="512" t="s">
        <v>862</v>
      </c>
      <c r="ANQ21" s="458"/>
      <c r="ANR21" s="458"/>
      <c r="ANS21" s="458"/>
      <c r="ANT21" s="434" t="s">
        <v>6</v>
      </c>
      <c r="ANU21" s="529">
        <v>1391</v>
      </c>
      <c r="ANV21" s="530"/>
      <c r="ANW21" s="530"/>
      <c r="ANX21" s="531"/>
      <c r="ANY21" s="84">
        <v>1312.3044</v>
      </c>
      <c r="ANZ21" s="529">
        <v>1263</v>
      </c>
      <c r="AOA21" s="530"/>
      <c r="AOB21" s="530"/>
      <c r="AOC21" s="531"/>
      <c r="AOD21" s="84">
        <v>1126</v>
      </c>
      <c r="AOE21" s="529">
        <v>1427.3</v>
      </c>
      <c r="AOF21" s="530"/>
      <c r="AOG21" s="530"/>
      <c r="AOH21" s="531"/>
      <c r="AOI21" s="532">
        <v>1388.1000000000001</v>
      </c>
      <c r="AOJ21" s="533">
        <v>1388.1000000000001</v>
      </c>
      <c r="AOK21" s="529">
        <f>293.8+111.5+229.9+531.5+177+3.7+1</f>
        <v>1348.4</v>
      </c>
      <c r="AOL21" s="530"/>
      <c r="AOM21" s="530"/>
      <c r="AON21" s="531"/>
      <c r="AOO21" s="84">
        <v>1384.2</v>
      </c>
      <c r="AOP21" s="479"/>
      <c r="AOQ21" s="447"/>
      <c r="AOR21" s="512" t="s">
        <v>862</v>
      </c>
      <c r="AOS21" s="458"/>
      <c r="AOT21" s="458"/>
      <c r="AOU21" s="458"/>
      <c r="AOV21" s="434" t="s">
        <v>6</v>
      </c>
      <c r="AOW21" s="529">
        <v>1481.3</v>
      </c>
      <c r="AOX21" s="530"/>
      <c r="AOY21" s="530"/>
      <c r="AOZ21" s="531"/>
      <c r="APA21" s="84">
        <v>1393.3000000000002</v>
      </c>
      <c r="APB21" s="529">
        <v>1462.3</v>
      </c>
      <c r="APC21" s="530"/>
      <c r="APD21" s="530"/>
      <c r="APE21" s="531"/>
      <c r="APF21" s="84">
        <v>1376.9</v>
      </c>
      <c r="APG21" s="529">
        <v>1230</v>
      </c>
      <c r="APH21" s="530"/>
      <c r="API21" s="530"/>
      <c r="APJ21" s="531"/>
      <c r="APK21" s="84">
        <v>1171.5</v>
      </c>
      <c r="APL21" s="529">
        <v>1419</v>
      </c>
      <c r="APM21" s="530"/>
      <c r="APN21" s="530"/>
      <c r="APO21" s="531"/>
      <c r="APP21" s="84">
        <v>1321.6234000000002</v>
      </c>
      <c r="APQ21" s="479"/>
      <c r="APR21" s="447"/>
      <c r="APS21" s="512" t="s">
        <v>862</v>
      </c>
      <c r="APT21" s="458"/>
      <c r="APU21" s="458"/>
      <c r="APV21" s="458"/>
      <c r="APW21" s="434" t="s">
        <v>6</v>
      </c>
      <c r="APX21" s="529">
        <f>297.6+107.8+252.6+750.3+44.1+16.1</f>
        <v>1468.4999999999998</v>
      </c>
      <c r="APY21" s="530"/>
      <c r="APZ21" s="530"/>
      <c r="AQA21" s="531"/>
      <c r="AQB21" s="84">
        <v>1396.9470000000001</v>
      </c>
      <c r="AQC21" s="529">
        <v>1451.9</v>
      </c>
      <c r="AQD21" s="530"/>
      <c r="AQE21" s="530"/>
      <c r="AQF21" s="531"/>
      <c r="AQG21" s="84">
        <v>1294.08</v>
      </c>
      <c r="AQH21" s="529">
        <v>1380</v>
      </c>
      <c r="AQI21" s="530"/>
      <c r="AQJ21" s="530"/>
      <c r="AQK21" s="531"/>
      <c r="AQL21" s="84">
        <v>1263.8000000000002</v>
      </c>
      <c r="AQM21" s="529">
        <v>1301</v>
      </c>
      <c r="AQN21" s="530"/>
      <c r="AQO21" s="530"/>
      <c r="AQP21" s="531"/>
      <c r="AQQ21" s="84">
        <v>1100.8</v>
      </c>
      <c r="AQR21" s="479"/>
      <c r="AQS21" s="447"/>
      <c r="AQT21" s="512" t="s">
        <v>862</v>
      </c>
      <c r="AQU21" s="458"/>
      <c r="AQV21" s="458"/>
      <c r="AQW21" s="458"/>
      <c r="AQX21" s="434" t="s">
        <v>6</v>
      </c>
      <c r="AQY21" s="529">
        <v>1232</v>
      </c>
      <c r="AQZ21" s="530"/>
      <c r="ARA21" s="530"/>
      <c r="ARB21" s="531"/>
      <c r="ARC21" s="84">
        <v>1039.8</v>
      </c>
      <c r="ARD21" s="529">
        <v>1383</v>
      </c>
      <c r="ARE21" s="530"/>
      <c r="ARF21" s="530"/>
      <c r="ARG21" s="531"/>
      <c r="ARH21" s="84">
        <v>1170.3452000000002</v>
      </c>
      <c r="ARI21" s="529">
        <v>1394</v>
      </c>
      <c r="ARJ21" s="530"/>
      <c r="ARK21" s="530"/>
      <c r="ARL21" s="531"/>
      <c r="ARM21" s="84">
        <v>1322.4908</v>
      </c>
      <c r="ARN21" s="529">
        <v>1524</v>
      </c>
      <c r="ARO21" s="530"/>
      <c r="ARP21" s="530"/>
      <c r="ARQ21" s="531"/>
      <c r="ARR21" s="84">
        <v>1364.8000000000002</v>
      </c>
      <c r="ARS21" s="479"/>
      <c r="ART21" s="447"/>
      <c r="ARU21" s="512" t="s">
        <v>862</v>
      </c>
      <c r="ARV21" s="458"/>
      <c r="ARW21" s="458"/>
      <c r="ARX21" s="458"/>
      <c r="ARY21" s="434" t="s">
        <v>6</v>
      </c>
      <c r="ARZ21" s="529">
        <v>1559</v>
      </c>
      <c r="ASA21" s="530"/>
      <c r="ASB21" s="530"/>
      <c r="ASC21" s="531"/>
      <c r="ASD21" s="84">
        <v>1329</v>
      </c>
      <c r="ASE21" s="529">
        <v>1352</v>
      </c>
      <c r="ASF21" s="530"/>
      <c r="ASG21" s="530"/>
      <c r="ASH21" s="531"/>
      <c r="ASI21" s="84">
        <v>1144</v>
      </c>
      <c r="ASJ21" s="529">
        <v>1363</v>
      </c>
      <c r="ASK21" s="530"/>
      <c r="ASL21" s="530"/>
      <c r="ASM21" s="531"/>
      <c r="ASN21" s="84">
        <v>1209</v>
      </c>
      <c r="ASO21" s="529">
        <v>1530</v>
      </c>
      <c r="ASP21" s="530"/>
      <c r="ASQ21" s="530"/>
      <c r="ASR21" s="531"/>
      <c r="ASS21" s="84">
        <v>1439</v>
      </c>
      <c r="AST21" s="479"/>
      <c r="ASU21" s="447"/>
      <c r="ASV21" s="512" t="s">
        <v>862</v>
      </c>
      <c r="ASW21" s="458"/>
      <c r="ASX21" s="458"/>
      <c r="ASY21" s="458"/>
      <c r="ASZ21" s="434" t="s">
        <v>6</v>
      </c>
      <c r="ATA21" s="529">
        <v>1528.4</v>
      </c>
      <c r="ATB21" s="530"/>
      <c r="ATC21" s="530"/>
      <c r="ATD21" s="531"/>
      <c r="ATE21" s="84">
        <v>1416.2</v>
      </c>
      <c r="ATF21" s="529">
        <v>1530</v>
      </c>
      <c r="ATG21" s="530"/>
      <c r="ATH21" s="530"/>
      <c r="ATI21" s="531"/>
      <c r="ATJ21" s="84">
        <v>1394.0036</v>
      </c>
      <c r="ATK21" s="529">
        <v>1513</v>
      </c>
      <c r="ATL21" s="530"/>
      <c r="ATM21" s="530"/>
      <c r="ATN21" s="531"/>
      <c r="ATO21" s="84">
        <v>1405.2163</v>
      </c>
      <c r="ATP21" s="529">
        <v>1526.2</v>
      </c>
      <c r="ATQ21" s="530"/>
      <c r="ATR21" s="530"/>
      <c r="ATS21" s="531"/>
      <c r="ATT21" s="84">
        <v>1360.4</v>
      </c>
      <c r="ATU21" s="479"/>
      <c r="ATV21" s="447"/>
      <c r="ATW21" s="512" t="s">
        <v>862</v>
      </c>
      <c r="ATX21" s="458"/>
      <c r="ATY21" s="458"/>
      <c r="ATZ21" s="458"/>
      <c r="AUA21" s="434" t="s">
        <v>6</v>
      </c>
      <c r="AUB21" s="529">
        <v>1496.1</v>
      </c>
      <c r="AUC21" s="530"/>
      <c r="AUD21" s="530"/>
      <c r="AUE21" s="531"/>
      <c r="AUF21" s="84">
        <v>1396</v>
      </c>
      <c r="AUG21" s="529">
        <v>1354</v>
      </c>
      <c r="AUH21" s="530"/>
      <c r="AUI21" s="530"/>
      <c r="AUJ21" s="531"/>
      <c r="AUK21" s="84">
        <v>1168.19</v>
      </c>
      <c r="AUL21" s="529">
        <v>1466</v>
      </c>
      <c r="AUM21" s="530"/>
      <c r="AUN21" s="530"/>
      <c r="AUO21" s="531"/>
      <c r="AUP21" s="84">
        <v>1355.8000000000002</v>
      </c>
      <c r="AUQ21" s="529">
        <v>1465</v>
      </c>
      <c r="AUR21" s="530"/>
      <c r="AUS21" s="530"/>
      <c r="AUT21" s="531"/>
      <c r="AUU21" s="84">
        <v>1264.6000000000001</v>
      </c>
      <c r="AUV21" s="479"/>
      <c r="AUW21" s="447"/>
      <c r="AUX21" s="512" t="s">
        <v>862</v>
      </c>
      <c r="AUY21" s="458"/>
      <c r="AUZ21" s="458"/>
      <c r="AVA21" s="458"/>
      <c r="AVB21" s="434" t="s">
        <v>6</v>
      </c>
      <c r="AVC21" s="529">
        <f>412.9+108.3+251+563.3+136+7.6</f>
        <v>1479.1</v>
      </c>
      <c r="AVD21" s="530"/>
      <c r="AVE21" s="530"/>
      <c r="AVF21" s="531"/>
      <c r="AVG21" s="84">
        <v>1475.4</v>
      </c>
      <c r="AVH21" s="529">
        <v>1576</v>
      </c>
      <c r="AVI21" s="530"/>
      <c r="AVJ21" s="530"/>
      <c r="AVK21" s="531"/>
      <c r="AVL21" s="84">
        <v>1449</v>
      </c>
      <c r="AVM21" s="529">
        <v>1498</v>
      </c>
      <c r="AVN21" s="530"/>
      <c r="AVO21" s="530"/>
      <c r="AVP21" s="531"/>
      <c r="AVQ21" s="84">
        <v>1407</v>
      </c>
      <c r="AVR21" s="529">
        <v>1740</v>
      </c>
      <c r="AVS21" s="530"/>
      <c r="AVT21" s="530"/>
      <c r="AVU21" s="531"/>
      <c r="AVV21" s="84">
        <v>1398.722</v>
      </c>
      <c r="AVW21" s="479"/>
      <c r="AVX21" s="447"/>
      <c r="AVY21" s="512" t="s">
        <v>862</v>
      </c>
      <c r="AVZ21" s="458"/>
      <c r="AWA21" s="458"/>
      <c r="AWB21" s="458"/>
      <c r="AWC21" s="434" t="s">
        <v>6</v>
      </c>
      <c r="AWD21" s="529">
        <v>1729</v>
      </c>
      <c r="AWE21" s="530"/>
      <c r="AWF21" s="530"/>
      <c r="AWG21" s="531"/>
      <c r="AWH21" s="84">
        <v>1413.3964000000001</v>
      </c>
      <c r="AWI21" s="529">
        <v>1723</v>
      </c>
      <c r="AWJ21" s="530"/>
      <c r="AWK21" s="530"/>
      <c r="AWL21" s="531"/>
      <c r="AWM21" s="84">
        <v>1567.3914000000002</v>
      </c>
      <c r="AWN21" s="529">
        <v>1750</v>
      </c>
      <c r="AWO21" s="530"/>
      <c r="AWP21" s="530"/>
      <c r="AWQ21" s="531"/>
      <c r="AWR21" s="84">
        <v>1506.3668</v>
      </c>
      <c r="AWS21" s="529">
        <v>1295.5999999999999</v>
      </c>
      <c r="AWT21" s="530"/>
      <c r="AWU21" s="530"/>
      <c r="AWV21" s="531"/>
      <c r="AWW21" s="84">
        <v>1239.3859000000002</v>
      </c>
      <c r="AWX21" s="479"/>
      <c r="AWY21" s="447"/>
      <c r="AWZ21" s="512" t="s">
        <v>862</v>
      </c>
      <c r="AXA21" s="458"/>
      <c r="AXB21" s="458"/>
      <c r="AXC21" s="458"/>
      <c r="AXD21" s="434" t="s">
        <v>6</v>
      </c>
      <c r="AXE21" s="529">
        <v>1452.7</v>
      </c>
      <c r="AXF21" s="530"/>
      <c r="AXG21" s="530"/>
      <c r="AXH21" s="531"/>
      <c r="AXI21" s="84">
        <v>1233.8000000000002</v>
      </c>
      <c r="AXJ21" s="529">
        <v>1626</v>
      </c>
      <c r="AXK21" s="530"/>
      <c r="AXL21" s="530"/>
      <c r="AXM21" s="531"/>
      <c r="AXN21" s="84">
        <v>1387.4</v>
      </c>
      <c r="AXO21" s="529">
        <v>1696</v>
      </c>
      <c r="AXP21" s="530"/>
      <c r="AXQ21" s="530"/>
      <c r="AXR21" s="531"/>
      <c r="AXS21" s="84">
        <v>1527.1939</v>
      </c>
      <c r="AXT21" s="529">
        <v>1717</v>
      </c>
      <c r="AXU21" s="530"/>
      <c r="AXV21" s="530"/>
      <c r="AXW21" s="531"/>
      <c r="AXX21" s="84">
        <v>1509.6688000000001</v>
      </c>
      <c r="AXY21" s="479"/>
      <c r="AXZ21" s="447"/>
      <c r="AYA21" s="512" t="s">
        <v>862</v>
      </c>
      <c r="AYB21" s="458"/>
      <c r="AYC21" s="458"/>
      <c r="AYD21" s="458"/>
      <c r="AYE21" s="434" t="s">
        <v>6</v>
      </c>
      <c r="AYF21" s="529">
        <v>1375</v>
      </c>
      <c r="AYG21" s="530"/>
      <c r="AYH21" s="530"/>
      <c r="AYI21" s="531"/>
      <c r="AYJ21" s="84">
        <v>1247</v>
      </c>
      <c r="AYK21" s="529">
        <v>1438.2</v>
      </c>
      <c r="AYL21" s="530"/>
      <c r="AYM21" s="530"/>
      <c r="AYN21" s="531"/>
      <c r="AYO21" s="84">
        <v>1227.4391000000001</v>
      </c>
      <c r="AYP21" s="529">
        <v>1380</v>
      </c>
      <c r="AYQ21" s="530"/>
      <c r="AYR21" s="530"/>
      <c r="AYS21" s="531"/>
      <c r="AYT21" s="84">
        <v>1273.7568000000001</v>
      </c>
      <c r="AYU21" s="529">
        <v>1525</v>
      </c>
      <c r="AYV21" s="530"/>
      <c r="AYW21" s="530"/>
      <c r="AYX21" s="531"/>
      <c r="AYY21" s="84">
        <v>1396.6000000000001</v>
      </c>
      <c r="AYZ21" s="479"/>
      <c r="AZA21" s="447"/>
      <c r="AZB21" s="512" t="s">
        <v>862</v>
      </c>
      <c r="AZC21" s="458"/>
      <c r="AZD21" s="458"/>
      <c r="AZE21" s="458"/>
      <c r="AZF21" s="434" t="s">
        <v>6</v>
      </c>
      <c r="AZG21" s="529">
        <v>1751.2</v>
      </c>
      <c r="AZH21" s="530"/>
      <c r="AZI21" s="530"/>
      <c r="AZJ21" s="531"/>
      <c r="AZK21" s="84">
        <v>1505</v>
      </c>
      <c r="AZL21" s="529">
        <v>1742.2</v>
      </c>
      <c r="AZM21" s="530"/>
      <c r="AZN21" s="530"/>
      <c r="AZO21" s="531"/>
      <c r="AZP21" s="84">
        <v>1511</v>
      </c>
      <c r="AZQ21" s="529">
        <v>1765</v>
      </c>
      <c r="AZR21" s="530"/>
      <c r="AZS21" s="530"/>
      <c r="AZT21" s="531"/>
      <c r="AZU21" s="84">
        <v>1493.0088000000001</v>
      </c>
      <c r="AZV21" s="529">
        <v>1677</v>
      </c>
      <c r="AZW21" s="530"/>
      <c r="AZX21" s="530"/>
      <c r="AZY21" s="531"/>
      <c r="AZZ21" s="84">
        <v>1462.6277</v>
      </c>
      <c r="BAA21" s="478"/>
      <c r="BAB21" s="447"/>
      <c r="BAC21" s="512" t="s">
        <v>862</v>
      </c>
      <c r="BAD21" s="458"/>
      <c r="BAE21" s="458"/>
      <c r="BAF21" s="458"/>
      <c r="BAG21" s="434" t="s">
        <v>6</v>
      </c>
      <c r="BAH21" s="529">
        <v>1590</v>
      </c>
      <c r="BAI21" s="530"/>
      <c r="BAJ21" s="530"/>
      <c r="BAK21" s="531"/>
      <c r="BAL21" s="84">
        <v>1310.2802000000001</v>
      </c>
      <c r="BAM21" s="529">
        <v>1622</v>
      </c>
      <c r="BAN21" s="530"/>
      <c r="BAO21" s="530"/>
      <c r="BAP21" s="531"/>
      <c r="BAQ21" s="84">
        <v>1492.9828</v>
      </c>
      <c r="BAR21" s="529">
        <v>1501</v>
      </c>
      <c r="BAS21" s="530"/>
      <c r="BAT21" s="530"/>
      <c r="BAU21" s="531"/>
      <c r="BAV21" s="84">
        <v>1357.8000000000002</v>
      </c>
      <c r="BAW21" s="529">
        <v>1747</v>
      </c>
      <c r="BAX21" s="530"/>
      <c r="BAY21" s="530"/>
      <c r="BAZ21" s="531"/>
      <c r="BBA21" s="84">
        <v>1550.93</v>
      </c>
      <c r="BBB21" s="479"/>
      <c r="BBC21" s="447"/>
      <c r="BBD21" s="512" t="s">
        <v>862</v>
      </c>
      <c r="BBE21" s="458"/>
      <c r="BBF21" s="458"/>
      <c r="BBG21" s="458"/>
      <c r="BBH21" s="434" t="s">
        <v>6</v>
      </c>
      <c r="BBI21" s="529">
        <v>1826</v>
      </c>
      <c r="BBJ21" s="530"/>
      <c r="BBK21" s="530"/>
      <c r="BBL21" s="531"/>
      <c r="BBM21" s="84">
        <v>1615.7835</v>
      </c>
      <c r="BBN21" s="529">
        <v>1645</v>
      </c>
      <c r="BBO21" s="530"/>
      <c r="BBP21" s="530"/>
      <c r="BBQ21" s="531"/>
      <c r="BBR21" s="84">
        <v>1492.0683000000001</v>
      </c>
      <c r="BBS21" s="529">
        <v>1717</v>
      </c>
      <c r="BBT21" s="530"/>
      <c r="BBU21" s="530"/>
      <c r="BBV21" s="531"/>
      <c r="BBW21" s="84">
        <v>1550.0711000000001</v>
      </c>
      <c r="BBX21" s="529">
        <v>1597</v>
      </c>
      <c r="BBY21" s="530"/>
      <c r="BBZ21" s="530"/>
      <c r="BCA21" s="531"/>
      <c r="BCB21" s="84">
        <v>1432.1108000000002</v>
      </c>
      <c r="BCC21" s="479"/>
      <c r="BCD21" s="447"/>
      <c r="BCE21" s="512" t="s">
        <v>862</v>
      </c>
      <c r="BCF21" s="458"/>
      <c r="BCG21" s="458"/>
      <c r="BCH21" s="458"/>
      <c r="BCI21" s="434" t="s">
        <v>6</v>
      </c>
      <c r="BCJ21" s="529">
        <f>411.2+97.3+222+728.7+236+19.7</f>
        <v>1714.9</v>
      </c>
      <c r="BCK21" s="530"/>
      <c r="BCL21" s="530"/>
      <c r="BCM21" s="531"/>
      <c r="BCN21" s="84">
        <v>1418.5289000000002</v>
      </c>
      <c r="BCO21" s="529">
        <v>1750.4</v>
      </c>
      <c r="BCP21" s="530"/>
      <c r="BCQ21" s="530"/>
      <c r="BCR21" s="531"/>
      <c r="BCS21" s="84">
        <v>1559.7553000000003</v>
      </c>
      <c r="BCT21" s="529">
        <v>1611</v>
      </c>
      <c r="BCU21" s="530"/>
      <c r="BCV21" s="530"/>
      <c r="BCW21" s="531"/>
      <c r="BCX21" s="84">
        <v>1486.798</v>
      </c>
      <c r="BCY21" s="529">
        <v>1761.4</v>
      </c>
      <c r="BCZ21" s="530"/>
      <c r="BDA21" s="530"/>
      <c r="BDB21" s="531"/>
      <c r="BDC21" s="84">
        <v>1567.7759000000001</v>
      </c>
      <c r="BDD21" s="479"/>
      <c r="BDE21" s="447"/>
      <c r="BDF21" s="512" t="s">
        <v>862</v>
      </c>
      <c r="BDG21" s="458"/>
      <c r="BDH21" s="458"/>
      <c r="BDI21" s="458"/>
      <c r="BDJ21" s="434" t="s">
        <v>6</v>
      </c>
      <c r="BDK21" s="529">
        <v>1714</v>
      </c>
      <c r="BDL21" s="530"/>
      <c r="BDM21" s="530"/>
      <c r="BDN21" s="531"/>
      <c r="BDO21" s="84">
        <v>1551.9114</v>
      </c>
      <c r="BDP21" s="529">
        <v>1737.5</v>
      </c>
      <c r="BDQ21" s="530"/>
      <c r="BDR21" s="530"/>
      <c r="BDS21" s="531"/>
      <c r="BDT21" s="84">
        <v>1579.0924</v>
      </c>
      <c r="BDU21" s="529">
        <v>1768</v>
      </c>
      <c r="BDV21" s="530"/>
      <c r="BDW21" s="530"/>
      <c r="BDX21" s="531"/>
      <c r="BDY21" s="84">
        <v>1460.9913000000001</v>
      </c>
      <c r="BDZ21" s="529">
        <v>1741.5</v>
      </c>
      <c r="BEA21" s="530"/>
      <c r="BEB21" s="530"/>
      <c r="BEC21" s="531"/>
      <c r="BED21" s="84">
        <v>1434.6014</v>
      </c>
      <c r="BEE21" s="479"/>
      <c r="BEF21" s="447"/>
      <c r="BEG21" s="512" t="s">
        <v>862</v>
      </c>
      <c r="BEH21" s="458"/>
      <c r="BEI21" s="458"/>
      <c r="BEJ21" s="458"/>
      <c r="BEK21" s="434" t="s">
        <v>6</v>
      </c>
      <c r="BEL21" s="529">
        <v>1746.5</v>
      </c>
      <c r="BEM21" s="530"/>
      <c r="BEN21" s="530"/>
      <c r="BEO21" s="531"/>
      <c r="BEP21" s="84">
        <v>1581.1348</v>
      </c>
      <c r="BEQ21" s="529">
        <v>1507</v>
      </c>
      <c r="BER21" s="530"/>
      <c r="BES21" s="530"/>
      <c r="BET21" s="531"/>
      <c r="BEU21" s="84">
        <v>1293.4000000000001</v>
      </c>
      <c r="BEV21" s="529">
        <v>1718.5</v>
      </c>
      <c r="BEW21" s="530"/>
      <c r="BEX21" s="530"/>
      <c r="BEY21" s="531"/>
      <c r="BEZ21" s="84">
        <v>1587.2261000000001</v>
      </c>
      <c r="BFA21" s="529">
        <v>1699</v>
      </c>
      <c r="BFB21" s="530"/>
      <c r="BFC21" s="530"/>
      <c r="BFD21" s="531"/>
      <c r="BFE21" s="84">
        <v>1583.8520000000001</v>
      </c>
      <c r="BFF21" s="479"/>
      <c r="BFG21" s="447"/>
      <c r="BFH21" s="512" t="s">
        <v>862</v>
      </c>
      <c r="BFI21" s="458"/>
      <c r="BFJ21" s="458"/>
      <c r="BFK21" s="458"/>
      <c r="BFL21" s="434" t="s">
        <v>6</v>
      </c>
      <c r="BFM21" s="529">
        <v>1669.7</v>
      </c>
      <c r="BFN21" s="530"/>
      <c r="BFO21" s="530"/>
      <c r="BFP21" s="531"/>
      <c r="BFQ21" s="84">
        <v>1381.2033000000001</v>
      </c>
      <c r="BFR21" s="529">
        <v>1402.2</v>
      </c>
      <c r="BFS21" s="530"/>
      <c r="BFT21" s="530"/>
      <c r="BFU21" s="531"/>
      <c r="BFV21" s="84">
        <v>1178.0842</v>
      </c>
      <c r="BFW21" s="529"/>
      <c r="BFX21" s="530"/>
      <c r="BFY21" s="530"/>
      <c r="BFZ21" s="531"/>
      <c r="BGA21" s="84"/>
      <c r="BGB21" s="529"/>
      <c r="BGC21" s="530"/>
      <c r="BGD21" s="530"/>
      <c r="BGE21" s="531"/>
      <c r="BGF21" s="84"/>
    </row>
    <row r="22" spans="1:1540" ht="45" customHeight="1" x14ac:dyDescent="0.4">
      <c r="A22" s="478"/>
      <c r="B22" s="447"/>
      <c r="C22" s="26"/>
      <c r="D22" s="534" t="s">
        <v>5</v>
      </c>
      <c r="E22" s="535"/>
      <c r="F22" s="535"/>
      <c r="G22" s="536"/>
      <c r="H22" s="537">
        <v>1053.3</v>
      </c>
      <c r="I22" s="538">
        <v>1142.0999999999999</v>
      </c>
      <c r="J22" s="538">
        <v>1251.7</v>
      </c>
      <c r="K22" s="539">
        <v>1053.3</v>
      </c>
      <c r="L22" s="27">
        <v>830.5</v>
      </c>
      <c r="M22" s="537">
        <v>1085.5999999999999</v>
      </c>
      <c r="N22" s="538">
        <v>1184.5</v>
      </c>
      <c r="O22" s="538">
        <v>1288.3000000000002</v>
      </c>
      <c r="P22" s="539">
        <v>1085.5999999999999</v>
      </c>
      <c r="Q22" s="27">
        <v>821.28440000000012</v>
      </c>
      <c r="R22" s="537">
        <v>1090.6999999999998</v>
      </c>
      <c r="S22" s="538">
        <v>1288.2</v>
      </c>
      <c r="T22" s="538">
        <v>1294</v>
      </c>
      <c r="U22" s="539">
        <v>1090.6999999999998</v>
      </c>
      <c r="V22" s="27">
        <v>952.99660000000006</v>
      </c>
      <c r="W22" s="537">
        <v>955.6</v>
      </c>
      <c r="X22" s="538">
        <v>959.1</v>
      </c>
      <c r="Y22" s="538">
        <v>1159.9000000000001</v>
      </c>
      <c r="Z22" s="539">
        <v>955.6</v>
      </c>
      <c r="AA22" s="27">
        <v>697.92540000000008</v>
      </c>
      <c r="AB22" s="479"/>
      <c r="AC22" s="447"/>
      <c r="AD22" s="26"/>
      <c r="AE22" s="534" t="s">
        <v>5</v>
      </c>
      <c r="AF22" s="535"/>
      <c r="AG22" s="535"/>
      <c r="AH22" s="536"/>
      <c r="AI22" s="537">
        <v>799.8</v>
      </c>
      <c r="AJ22" s="538">
        <v>820.3</v>
      </c>
      <c r="AK22" s="538">
        <v>1022.5</v>
      </c>
      <c r="AL22" s="539">
        <v>799.8</v>
      </c>
      <c r="AM22" s="27">
        <v>346.20000000000005</v>
      </c>
      <c r="AN22" s="537">
        <v>1094.3</v>
      </c>
      <c r="AO22" s="538">
        <v>1298</v>
      </c>
      <c r="AP22" s="538">
        <v>1292.7</v>
      </c>
      <c r="AQ22" s="539">
        <v>1094.3</v>
      </c>
      <c r="AR22" s="27">
        <v>1042.5</v>
      </c>
      <c r="AS22" s="537">
        <v>1080</v>
      </c>
      <c r="AT22" s="538">
        <v>1278.4000000000001</v>
      </c>
      <c r="AU22" s="538">
        <v>1286.5</v>
      </c>
      <c r="AV22" s="539">
        <v>1080</v>
      </c>
      <c r="AW22" s="27">
        <f>4.5+971.1</f>
        <v>975.6</v>
      </c>
      <c r="AX22" s="537">
        <v>1082.0999999999999</v>
      </c>
      <c r="AY22" s="538">
        <v>1260.4000000000001</v>
      </c>
      <c r="AZ22" s="538">
        <v>1298.6000000000001</v>
      </c>
      <c r="BA22" s="539">
        <v>1082.0999999999999</v>
      </c>
      <c r="BB22" s="27">
        <v>889.6694</v>
      </c>
      <c r="BC22" s="479"/>
      <c r="BD22" s="447"/>
      <c r="BE22" s="26"/>
      <c r="BF22" s="534" t="s">
        <v>5</v>
      </c>
      <c r="BG22" s="535"/>
      <c r="BH22" s="535"/>
      <c r="BI22" s="536"/>
      <c r="BJ22" s="537">
        <f>707.3+303+11.7</f>
        <v>1022</v>
      </c>
      <c r="BK22" s="538"/>
      <c r="BL22" s="538"/>
      <c r="BM22" s="539"/>
      <c r="BN22" s="27">
        <v>735.53860000000009</v>
      </c>
      <c r="BO22" s="537">
        <v>1042.5999999999999</v>
      </c>
      <c r="BP22" s="538">
        <v>1016.6</v>
      </c>
      <c r="BQ22" s="538">
        <v>1231</v>
      </c>
      <c r="BR22" s="539">
        <v>1042.5999999999999</v>
      </c>
      <c r="BS22" s="27">
        <v>762</v>
      </c>
      <c r="BT22" s="537">
        <v>1066.8000000000002</v>
      </c>
      <c r="BU22" s="538">
        <v>1283.4000000000001</v>
      </c>
      <c r="BV22" s="538">
        <v>1280.5</v>
      </c>
      <c r="BW22" s="539">
        <v>1066.8000000000002</v>
      </c>
      <c r="BX22" s="27">
        <v>933</v>
      </c>
      <c r="BY22" s="537">
        <v>996.6</v>
      </c>
      <c r="BZ22" s="538">
        <v>1065.9000000000001</v>
      </c>
      <c r="CA22" s="538">
        <v>1190.5</v>
      </c>
      <c r="CB22" s="539">
        <v>996.6</v>
      </c>
      <c r="CC22" s="27">
        <f>15.8+801.1</f>
        <v>816.9</v>
      </c>
      <c r="CD22" s="479"/>
      <c r="CE22" s="447"/>
      <c r="CF22" s="26"/>
      <c r="CG22" s="534" t="s">
        <v>5</v>
      </c>
      <c r="CH22" s="535"/>
      <c r="CI22" s="535"/>
      <c r="CJ22" s="536"/>
      <c r="CK22" s="537">
        <f>999.3+73.8+2.6</f>
        <v>1075.6999999999998</v>
      </c>
      <c r="CL22" s="538"/>
      <c r="CM22" s="538"/>
      <c r="CN22" s="539"/>
      <c r="CO22" s="27">
        <v>943.72260000000006</v>
      </c>
      <c r="CP22" s="537">
        <v>1092.1999999999998</v>
      </c>
      <c r="CQ22" s="538">
        <v>1269.7</v>
      </c>
      <c r="CR22" s="538">
        <v>1287.8999999999999</v>
      </c>
      <c r="CS22" s="539">
        <v>1092.1999999999998</v>
      </c>
      <c r="CT22" s="27">
        <v>888.2782000000002</v>
      </c>
      <c r="CU22" s="537">
        <v>773.3</v>
      </c>
      <c r="CV22" s="538">
        <v>761.7</v>
      </c>
      <c r="CW22" s="538">
        <v>970.3</v>
      </c>
      <c r="CX22" s="539">
        <v>773.3</v>
      </c>
      <c r="CY22" s="27">
        <v>389</v>
      </c>
      <c r="CZ22" s="537">
        <v>975.5</v>
      </c>
      <c r="DA22" s="538">
        <v>948.7</v>
      </c>
      <c r="DB22" s="538">
        <v>1153.4000000000001</v>
      </c>
      <c r="DC22" s="539">
        <v>975.5</v>
      </c>
      <c r="DD22" s="27">
        <v>840.78260000000012</v>
      </c>
      <c r="DE22" s="479"/>
      <c r="DF22" s="447"/>
      <c r="DG22" s="26"/>
      <c r="DH22" s="534" t="s">
        <v>5</v>
      </c>
      <c r="DI22" s="535"/>
      <c r="DJ22" s="535"/>
      <c r="DK22" s="536"/>
      <c r="DL22" s="537">
        <v>857.7</v>
      </c>
      <c r="DM22" s="538">
        <v>836.6</v>
      </c>
      <c r="DN22" s="538">
        <v>1041.4000000000001</v>
      </c>
      <c r="DO22" s="539">
        <v>857.7</v>
      </c>
      <c r="DP22" s="27">
        <v>489</v>
      </c>
      <c r="DQ22" s="537">
        <v>1091.5</v>
      </c>
      <c r="DR22" s="538">
        <v>1265.9000000000001</v>
      </c>
      <c r="DS22" s="538">
        <v>1254.7</v>
      </c>
      <c r="DT22" s="539">
        <v>1091.5</v>
      </c>
      <c r="DU22" s="27">
        <v>1001</v>
      </c>
      <c r="DV22" s="537">
        <v>1096.2</v>
      </c>
      <c r="DW22" s="538">
        <v>1278.9000000000001</v>
      </c>
      <c r="DX22" s="538">
        <v>1267.2</v>
      </c>
      <c r="DY22" s="539">
        <v>1096.2</v>
      </c>
      <c r="DZ22" s="27">
        <v>996.04419999999993</v>
      </c>
      <c r="EA22" s="537">
        <f>963.6+109.5+25</f>
        <v>1098.0999999999999</v>
      </c>
      <c r="EB22" s="538"/>
      <c r="EC22" s="538"/>
      <c r="ED22" s="539"/>
      <c r="EE22" s="27">
        <v>998</v>
      </c>
      <c r="EF22" s="479"/>
      <c r="EG22" s="447"/>
      <c r="EH22" s="26"/>
      <c r="EI22" s="534" t="s">
        <v>5</v>
      </c>
      <c r="EJ22" s="535"/>
      <c r="EK22" s="535"/>
      <c r="EL22" s="536"/>
      <c r="EM22" s="537">
        <v>1076.5999999999999</v>
      </c>
      <c r="EN22" s="538">
        <v>1312.5</v>
      </c>
      <c r="EO22" s="538">
        <v>1276.8999999999999</v>
      </c>
      <c r="EP22" s="539">
        <v>1076.5999999999999</v>
      </c>
      <c r="EQ22" s="27">
        <v>872.09649999999988</v>
      </c>
      <c r="ER22" s="537">
        <v>1080.6000000000001</v>
      </c>
      <c r="ES22" s="538">
        <v>1153.4000000000001</v>
      </c>
      <c r="ET22" s="538">
        <v>1245.8000000000002</v>
      </c>
      <c r="EU22" s="539">
        <v>1080.6000000000001</v>
      </c>
      <c r="EV22" s="27">
        <v>855.37639999999999</v>
      </c>
      <c r="EW22" s="537">
        <v>471.1</v>
      </c>
      <c r="EX22" s="538">
        <v>451.3</v>
      </c>
      <c r="EY22" s="538">
        <v>598.79999999999995</v>
      </c>
      <c r="EZ22" s="539">
        <v>471.1</v>
      </c>
      <c r="FA22" s="27">
        <v>142</v>
      </c>
      <c r="FB22" s="537">
        <v>957.7</v>
      </c>
      <c r="FC22" s="538">
        <v>953.2</v>
      </c>
      <c r="FD22" s="538">
        <v>1091.3</v>
      </c>
      <c r="FE22" s="539">
        <v>957.7</v>
      </c>
      <c r="FF22" s="27">
        <v>656.22510000000011</v>
      </c>
      <c r="FG22" s="479"/>
      <c r="FH22" s="447"/>
      <c r="FI22" s="26"/>
      <c r="FJ22" s="534" t="s">
        <v>5</v>
      </c>
      <c r="FK22" s="535"/>
      <c r="FL22" s="535"/>
      <c r="FM22" s="536"/>
      <c r="FN22" s="537">
        <v>1037.2</v>
      </c>
      <c r="FO22" s="538">
        <v>1213.0999999999999</v>
      </c>
      <c r="FP22" s="538">
        <v>1189</v>
      </c>
      <c r="FQ22" s="539">
        <v>1037.2</v>
      </c>
      <c r="FR22" s="27">
        <v>954.36649999999997</v>
      </c>
      <c r="FS22" s="537">
        <v>1030.7</v>
      </c>
      <c r="FT22" s="538">
        <v>1192.3</v>
      </c>
      <c r="FU22" s="538">
        <v>1162.2</v>
      </c>
      <c r="FV22" s="539">
        <v>1030.7</v>
      </c>
      <c r="FW22" s="27">
        <v>947</v>
      </c>
      <c r="FX22" s="537">
        <v>1011.5999999999999</v>
      </c>
      <c r="FY22" s="538">
        <v>1028.8</v>
      </c>
      <c r="FZ22" s="538">
        <v>1145.0999999999999</v>
      </c>
      <c r="GA22" s="539">
        <v>1011.5999999999999</v>
      </c>
      <c r="GB22" s="27">
        <v>897.82270000000017</v>
      </c>
      <c r="GC22" s="537">
        <v>701.9</v>
      </c>
      <c r="GD22" s="538">
        <v>551</v>
      </c>
      <c r="GE22" s="538">
        <v>870.4</v>
      </c>
      <c r="GF22" s="539">
        <v>701.9</v>
      </c>
      <c r="GG22" s="27">
        <v>398</v>
      </c>
      <c r="GH22" s="479"/>
      <c r="GI22" s="447"/>
      <c r="GJ22" s="26"/>
      <c r="GK22" s="534" t="s">
        <v>5</v>
      </c>
      <c r="GL22" s="535"/>
      <c r="GM22" s="535"/>
      <c r="GN22" s="536"/>
      <c r="GO22" s="537">
        <v>700</v>
      </c>
      <c r="GP22" s="538">
        <v>551.1</v>
      </c>
      <c r="GQ22" s="538">
        <v>870.1</v>
      </c>
      <c r="GR22" s="539">
        <v>700</v>
      </c>
      <c r="GS22" s="27">
        <v>590.29600000000005</v>
      </c>
      <c r="GT22" s="537">
        <v>1040.3</v>
      </c>
      <c r="GU22" s="538">
        <v>1152.3000000000002</v>
      </c>
      <c r="GV22" s="538">
        <v>1240.8000000000002</v>
      </c>
      <c r="GW22" s="539">
        <v>1040.3</v>
      </c>
      <c r="GX22" s="27">
        <v>913</v>
      </c>
      <c r="GY22" s="537">
        <f>978.8+42.8+10.7</f>
        <v>1032.3</v>
      </c>
      <c r="GZ22" s="538"/>
      <c r="HA22" s="538"/>
      <c r="HB22" s="539"/>
      <c r="HC22" s="27">
        <v>1015.6610000000001</v>
      </c>
      <c r="HD22" s="537">
        <v>1024.5</v>
      </c>
      <c r="HE22" s="538">
        <v>1293.5999999999999</v>
      </c>
      <c r="HF22" s="538">
        <v>1248.2</v>
      </c>
      <c r="HG22" s="539">
        <v>1024.5</v>
      </c>
      <c r="HH22" s="27">
        <v>945.48379999999997</v>
      </c>
      <c r="HI22" s="479"/>
      <c r="HJ22" s="447"/>
      <c r="HK22" s="26"/>
      <c r="HL22" s="534" t="s">
        <v>5</v>
      </c>
      <c r="HM22" s="535"/>
      <c r="HN22" s="535"/>
      <c r="HO22" s="536"/>
      <c r="HP22" s="537">
        <v>1020.8000000000001</v>
      </c>
      <c r="HQ22" s="538">
        <v>1147.5</v>
      </c>
      <c r="HR22" s="538">
        <v>1251.4000000000001</v>
      </c>
      <c r="HS22" s="539">
        <v>1020.8000000000001</v>
      </c>
      <c r="HT22" s="27">
        <v>877.54140000000007</v>
      </c>
      <c r="HU22" s="537">
        <v>940</v>
      </c>
      <c r="HV22" s="538">
        <v>932.1</v>
      </c>
      <c r="HW22" s="538">
        <v>1161.5</v>
      </c>
      <c r="HX22" s="539">
        <v>940</v>
      </c>
      <c r="HY22" s="27">
        <v>820.52680000000009</v>
      </c>
      <c r="HZ22" s="537">
        <v>1029.3</v>
      </c>
      <c r="IA22" s="538">
        <v>1223.0999999999999</v>
      </c>
      <c r="IB22" s="538">
        <v>1243.0999999999999</v>
      </c>
      <c r="IC22" s="539">
        <v>1029.3</v>
      </c>
      <c r="ID22" s="27">
        <v>911.19389999999987</v>
      </c>
      <c r="IE22" s="537">
        <v>1027.8</v>
      </c>
      <c r="IF22" s="538">
        <v>1295</v>
      </c>
      <c r="IG22" s="538">
        <v>1251</v>
      </c>
      <c r="IH22" s="539">
        <v>1027.8</v>
      </c>
      <c r="II22" s="27">
        <v>907</v>
      </c>
      <c r="IJ22" s="478"/>
      <c r="IK22" s="447"/>
      <c r="IL22" s="26"/>
      <c r="IM22" s="534" t="s">
        <v>5</v>
      </c>
      <c r="IN22" s="535"/>
      <c r="IO22" s="535"/>
      <c r="IP22" s="536"/>
      <c r="IQ22" s="537">
        <v>1028.0999999999999</v>
      </c>
      <c r="IR22" s="538">
        <v>1276.8</v>
      </c>
      <c r="IS22" s="538">
        <v>1226</v>
      </c>
      <c r="IT22" s="539">
        <v>1028.0999999999999</v>
      </c>
      <c r="IU22" s="27">
        <f>0.4+912.3+6.5</f>
        <v>919.19999999999993</v>
      </c>
      <c r="IV22" s="537">
        <v>1010.8</v>
      </c>
      <c r="IW22" s="538">
        <v>1263.8</v>
      </c>
      <c r="IX22" s="538">
        <v>1213.5</v>
      </c>
      <c r="IY22" s="539">
        <v>1010.8</v>
      </c>
      <c r="IZ22" s="27">
        <v>854.03080000000011</v>
      </c>
      <c r="JA22" s="537">
        <v>714.7</v>
      </c>
      <c r="JB22" s="538">
        <v>637.20000000000005</v>
      </c>
      <c r="JC22" s="538">
        <v>913.8</v>
      </c>
      <c r="JD22" s="539">
        <v>714.7</v>
      </c>
      <c r="JE22" s="27">
        <v>243.8</v>
      </c>
      <c r="JF22" s="537">
        <v>1033.7</v>
      </c>
      <c r="JG22" s="538">
        <v>1116.9000000000001</v>
      </c>
      <c r="JH22" s="538">
        <v>1212.3999999999999</v>
      </c>
      <c r="JI22" s="539">
        <v>1033.7</v>
      </c>
      <c r="JJ22" s="27">
        <v>801.29160000000002</v>
      </c>
      <c r="JK22" s="479"/>
      <c r="JL22" s="447"/>
      <c r="JM22" s="26"/>
      <c r="JN22" s="534" t="s">
        <v>5</v>
      </c>
      <c r="JO22" s="535"/>
      <c r="JP22" s="535"/>
      <c r="JQ22" s="536"/>
      <c r="JR22" s="537">
        <v>1029.5</v>
      </c>
      <c r="JS22" s="538">
        <v>1254.8</v>
      </c>
      <c r="JT22" s="538">
        <v>1213</v>
      </c>
      <c r="JU22" s="539">
        <v>1029.5</v>
      </c>
      <c r="JV22" s="27">
        <v>912</v>
      </c>
      <c r="JW22" s="537">
        <v>856.4</v>
      </c>
      <c r="JX22" s="538">
        <v>838.2</v>
      </c>
      <c r="JY22" s="538">
        <v>1065.5</v>
      </c>
      <c r="JZ22" s="539">
        <v>856.4</v>
      </c>
      <c r="KA22" s="27">
        <v>832.68960000000015</v>
      </c>
      <c r="KB22" s="537">
        <f>972.6+49+16.4</f>
        <v>1038</v>
      </c>
      <c r="KC22" s="538"/>
      <c r="KD22" s="538"/>
      <c r="KE22" s="539"/>
      <c r="KF22" s="27">
        <v>896.33940000000007</v>
      </c>
      <c r="KG22" s="537">
        <v>1013.3000000000001</v>
      </c>
      <c r="KH22" s="538">
        <v>1315.9</v>
      </c>
      <c r="KI22" s="538">
        <v>1251.2</v>
      </c>
      <c r="KJ22" s="539">
        <v>1013.3000000000001</v>
      </c>
      <c r="KK22" s="27">
        <v>969</v>
      </c>
      <c r="KL22" s="479"/>
      <c r="KM22" s="447"/>
      <c r="KN22" s="26"/>
      <c r="KO22" s="534" t="s">
        <v>5</v>
      </c>
      <c r="KP22" s="535"/>
      <c r="KQ22" s="535"/>
      <c r="KR22" s="536"/>
      <c r="KS22" s="537">
        <v>1006.4</v>
      </c>
      <c r="KT22" s="538">
        <v>1257.0999999999999</v>
      </c>
      <c r="KU22" s="538">
        <v>1220.8</v>
      </c>
      <c r="KV22" s="539">
        <v>1006.4</v>
      </c>
      <c r="KW22" s="27">
        <v>744.0204</v>
      </c>
      <c r="KX22" s="537">
        <v>982.19999999999993</v>
      </c>
      <c r="KY22" s="538">
        <v>956.7</v>
      </c>
      <c r="KZ22" s="538">
        <v>1187.2</v>
      </c>
      <c r="LA22" s="539">
        <v>982.19999999999993</v>
      </c>
      <c r="LB22" s="27">
        <v>736.92320000000007</v>
      </c>
      <c r="LC22" s="537">
        <v>965.19999999999993</v>
      </c>
      <c r="LD22" s="538">
        <v>1036.2</v>
      </c>
      <c r="LE22" s="538">
        <v>1140.5</v>
      </c>
      <c r="LF22" s="539">
        <v>965.19999999999993</v>
      </c>
      <c r="LG22" s="27">
        <v>835.8438000000001</v>
      </c>
      <c r="LH22" s="537">
        <v>837.1</v>
      </c>
      <c r="LI22" s="538">
        <v>786.5</v>
      </c>
      <c r="LJ22" s="538">
        <v>1020.2</v>
      </c>
      <c r="LK22" s="539">
        <v>837.1</v>
      </c>
      <c r="LL22" s="27">
        <v>641.54740000000004</v>
      </c>
      <c r="LM22" s="479"/>
      <c r="LN22" s="447"/>
      <c r="LO22" s="26"/>
      <c r="LP22" s="534" t="s">
        <v>5</v>
      </c>
      <c r="LQ22" s="535"/>
      <c r="LR22" s="535"/>
      <c r="LS22" s="536"/>
      <c r="LT22" s="537">
        <v>828.2</v>
      </c>
      <c r="LU22" s="538">
        <v>782.5</v>
      </c>
      <c r="LV22" s="538">
        <v>1040.7</v>
      </c>
      <c r="LW22" s="539">
        <v>828.2</v>
      </c>
      <c r="LX22" s="27">
        <v>612</v>
      </c>
      <c r="LY22" s="537">
        <v>762.3</v>
      </c>
      <c r="LZ22" s="538">
        <v>683.6</v>
      </c>
      <c r="MA22" s="538">
        <v>981.4</v>
      </c>
      <c r="MB22" s="539">
        <v>762.3</v>
      </c>
      <c r="MC22" s="27">
        <v>526.35739999999998</v>
      </c>
      <c r="MD22" s="537">
        <v>770.1</v>
      </c>
      <c r="ME22" s="538">
        <v>756.8</v>
      </c>
      <c r="MF22" s="538">
        <v>1039.4000000000001</v>
      </c>
      <c r="MG22" s="539">
        <v>770.1</v>
      </c>
      <c r="MH22" s="27">
        <v>308.40000000000003</v>
      </c>
      <c r="MI22" s="537">
        <v>1019.8</v>
      </c>
      <c r="MJ22" s="538">
        <v>1336.7</v>
      </c>
      <c r="MK22" s="538">
        <v>1279.7</v>
      </c>
      <c r="ML22" s="539">
        <v>1019.8</v>
      </c>
      <c r="MM22" s="27">
        <v>968.25170000000003</v>
      </c>
      <c r="MN22" s="479"/>
      <c r="MO22" s="447"/>
      <c r="MP22" s="26"/>
      <c r="MQ22" s="534" t="s">
        <v>5</v>
      </c>
      <c r="MR22" s="535"/>
      <c r="MS22" s="535"/>
      <c r="MT22" s="536"/>
      <c r="MU22" s="537">
        <v>1007.1</v>
      </c>
      <c r="MV22" s="538">
        <v>1176.3000000000002</v>
      </c>
      <c r="MW22" s="538">
        <v>1266.8</v>
      </c>
      <c r="MX22" s="539">
        <v>1007.1</v>
      </c>
      <c r="MY22" s="27">
        <v>680</v>
      </c>
      <c r="MZ22" s="537">
        <v>651.90000000000009</v>
      </c>
      <c r="NA22" s="538">
        <v>690.4</v>
      </c>
      <c r="NB22" s="538">
        <v>927.09999999999991</v>
      </c>
      <c r="NC22" s="539">
        <v>651.90000000000009</v>
      </c>
      <c r="ND22" s="27">
        <v>435</v>
      </c>
      <c r="NE22" s="537">
        <f>868.7+135.3+2.8</f>
        <v>1006.8</v>
      </c>
      <c r="NF22" s="538"/>
      <c r="NG22" s="538"/>
      <c r="NH22" s="539"/>
      <c r="NI22" s="27">
        <v>836.96659999999997</v>
      </c>
      <c r="NJ22" s="537">
        <v>932.09999999999991</v>
      </c>
      <c r="NK22" s="538">
        <v>1073</v>
      </c>
      <c r="NL22" s="538">
        <v>1220.5999999999999</v>
      </c>
      <c r="NM22" s="539">
        <v>932.09999999999991</v>
      </c>
      <c r="NN22" s="27">
        <v>655.46360000000004</v>
      </c>
      <c r="NO22" s="479"/>
      <c r="NP22" s="447"/>
      <c r="NQ22" s="26"/>
      <c r="NR22" s="534" t="s">
        <v>5</v>
      </c>
      <c r="NS22" s="535"/>
      <c r="NT22" s="535"/>
      <c r="NU22" s="536"/>
      <c r="NV22" s="537">
        <v>740.3</v>
      </c>
      <c r="NW22" s="538">
        <v>753.5</v>
      </c>
      <c r="NX22" s="538">
        <v>1037.8</v>
      </c>
      <c r="NY22" s="539">
        <v>740.3</v>
      </c>
      <c r="NZ22" s="27">
        <v>300.39999999999998</v>
      </c>
      <c r="OA22" s="537">
        <v>758.8</v>
      </c>
      <c r="OB22" s="538">
        <v>768.09999999999991</v>
      </c>
      <c r="OC22" s="538">
        <v>1054.0999999999999</v>
      </c>
      <c r="OD22" s="539">
        <v>758.8</v>
      </c>
      <c r="OE22" s="27">
        <v>389.0598</v>
      </c>
      <c r="OF22" s="537">
        <v>836.30000000000007</v>
      </c>
      <c r="OG22" s="538">
        <v>930.7</v>
      </c>
      <c r="OH22" s="538">
        <v>1156.5999999999999</v>
      </c>
      <c r="OI22" s="539">
        <v>836.30000000000007</v>
      </c>
      <c r="OJ22" s="27">
        <v>597.4</v>
      </c>
      <c r="OK22" s="537">
        <v>904</v>
      </c>
      <c r="OL22" s="538">
        <v>979.69999999999993</v>
      </c>
      <c r="OM22" s="538">
        <v>1215.3</v>
      </c>
      <c r="ON22" s="539">
        <v>904</v>
      </c>
      <c r="OO22" s="27">
        <f>431.4+0.8</f>
        <v>432.2</v>
      </c>
      <c r="OP22" s="479"/>
      <c r="OQ22" s="447"/>
      <c r="OR22" s="26"/>
      <c r="OS22" s="534" t="s">
        <v>5</v>
      </c>
      <c r="OT22" s="535"/>
      <c r="OU22" s="535"/>
      <c r="OV22" s="536"/>
      <c r="OW22" s="537">
        <v>872.19999999999993</v>
      </c>
      <c r="OX22" s="538">
        <v>953.8</v>
      </c>
      <c r="OY22" s="538">
        <v>1162.5</v>
      </c>
      <c r="OZ22" s="539">
        <v>872.19999999999993</v>
      </c>
      <c r="PA22" s="27">
        <v>245</v>
      </c>
      <c r="PB22" s="537">
        <v>1006.6</v>
      </c>
      <c r="PC22" s="538">
        <v>1309.7</v>
      </c>
      <c r="PD22" s="538">
        <v>1276.3</v>
      </c>
      <c r="PE22" s="539">
        <v>1006.6</v>
      </c>
      <c r="PF22" s="27">
        <v>758.39160000000004</v>
      </c>
      <c r="PG22" s="537">
        <v>1006.4</v>
      </c>
      <c r="PH22" s="538">
        <v>1279</v>
      </c>
      <c r="PI22" s="538">
        <v>1270.5</v>
      </c>
      <c r="PJ22" s="539">
        <v>1006.4</v>
      </c>
      <c r="PK22" s="27">
        <v>789.16600000000005</v>
      </c>
      <c r="PL22" s="537">
        <v>970.7</v>
      </c>
      <c r="PM22" s="538">
        <v>985</v>
      </c>
      <c r="PN22" s="538">
        <v>1218.0999999999999</v>
      </c>
      <c r="PO22" s="539">
        <v>970.7</v>
      </c>
      <c r="PP22" s="27">
        <v>651.58180000000004</v>
      </c>
      <c r="PQ22" s="479"/>
      <c r="PR22" s="447"/>
      <c r="PS22" s="26"/>
      <c r="PT22" s="534" t="s">
        <v>5</v>
      </c>
      <c r="PU22" s="535"/>
      <c r="PV22" s="535"/>
      <c r="PW22" s="536"/>
      <c r="PX22" s="537">
        <v>701.30000000000007</v>
      </c>
      <c r="PY22" s="538">
        <v>666.8</v>
      </c>
      <c r="PZ22" s="538">
        <v>952.8</v>
      </c>
      <c r="QA22" s="539">
        <v>701.30000000000007</v>
      </c>
      <c r="QB22" s="27">
        <v>333.20000000000005</v>
      </c>
      <c r="QC22" s="537">
        <v>1008.6</v>
      </c>
      <c r="QD22" s="538">
        <v>1309.8</v>
      </c>
      <c r="QE22" s="538">
        <v>1248.0999999999999</v>
      </c>
      <c r="QF22" s="539">
        <v>1008.6</v>
      </c>
      <c r="QG22" s="27">
        <v>928.82540000000017</v>
      </c>
      <c r="QH22" s="537">
        <v>933.4</v>
      </c>
      <c r="QI22" s="538">
        <v>985.7</v>
      </c>
      <c r="QJ22" s="538">
        <v>1176.3</v>
      </c>
      <c r="QK22" s="539">
        <v>933.4</v>
      </c>
      <c r="QL22" s="27">
        <v>823.6</v>
      </c>
      <c r="QM22" s="537">
        <v>1029.0999999999999</v>
      </c>
      <c r="QN22" s="538">
        <v>1181.4000000000001</v>
      </c>
      <c r="QO22" s="538">
        <v>1277.5</v>
      </c>
      <c r="QP22" s="539">
        <v>1029.0999999999999</v>
      </c>
      <c r="QQ22" s="27">
        <v>742.2</v>
      </c>
      <c r="QR22" s="479"/>
      <c r="QS22" s="447"/>
      <c r="QT22" s="26"/>
      <c r="QU22" s="534" t="s">
        <v>5</v>
      </c>
      <c r="QV22" s="535"/>
      <c r="QW22" s="535"/>
      <c r="QX22" s="536"/>
      <c r="QY22" s="537">
        <v>876.1</v>
      </c>
      <c r="QZ22" s="538">
        <v>926.9</v>
      </c>
      <c r="RA22" s="538">
        <v>1135.5</v>
      </c>
      <c r="RB22" s="539">
        <v>876.1</v>
      </c>
      <c r="RC22" s="27">
        <v>647.6</v>
      </c>
      <c r="RD22" s="537">
        <v>779.6</v>
      </c>
      <c r="RE22" s="538">
        <v>787.09999999999991</v>
      </c>
      <c r="RF22" s="538">
        <v>1024.4000000000001</v>
      </c>
      <c r="RG22" s="539">
        <v>779.6</v>
      </c>
      <c r="RH22" s="27">
        <v>565.80000000000007</v>
      </c>
      <c r="RI22" s="537">
        <v>330.4</v>
      </c>
      <c r="RJ22" s="538">
        <v>564.70000000000005</v>
      </c>
      <c r="RK22" s="538">
        <v>576.20000000000005</v>
      </c>
      <c r="RL22" s="539">
        <v>330.4</v>
      </c>
      <c r="RM22" s="27">
        <v>207.8</v>
      </c>
      <c r="RN22" s="537">
        <v>880.6</v>
      </c>
      <c r="RO22" s="538">
        <v>1008.2</v>
      </c>
      <c r="RP22" s="538">
        <v>1148.5</v>
      </c>
      <c r="RQ22" s="539">
        <v>880.6</v>
      </c>
      <c r="RR22" s="27">
        <v>461</v>
      </c>
      <c r="RS22" s="479"/>
      <c r="RT22" s="447"/>
      <c r="RU22" s="26"/>
      <c r="RV22" s="534" t="s">
        <v>5</v>
      </c>
      <c r="RW22" s="535"/>
      <c r="RX22" s="535"/>
      <c r="RY22" s="536"/>
      <c r="RZ22" s="537">
        <v>981</v>
      </c>
      <c r="SA22" s="538">
        <v>982.5</v>
      </c>
      <c r="SB22" s="538">
        <v>1199.8</v>
      </c>
      <c r="SC22" s="539">
        <v>981</v>
      </c>
      <c r="SD22" s="27">
        <v>651.6</v>
      </c>
      <c r="SE22" s="537">
        <v>929</v>
      </c>
      <c r="SF22" s="538">
        <v>1054.5999999999999</v>
      </c>
      <c r="SG22" s="538">
        <v>1222.8</v>
      </c>
      <c r="SH22" s="539">
        <v>929</v>
      </c>
      <c r="SI22" s="27">
        <v>587.4</v>
      </c>
      <c r="SJ22" s="537">
        <v>758.4</v>
      </c>
      <c r="SK22" s="538">
        <v>926.2</v>
      </c>
      <c r="SL22" s="538">
        <v>1072.7</v>
      </c>
      <c r="SM22" s="539">
        <v>758.4</v>
      </c>
      <c r="SN22" s="27">
        <v>299.8</v>
      </c>
      <c r="SO22" s="537">
        <v>755.4</v>
      </c>
      <c r="SP22" s="538">
        <v>918.6</v>
      </c>
      <c r="SQ22" s="538">
        <v>1065.5999999999999</v>
      </c>
      <c r="SR22" s="539">
        <v>755.4</v>
      </c>
      <c r="SS22" s="27">
        <v>299</v>
      </c>
      <c r="ST22" s="479"/>
      <c r="SU22" s="447"/>
      <c r="SV22" s="26"/>
      <c r="SW22" s="534" t="s">
        <v>5</v>
      </c>
      <c r="SX22" s="535"/>
      <c r="SY22" s="535"/>
      <c r="SZ22" s="536"/>
      <c r="TA22" s="537">
        <v>934.9</v>
      </c>
      <c r="TB22" s="538">
        <v>1154.7</v>
      </c>
      <c r="TC22" s="538">
        <v>1201.4000000000001</v>
      </c>
      <c r="TD22" s="539">
        <v>934.9</v>
      </c>
      <c r="TE22" s="27">
        <v>634.80000000000007</v>
      </c>
      <c r="TF22" s="537">
        <v>889.5</v>
      </c>
      <c r="TG22" s="538">
        <v>1267.8</v>
      </c>
      <c r="TH22" s="538">
        <v>1152.5</v>
      </c>
      <c r="TI22" s="539">
        <v>889.5</v>
      </c>
      <c r="TJ22" s="27">
        <v>743.80000000000007</v>
      </c>
      <c r="TK22" s="537">
        <v>859.3</v>
      </c>
      <c r="TL22" s="538">
        <v>1107.8</v>
      </c>
      <c r="TM22" s="538">
        <v>1109.3</v>
      </c>
      <c r="TN22" s="539">
        <v>859.3</v>
      </c>
      <c r="TO22" s="27">
        <v>653</v>
      </c>
      <c r="TP22" s="537">
        <v>862.19999999999993</v>
      </c>
      <c r="TQ22" s="538">
        <v>1000.3</v>
      </c>
      <c r="TR22" s="538">
        <v>1103.3</v>
      </c>
      <c r="TS22" s="539">
        <v>862.19999999999993</v>
      </c>
      <c r="TT22" s="27">
        <v>606.4</v>
      </c>
      <c r="TU22" s="479"/>
      <c r="TV22" s="447"/>
      <c r="TW22" s="26"/>
      <c r="TX22" s="534" t="s">
        <v>5</v>
      </c>
      <c r="TY22" s="535"/>
      <c r="TZ22" s="535"/>
      <c r="UA22" s="536"/>
      <c r="UB22" s="537">
        <v>638.79999999999995</v>
      </c>
      <c r="UC22" s="538">
        <v>902</v>
      </c>
      <c r="UD22" s="538">
        <v>869.2</v>
      </c>
      <c r="UE22" s="539">
        <v>638.79999999999995</v>
      </c>
      <c r="UF22" s="27">
        <v>539.80000000000007</v>
      </c>
      <c r="UG22" s="537">
        <f>710.9+137+7.1</f>
        <v>855</v>
      </c>
      <c r="UH22" s="538"/>
      <c r="UI22" s="538"/>
      <c r="UJ22" s="539"/>
      <c r="UK22" s="27">
        <v>787.80000000000007</v>
      </c>
      <c r="UL22" s="537">
        <v>898.5</v>
      </c>
      <c r="UM22" s="538">
        <v>1257.4000000000001</v>
      </c>
      <c r="UN22" s="538">
        <v>1194.4000000000001</v>
      </c>
      <c r="UO22" s="539">
        <v>898.5</v>
      </c>
      <c r="UP22" s="27">
        <v>729.80000000000007</v>
      </c>
      <c r="UQ22" s="537">
        <v>931.2</v>
      </c>
      <c r="UR22" s="538">
        <v>1314.3</v>
      </c>
      <c r="US22" s="538">
        <v>1242.3</v>
      </c>
      <c r="UT22" s="539">
        <v>931.2</v>
      </c>
      <c r="UU22" s="27">
        <v>752.73820000000001</v>
      </c>
      <c r="UV22" s="479"/>
      <c r="UW22" s="447"/>
      <c r="UX22" s="26"/>
      <c r="UY22" s="534" t="s">
        <v>5</v>
      </c>
      <c r="UZ22" s="535"/>
      <c r="VA22" s="535"/>
      <c r="VB22" s="536"/>
      <c r="VC22" s="537">
        <v>939.2</v>
      </c>
      <c r="VD22" s="538">
        <v>1341.3</v>
      </c>
      <c r="VE22" s="538">
        <v>1240.6000000000001</v>
      </c>
      <c r="VF22" s="539">
        <v>939.2</v>
      </c>
      <c r="VG22" s="27">
        <v>829.6</v>
      </c>
      <c r="VH22" s="537">
        <v>940.6</v>
      </c>
      <c r="VI22" s="538">
        <v>1240.3000000000002</v>
      </c>
      <c r="VJ22" s="538">
        <v>1245.3</v>
      </c>
      <c r="VK22" s="539">
        <v>940.6</v>
      </c>
      <c r="VL22" s="27">
        <v>531.4</v>
      </c>
      <c r="VM22" s="537">
        <v>931.8</v>
      </c>
      <c r="VN22" s="538">
        <v>1251.5</v>
      </c>
      <c r="VO22" s="538">
        <v>1237.7</v>
      </c>
      <c r="VP22" s="539">
        <v>931.8</v>
      </c>
      <c r="VQ22" s="27">
        <v>706.40000000000009</v>
      </c>
      <c r="VR22" s="537">
        <v>830</v>
      </c>
      <c r="VS22" s="538">
        <v>1251.5</v>
      </c>
      <c r="VT22" s="538">
        <v>1237.7</v>
      </c>
      <c r="VU22" s="539">
        <v>931.8</v>
      </c>
      <c r="VV22" s="27">
        <v>646.80000000000007</v>
      </c>
      <c r="VW22" s="479"/>
      <c r="VX22" s="447"/>
      <c r="VY22" s="26"/>
      <c r="VZ22" s="534" t="s">
        <v>5</v>
      </c>
      <c r="WA22" s="535"/>
      <c r="WB22" s="535"/>
      <c r="WC22" s="536"/>
      <c r="WD22" s="537">
        <v>931.1</v>
      </c>
      <c r="WE22" s="538">
        <v>1253.9000000000001</v>
      </c>
      <c r="WF22" s="538">
        <v>1211.5</v>
      </c>
      <c r="WG22" s="539">
        <v>931.1</v>
      </c>
      <c r="WH22" s="27">
        <v>775.6</v>
      </c>
      <c r="WI22" s="537">
        <v>705</v>
      </c>
      <c r="WJ22" s="538">
        <v>1006.1</v>
      </c>
      <c r="WK22" s="538">
        <v>962</v>
      </c>
      <c r="WL22" s="539">
        <v>705</v>
      </c>
      <c r="WM22" s="27">
        <f>1.6+714.4</f>
        <v>716</v>
      </c>
      <c r="WN22" s="537">
        <f>803.2+86.9+9.8</f>
        <v>899.9</v>
      </c>
      <c r="WO22" s="538"/>
      <c r="WP22" s="538"/>
      <c r="WQ22" s="539"/>
      <c r="WR22" s="27">
        <f>1.4+703.6</f>
        <v>705</v>
      </c>
      <c r="WS22" s="537">
        <v>863</v>
      </c>
      <c r="WT22" s="538">
        <v>1285.0999999999999</v>
      </c>
      <c r="WU22" s="538">
        <v>1161.5</v>
      </c>
      <c r="WV22" s="539">
        <v>863</v>
      </c>
      <c r="WW22" s="27">
        <v>787.83220000000006</v>
      </c>
      <c r="WX22" s="479"/>
      <c r="WY22" s="447"/>
      <c r="WZ22" s="26"/>
      <c r="XA22" s="534" t="s">
        <v>5</v>
      </c>
      <c r="XB22" s="535"/>
      <c r="XC22" s="535"/>
      <c r="XD22" s="536"/>
      <c r="XE22" s="537">
        <v>945.7</v>
      </c>
      <c r="XF22" s="538">
        <v>1355.6</v>
      </c>
      <c r="XG22" s="538">
        <v>1228.0999999999999</v>
      </c>
      <c r="XH22" s="539">
        <v>945.7</v>
      </c>
      <c r="XI22" s="27">
        <f>11.8+895</f>
        <v>906.8</v>
      </c>
      <c r="XJ22" s="537">
        <f>865.1+21.4+8.3</f>
        <v>894.8</v>
      </c>
      <c r="XK22" s="538"/>
      <c r="XL22" s="538"/>
      <c r="XM22" s="539"/>
      <c r="XN22" s="27">
        <v>649.40000000000009</v>
      </c>
      <c r="XO22" s="537">
        <v>872.30000000000007</v>
      </c>
      <c r="XP22" s="538">
        <v>1217.5999999999999</v>
      </c>
      <c r="XQ22" s="538">
        <v>1121.7</v>
      </c>
      <c r="XR22" s="539">
        <v>872.30000000000007</v>
      </c>
      <c r="XS22" s="27">
        <v>752.52660000000003</v>
      </c>
      <c r="XT22" s="537">
        <v>841.69999999999993</v>
      </c>
      <c r="XU22" s="538">
        <v>1058</v>
      </c>
      <c r="XV22" s="538">
        <v>1096</v>
      </c>
      <c r="XW22" s="539">
        <v>841.69999999999993</v>
      </c>
      <c r="XX22" s="27">
        <v>713.83600000000001</v>
      </c>
      <c r="XY22" s="479"/>
      <c r="XZ22" s="447"/>
      <c r="YA22" s="26"/>
      <c r="YB22" s="534" t="s">
        <v>5</v>
      </c>
      <c r="YC22" s="535"/>
      <c r="YD22" s="535"/>
      <c r="YE22" s="536"/>
      <c r="YF22" s="537">
        <v>903.8</v>
      </c>
      <c r="YG22" s="538">
        <v>1111.9000000000001</v>
      </c>
      <c r="YH22" s="538">
        <v>1121.7</v>
      </c>
      <c r="YI22" s="539">
        <v>903.8</v>
      </c>
      <c r="YJ22" s="27">
        <v>736</v>
      </c>
      <c r="YK22" s="537">
        <v>798.3</v>
      </c>
      <c r="YL22" s="538">
        <v>1104.3</v>
      </c>
      <c r="YM22" s="538">
        <v>996</v>
      </c>
      <c r="YN22" s="539">
        <v>798.3</v>
      </c>
      <c r="YO22" s="27">
        <v>509</v>
      </c>
      <c r="YP22" s="537">
        <v>727.69999999999993</v>
      </c>
      <c r="YQ22" s="538">
        <v>926.4</v>
      </c>
      <c r="YR22" s="538">
        <v>946.59999999999991</v>
      </c>
      <c r="YS22" s="539">
        <v>727.69999999999993</v>
      </c>
      <c r="YT22" s="27">
        <v>597.06180000000006</v>
      </c>
      <c r="YU22" s="537">
        <v>902.9</v>
      </c>
      <c r="YV22" s="538">
        <v>1140.9000000000001</v>
      </c>
      <c r="YW22" s="538">
        <v>1112.4000000000001</v>
      </c>
      <c r="YX22" s="539">
        <v>902.9</v>
      </c>
      <c r="YY22" s="27">
        <v>807.40760000000012</v>
      </c>
      <c r="YZ22" s="479"/>
      <c r="ZA22" s="447"/>
      <c r="ZB22" s="26"/>
      <c r="ZC22" s="534" t="s">
        <v>5</v>
      </c>
      <c r="ZD22" s="535"/>
      <c r="ZE22" s="535"/>
      <c r="ZF22" s="536"/>
      <c r="ZG22" s="537">
        <v>886</v>
      </c>
      <c r="ZH22" s="538">
        <v>1111.9000000000001</v>
      </c>
      <c r="ZI22" s="538">
        <v>1121.7</v>
      </c>
      <c r="ZJ22" s="539">
        <v>903.8</v>
      </c>
      <c r="ZK22" s="27">
        <v>696</v>
      </c>
      <c r="ZL22" s="537">
        <v>828.19999999999993</v>
      </c>
      <c r="ZM22" s="538">
        <v>1174.4000000000001</v>
      </c>
      <c r="ZN22" s="538">
        <v>1062.3</v>
      </c>
      <c r="ZO22" s="539">
        <v>828.19999999999993</v>
      </c>
      <c r="ZP22" s="27">
        <v>782</v>
      </c>
      <c r="ZQ22" s="537">
        <v>777.8</v>
      </c>
      <c r="ZR22" s="538">
        <v>966.9</v>
      </c>
      <c r="ZS22" s="538">
        <v>979.9</v>
      </c>
      <c r="ZT22" s="539">
        <v>777.8</v>
      </c>
      <c r="ZU22" s="27">
        <v>727.01440000000002</v>
      </c>
      <c r="ZV22" s="537">
        <v>860.80000000000007</v>
      </c>
      <c r="ZW22" s="538">
        <v>1120.5</v>
      </c>
      <c r="ZX22" s="538">
        <v>1037.7</v>
      </c>
      <c r="ZY22" s="539">
        <v>860.80000000000007</v>
      </c>
      <c r="ZZ22" s="27">
        <v>623.87300000000005</v>
      </c>
      <c r="AAA22" s="479"/>
      <c r="AAB22" s="447"/>
      <c r="AAC22" s="26"/>
      <c r="AAD22" s="534" t="s">
        <v>5</v>
      </c>
      <c r="AAE22" s="535"/>
      <c r="AAF22" s="535"/>
      <c r="AAG22" s="536"/>
      <c r="AAH22" s="537">
        <v>878</v>
      </c>
      <c r="AAI22" s="538"/>
      <c r="AAJ22" s="538"/>
      <c r="AAK22" s="539"/>
      <c r="AAL22" s="27">
        <v>798.5</v>
      </c>
      <c r="AAM22" s="537">
        <v>770.8</v>
      </c>
      <c r="AAN22" s="538">
        <v>926</v>
      </c>
      <c r="AAO22" s="538">
        <v>961.5</v>
      </c>
      <c r="AAP22" s="539">
        <v>770.8</v>
      </c>
      <c r="AAQ22" s="27">
        <v>552.80000000000007</v>
      </c>
      <c r="AAR22" s="537">
        <v>869.3</v>
      </c>
      <c r="AAS22" s="538">
        <v>1126.2</v>
      </c>
      <c r="AAT22" s="538">
        <v>1088</v>
      </c>
      <c r="AAU22" s="539">
        <v>869.3</v>
      </c>
      <c r="AAV22" s="27">
        <v>727</v>
      </c>
      <c r="AAW22" s="537">
        <v>894.4</v>
      </c>
      <c r="AAX22" s="538">
        <v>1080.9000000000001</v>
      </c>
      <c r="AAY22" s="538">
        <v>1099.1999999999998</v>
      </c>
      <c r="AAZ22" s="539">
        <v>894.4</v>
      </c>
      <c r="ABA22" s="27">
        <v>553.4</v>
      </c>
      <c r="ABB22" s="479"/>
      <c r="ABC22" s="447"/>
      <c r="ABD22" s="26"/>
      <c r="ABE22" s="534" t="s">
        <v>5</v>
      </c>
      <c r="ABF22" s="535"/>
      <c r="ABG22" s="535"/>
      <c r="ABH22" s="536"/>
      <c r="ABI22" s="537">
        <f>844.2+33.8+2.6</f>
        <v>880.6</v>
      </c>
      <c r="ABJ22" s="538"/>
      <c r="ABK22" s="538"/>
      <c r="ABL22" s="539"/>
      <c r="ABM22" s="27">
        <v>825.53120000000001</v>
      </c>
      <c r="ABN22" s="537">
        <v>704</v>
      </c>
      <c r="ABO22" s="538">
        <v>678.40000000000009</v>
      </c>
      <c r="ABP22" s="538">
        <v>858.5</v>
      </c>
      <c r="ABQ22" s="539">
        <v>704</v>
      </c>
      <c r="ABR22" s="27">
        <v>528.57180000000005</v>
      </c>
      <c r="ABS22" s="537">
        <v>841.8</v>
      </c>
      <c r="ABT22" s="538">
        <v>828.9</v>
      </c>
      <c r="ABU22" s="538">
        <v>1008.9</v>
      </c>
      <c r="ABV22" s="539">
        <v>841.8</v>
      </c>
      <c r="ABW22" s="27">
        <v>410.6</v>
      </c>
      <c r="ABX22" s="537">
        <v>891.4</v>
      </c>
      <c r="ABY22" s="538">
        <v>1120.5</v>
      </c>
      <c r="ABZ22" s="538">
        <v>1050</v>
      </c>
      <c r="ACA22" s="539">
        <v>891.4</v>
      </c>
      <c r="ACB22" s="27">
        <f>8.8+785+0.1</f>
        <v>793.9</v>
      </c>
      <c r="ACC22" s="479"/>
      <c r="ACD22" s="447"/>
      <c r="ACE22" s="26"/>
      <c r="ACF22" s="534" t="s">
        <v>5</v>
      </c>
      <c r="ACG22" s="535"/>
      <c r="ACH22" s="535"/>
      <c r="ACI22" s="536"/>
      <c r="ACJ22" s="537">
        <v>888.3</v>
      </c>
      <c r="ACK22" s="538">
        <v>1120.9000000000001</v>
      </c>
      <c r="ACL22" s="538">
        <v>1045.2</v>
      </c>
      <c r="ACM22" s="539">
        <v>888.3</v>
      </c>
      <c r="ACN22" s="27">
        <v>779.38340000000005</v>
      </c>
      <c r="ACO22" s="537">
        <v>877.8</v>
      </c>
      <c r="ACP22" s="538">
        <v>1105.5</v>
      </c>
      <c r="ACQ22" s="538">
        <v>1037.8</v>
      </c>
      <c r="ACR22" s="539">
        <v>877.8</v>
      </c>
      <c r="ACS22" s="27">
        <v>804.77070000000003</v>
      </c>
      <c r="ACT22" s="537">
        <v>872.30000000000007</v>
      </c>
      <c r="ACU22" s="538">
        <v>984.90000000000009</v>
      </c>
      <c r="ACV22" s="538">
        <v>1034.2</v>
      </c>
      <c r="ACW22" s="539">
        <v>872.30000000000007</v>
      </c>
      <c r="ACX22" s="27">
        <f>3.8+599.7</f>
        <v>603.5</v>
      </c>
      <c r="ACY22" s="537">
        <v>561.69999999999993</v>
      </c>
      <c r="ACZ22" s="538">
        <v>578.5</v>
      </c>
      <c r="ADA22" s="538">
        <v>720.4</v>
      </c>
      <c r="ADB22" s="539">
        <v>561.69999999999993</v>
      </c>
      <c r="ADC22" s="27">
        <f>0.4+416.2</f>
        <v>416.59999999999997</v>
      </c>
      <c r="ADD22" s="479"/>
      <c r="ADE22" s="447"/>
      <c r="ADF22" s="26"/>
      <c r="ADG22" s="534" t="s">
        <v>5</v>
      </c>
      <c r="ADH22" s="535"/>
      <c r="ADI22" s="535"/>
      <c r="ADJ22" s="536"/>
      <c r="ADK22" s="537">
        <v>875</v>
      </c>
      <c r="ADL22" s="538">
        <v>578.5</v>
      </c>
      <c r="ADM22" s="538">
        <v>720.4</v>
      </c>
      <c r="ADN22" s="539">
        <v>561.69999999999993</v>
      </c>
      <c r="ADO22" s="27">
        <f>0.4+675.4+19.3</f>
        <v>695.09999999999991</v>
      </c>
      <c r="ADP22" s="537">
        <v>858.59999999999991</v>
      </c>
      <c r="ADQ22" s="538">
        <v>1036</v>
      </c>
      <c r="ADR22" s="538">
        <v>986</v>
      </c>
      <c r="ADS22" s="539">
        <v>858.59999999999991</v>
      </c>
      <c r="ADT22" s="27">
        <v>749.28660000000002</v>
      </c>
      <c r="ADU22" s="537">
        <v>845.2</v>
      </c>
      <c r="ADV22" s="538">
        <v>1050.2</v>
      </c>
      <c r="ADW22" s="538">
        <v>979.90000000000009</v>
      </c>
      <c r="ADX22" s="539">
        <v>845.2</v>
      </c>
      <c r="ADY22" s="27">
        <v>748.67439999999999</v>
      </c>
      <c r="ADZ22" s="537">
        <v>859.1</v>
      </c>
      <c r="AEA22" s="538">
        <v>1064.7</v>
      </c>
      <c r="AEB22" s="538">
        <v>1004</v>
      </c>
      <c r="AEC22" s="539">
        <v>859.1</v>
      </c>
      <c r="AED22" s="27">
        <v>832.68280000000004</v>
      </c>
      <c r="AEE22" s="479"/>
      <c r="AEF22" s="447"/>
      <c r="AEG22" s="26"/>
      <c r="AEH22" s="534" t="s">
        <v>5</v>
      </c>
      <c r="AEI22" s="535"/>
      <c r="AEJ22" s="535"/>
      <c r="AEK22" s="536"/>
      <c r="AEL22" s="537">
        <v>850</v>
      </c>
      <c r="AEM22" s="538"/>
      <c r="AEN22" s="538"/>
      <c r="AEO22" s="539"/>
      <c r="AEP22" s="27">
        <v>799.92560000000003</v>
      </c>
      <c r="AEQ22" s="537">
        <v>892.3</v>
      </c>
      <c r="AER22" s="538">
        <v>1083.2</v>
      </c>
      <c r="AES22" s="538">
        <v>1029.8</v>
      </c>
      <c r="AET22" s="539">
        <v>892.3</v>
      </c>
      <c r="AEU22" s="27">
        <v>851.88380000000006</v>
      </c>
      <c r="AEV22" s="537">
        <v>852</v>
      </c>
      <c r="AEW22" s="538"/>
      <c r="AEX22" s="538"/>
      <c r="AEY22" s="539"/>
      <c r="AEZ22" s="27">
        <v>834.9670000000001</v>
      </c>
      <c r="AFA22" s="537">
        <v>856.9</v>
      </c>
      <c r="AFB22" s="538">
        <v>1076.3</v>
      </c>
      <c r="AFC22" s="538">
        <v>1011.5</v>
      </c>
      <c r="AFD22" s="539">
        <v>856.9</v>
      </c>
      <c r="AFE22" s="27">
        <f>0.2+838</f>
        <v>838.2</v>
      </c>
      <c r="AFF22" s="479"/>
      <c r="AFG22" s="447"/>
      <c r="AFH22" s="26"/>
      <c r="AFI22" s="534" t="s">
        <v>5</v>
      </c>
      <c r="AFJ22" s="535"/>
      <c r="AFK22" s="535"/>
      <c r="AFL22" s="536"/>
      <c r="AFM22" s="537">
        <v>828.9</v>
      </c>
      <c r="AFN22" s="538">
        <v>930.40000000000009</v>
      </c>
      <c r="AFO22" s="538">
        <v>979.1</v>
      </c>
      <c r="AFP22" s="539">
        <v>828.9</v>
      </c>
      <c r="AFQ22" s="27">
        <v>785.18880000000001</v>
      </c>
      <c r="AFR22" s="537">
        <f>815.1+36+4.3</f>
        <v>855.4</v>
      </c>
      <c r="AFS22" s="538"/>
      <c r="AFT22" s="538"/>
      <c r="AFU22" s="539"/>
      <c r="AFV22" s="27">
        <v>792.45980000000009</v>
      </c>
      <c r="AFW22" s="537">
        <v>848.80000000000007</v>
      </c>
      <c r="AFX22" s="538">
        <v>1078.2</v>
      </c>
      <c r="AFY22" s="538">
        <v>1001.1</v>
      </c>
      <c r="AFZ22" s="539">
        <v>848.80000000000007</v>
      </c>
      <c r="AGA22" s="27">
        <v>721.01819999999998</v>
      </c>
      <c r="AGB22" s="537">
        <v>861.9</v>
      </c>
      <c r="AGC22" s="538">
        <v>950.9</v>
      </c>
      <c r="AGD22" s="538">
        <v>1002.8</v>
      </c>
      <c r="AGE22" s="539">
        <v>861.9</v>
      </c>
      <c r="AGF22" s="27">
        <v>551.7604</v>
      </c>
      <c r="AGG22" s="479"/>
      <c r="AGH22" s="447"/>
      <c r="AGI22" s="26"/>
      <c r="AGJ22" s="534" t="s">
        <v>5</v>
      </c>
      <c r="AGK22" s="535"/>
      <c r="AGL22" s="535"/>
      <c r="AGM22" s="536"/>
      <c r="AGN22" s="537">
        <v>887.8</v>
      </c>
      <c r="AGO22" s="538">
        <v>1000.4</v>
      </c>
      <c r="AGP22" s="538">
        <v>1034.8</v>
      </c>
      <c r="AGQ22" s="539">
        <v>887.8</v>
      </c>
      <c r="AGR22" s="27">
        <v>694.82830000000001</v>
      </c>
      <c r="AGS22" s="537">
        <v>879.69999999999993</v>
      </c>
      <c r="AGT22" s="538">
        <v>1003.3</v>
      </c>
      <c r="AGU22" s="538">
        <v>1030.5</v>
      </c>
      <c r="AGV22" s="539">
        <v>879.69999999999993</v>
      </c>
      <c r="AGW22" s="27">
        <v>739.65959999999995</v>
      </c>
      <c r="AGX22" s="537">
        <v>834.9</v>
      </c>
      <c r="AGY22" s="538">
        <v>1050.8</v>
      </c>
      <c r="AGZ22" s="538">
        <v>1001.2</v>
      </c>
      <c r="AHA22" s="539">
        <v>834.9</v>
      </c>
      <c r="AHB22" s="27">
        <f>758.8+0.4</f>
        <v>759.19999999999993</v>
      </c>
      <c r="AHC22" s="537">
        <v>847.2</v>
      </c>
      <c r="AHD22" s="538">
        <v>1087.2</v>
      </c>
      <c r="AHE22" s="538">
        <v>1016.7</v>
      </c>
      <c r="AHF22" s="539">
        <v>847.2</v>
      </c>
      <c r="AHG22" s="27">
        <v>810</v>
      </c>
      <c r="AHH22" s="479"/>
      <c r="AHI22" s="447"/>
      <c r="AHJ22" s="26"/>
      <c r="AHK22" s="534" t="s">
        <v>5</v>
      </c>
      <c r="AHL22" s="535"/>
      <c r="AHM22" s="535"/>
      <c r="AHN22" s="536"/>
      <c r="AHO22" s="537">
        <v>815.4</v>
      </c>
      <c r="AHP22" s="538">
        <v>1083.3</v>
      </c>
      <c r="AHQ22" s="538">
        <v>976.8</v>
      </c>
      <c r="AHR22" s="539">
        <v>815.4</v>
      </c>
      <c r="AHS22" s="27">
        <v>805.93410000000006</v>
      </c>
      <c r="AHT22" s="537">
        <v>811.3</v>
      </c>
      <c r="AHU22" s="538">
        <v>1071.2</v>
      </c>
      <c r="AHV22" s="538">
        <v>964.5</v>
      </c>
      <c r="AHW22" s="539">
        <v>811.3</v>
      </c>
      <c r="AHX22" s="27">
        <v>797.43580000000009</v>
      </c>
      <c r="AHY22" s="537">
        <v>827.3</v>
      </c>
      <c r="AHZ22" s="538">
        <v>1041.9000000000001</v>
      </c>
      <c r="AIA22" s="538">
        <v>979.1</v>
      </c>
      <c r="AIB22" s="539">
        <v>827.3</v>
      </c>
      <c r="AIC22" s="27">
        <v>795.2777000000001</v>
      </c>
      <c r="AID22" s="537">
        <v>664.4</v>
      </c>
      <c r="AIE22" s="538">
        <v>788.80000000000007</v>
      </c>
      <c r="AIF22" s="538">
        <v>820.40000000000009</v>
      </c>
      <c r="AIG22" s="539">
        <v>664.4</v>
      </c>
      <c r="AIH22" s="27">
        <v>678.0046000000001</v>
      </c>
      <c r="AII22" s="479"/>
      <c r="AIJ22" s="447"/>
      <c r="AIK22" s="26"/>
      <c r="AIL22" s="534" t="s">
        <v>5</v>
      </c>
      <c r="AIM22" s="535"/>
      <c r="AIN22" s="535"/>
      <c r="AIO22" s="536"/>
      <c r="AIP22" s="537">
        <v>800.4</v>
      </c>
      <c r="AIQ22" s="538">
        <v>917.09999999999991</v>
      </c>
      <c r="AIR22" s="538">
        <v>949</v>
      </c>
      <c r="AIS22" s="539">
        <v>800.4</v>
      </c>
      <c r="AIT22" s="27">
        <v>731.44380000000001</v>
      </c>
      <c r="AIU22" s="537">
        <v>842.2</v>
      </c>
      <c r="AIV22" s="538">
        <v>1021.5</v>
      </c>
      <c r="AIW22" s="538">
        <v>978</v>
      </c>
      <c r="AIX22" s="539">
        <v>842.2</v>
      </c>
      <c r="AIY22" s="27">
        <v>785.29870000000005</v>
      </c>
      <c r="AIZ22" s="537">
        <v>825.3</v>
      </c>
      <c r="AJA22" s="538">
        <v>987.40000000000009</v>
      </c>
      <c r="AJB22" s="538">
        <v>983</v>
      </c>
      <c r="AJC22" s="539">
        <v>825.3</v>
      </c>
      <c r="AJD22" s="27">
        <v>721.80140000000006</v>
      </c>
      <c r="AJE22" s="537">
        <v>687.3</v>
      </c>
      <c r="AJF22" s="538">
        <v>814.4</v>
      </c>
      <c r="AJG22" s="538">
        <v>862</v>
      </c>
      <c r="AJH22" s="539">
        <v>687.3</v>
      </c>
      <c r="AJI22" s="27">
        <v>572.20000000000005</v>
      </c>
      <c r="AJJ22" s="479"/>
      <c r="AJK22" s="447"/>
      <c r="AJL22" s="26"/>
      <c r="AJM22" s="534" t="s">
        <v>5</v>
      </c>
      <c r="AJN22" s="535"/>
      <c r="AJO22" s="535"/>
      <c r="AJP22" s="536"/>
      <c r="AJQ22" s="537">
        <v>610.6</v>
      </c>
      <c r="AJR22" s="538">
        <v>702.3</v>
      </c>
      <c r="AJS22" s="538">
        <v>752.3</v>
      </c>
      <c r="AJT22" s="539">
        <v>610.6</v>
      </c>
      <c r="AJU22" s="27">
        <v>588.60980000000006</v>
      </c>
      <c r="AJV22" s="537">
        <v>696.80000000000007</v>
      </c>
      <c r="AJW22" s="538">
        <v>785.5</v>
      </c>
      <c r="AJX22" s="538">
        <v>835.80000000000007</v>
      </c>
      <c r="AJY22" s="539">
        <v>696.80000000000007</v>
      </c>
      <c r="AJZ22" s="27">
        <v>426</v>
      </c>
      <c r="AKA22" s="537">
        <v>797.69999999999993</v>
      </c>
      <c r="AKB22" s="538">
        <v>934.4</v>
      </c>
      <c r="AKC22" s="538">
        <v>943.3</v>
      </c>
      <c r="AKD22" s="539">
        <v>797.69999999999993</v>
      </c>
      <c r="AKE22" s="27">
        <v>657.2</v>
      </c>
      <c r="AKF22" s="537">
        <v>816.7</v>
      </c>
      <c r="AKG22" s="538">
        <v>963.40000000000009</v>
      </c>
      <c r="AKH22" s="538">
        <v>972.5</v>
      </c>
      <c r="AKI22" s="539">
        <v>816.7</v>
      </c>
      <c r="AKJ22" s="27">
        <v>738.40000000000009</v>
      </c>
      <c r="AKK22" s="479"/>
      <c r="AKL22" s="447"/>
      <c r="AKM22" s="26"/>
      <c r="AKN22" s="534" t="s">
        <v>5</v>
      </c>
      <c r="AKO22" s="535"/>
      <c r="AKP22" s="535"/>
      <c r="AKQ22" s="536"/>
      <c r="AKR22" s="537">
        <v>793.5</v>
      </c>
      <c r="AKS22" s="538">
        <v>941.8</v>
      </c>
      <c r="AKT22" s="538">
        <v>951.2</v>
      </c>
      <c r="AKU22" s="539">
        <v>793.5</v>
      </c>
      <c r="AKV22" s="27">
        <v>595.20000000000005</v>
      </c>
      <c r="AKW22" s="537">
        <v>719.8</v>
      </c>
      <c r="AKX22" s="538">
        <v>840.9</v>
      </c>
      <c r="AKY22" s="538">
        <v>844.4</v>
      </c>
      <c r="AKZ22" s="539">
        <v>719.8</v>
      </c>
      <c r="ALA22" s="27">
        <f>24.8+663.2</f>
        <v>688</v>
      </c>
      <c r="ALB22" s="537">
        <v>669.5</v>
      </c>
      <c r="ALC22" s="538">
        <v>814.9</v>
      </c>
      <c r="ALD22" s="538">
        <v>819.9</v>
      </c>
      <c r="ALE22" s="539">
        <v>669.5</v>
      </c>
      <c r="ALF22" s="27">
        <v>686.37060000000008</v>
      </c>
      <c r="ALG22" s="537">
        <v>808.9</v>
      </c>
      <c r="ALH22" s="538">
        <v>1048.0999999999999</v>
      </c>
      <c r="ALI22" s="538">
        <v>961.9</v>
      </c>
      <c r="ALJ22" s="539">
        <v>808.9</v>
      </c>
      <c r="ALK22" s="27">
        <v>737.41649999999993</v>
      </c>
      <c r="ALL22" s="479"/>
      <c r="ALM22" s="447"/>
      <c r="ALN22" s="26"/>
      <c r="ALO22" s="534" t="s">
        <v>5</v>
      </c>
      <c r="ALP22" s="535"/>
      <c r="ALQ22" s="535"/>
      <c r="ALR22" s="536"/>
      <c r="ALS22" s="537">
        <v>798</v>
      </c>
      <c r="ALT22" s="538">
        <v>1058.2</v>
      </c>
      <c r="ALU22" s="538">
        <v>969.6</v>
      </c>
      <c r="ALV22" s="539">
        <v>798</v>
      </c>
      <c r="ALW22" s="27">
        <f>737.6</f>
        <v>737.6</v>
      </c>
      <c r="ALX22" s="537">
        <v>799.3</v>
      </c>
      <c r="ALY22" s="538">
        <v>1055.2</v>
      </c>
      <c r="ALZ22" s="538">
        <v>989.9</v>
      </c>
      <c r="AMA22" s="539">
        <v>799.3</v>
      </c>
      <c r="AMB22" s="27">
        <v>709.31280000000004</v>
      </c>
      <c r="AMC22" s="537">
        <v>679.9</v>
      </c>
      <c r="AMD22" s="538">
        <v>827.90000000000009</v>
      </c>
      <c r="AME22" s="538">
        <v>823.40000000000009</v>
      </c>
      <c r="AMF22" s="539">
        <v>679.9</v>
      </c>
      <c r="AMG22" s="27">
        <v>664.75390000000004</v>
      </c>
      <c r="AMH22" s="537">
        <v>762.40000000000009</v>
      </c>
      <c r="AMI22" s="538">
        <v>953.90000000000009</v>
      </c>
      <c r="AMJ22" s="538">
        <v>935.6</v>
      </c>
      <c r="AMK22" s="539">
        <v>762.40000000000009</v>
      </c>
      <c r="AML22" s="27">
        <v>500</v>
      </c>
      <c r="AMM22" s="479"/>
      <c r="AMN22" s="447"/>
      <c r="AMO22" s="26"/>
      <c r="AMP22" s="534" t="s">
        <v>5</v>
      </c>
      <c r="AMQ22" s="535"/>
      <c r="AMR22" s="535"/>
      <c r="AMS22" s="536"/>
      <c r="AMT22" s="537">
        <v>805.4</v>
      </c>
      <c r="AMU22" s="538">
        <v>989.5</v>
      </c>
      <c r="AMV22" s="538">
        <v>960.19999999999993</v>
      </c>
      <c r="AMW22" s="539">
        <v>805.4</v>
      </c>
      <c r="AMX22" s="27">
        <v>707.44880000000012</v>
      </c>
      <c r="AMY22" s="537">
        <v>798</v>
      </c>
      <c r="AMZ22" s="538">
        <v>966.5</v>
      </c>
      <c r="ANA22" s="538">
        <v>961.9</v>
      </c>
      <c r="ANB22" s="539">
        <v>798</v>
      </c>
      <c r="ANC22" s="27">
        <v>686.80180000000007</v>
      </c>
      <c r="AND22" s="537">
        <v>720.5</v>
      </c>
      <c r="ANE22" s="538">
        <v>798.3</v>
      </c>
      <c r="ANF22" s="538">
        <v>926.2</v>
      </c>
      <c r="ANG22" s="539">
        <v>720.5</v>
      </c>
      <c r="ANH22" s="27">
        <v>646.80000000000007</v>
      </c>
      <c r="ANI22" s="537">
        <v>719.80000000000007</v>
      </c>
      <c r="ANJ22" s="538">
        <v>914.6</v>
      </c>
      <c r="ANK22" s="538">
        <v>916.8</v>
      </c>
      <c r="ANL22" s="539">
        <v>719.80000000000007</v>
      </c>
      <c r="ANM22" s="27">
        <v>563.80000000000007</v>
      </c>
      <c r="ANN22" s="479"/>
      <c r="ANO22" s="447"/>
      <c r="ANP22" s="26"/>
      <c r="ANQ22" s="534" t="s">
        <v>5</v>
      </c>
      <c r="ANR22" s="535"/>
      <c r="ANS22" s="535"/>
      <c r="ANT22" s="536"/>
      <c r="ANU22" s="537">
        <v>799.6</v>
      </c>
      <c r="ANV22" s="538">
        <v>1012.3</v>
      </c>
      <c r="ANW22" s="538">
        <v>992.8</v>
      </c>
      <c r="ANX22" s="539">
        <v>799.6</v>
      </c>
      <c r="ANY22" s="27">
        <v>719.70440000000008</v>
      </c>
      <c r="ANZ22" s="537">
        <v>659.1</v>
      </c>
      <c r="AOA22" s="538">
        <v>777.1</v>
      </c>
      <c r="AOB22" s="538">
        <v>858.9</v>
      </c>
      <c r="AOC22" s="539">
        <v>659.1</v>
      </c>
      <c r="AOD22" s="27">
        <v>468.6</v>
      </c>
      <c r="AOE22" s="537">
        <v>799.5</v>
      </c>
      <c r="AOF22" s="538">
        <v>1071.0999999999999</v>
      </c>
      <c r="AOG22" s="538">
        <v>1031.5</v>
      </c>
      <c r="AOH22" s="539">
        <v>799.5</v>
      </c>
      <c r="AOI22" s="540">
        <v>726.6</v>
      </c>
      <c r="AOJ22" s="541">
        <v>726.6</v>
      </c>
      <c r="AOK22" s="537">
        <f>531.5+177+3.7</f>
        <v>712.2</v>
      </c>
      <c r="AOL22" s="538"/>
      <c r="AOM22" s="538"/>
      <c r="AON22" s="539"/>
      <c r="AOO22" s="27">
        <v>581</v>
      </c>
      <c r="AOP22" s="479"/>
      <c r="AOQ22" s="447"/>
      <c r="AOR22" s="26"/>
      <c r="AOS22" s="534" t="s">
        <v>5</v>
      </c>
      <c r="AOT22" s="535"/>
      <c r="AOU22" s="535"/>
      <c r="AOV22" s="536"/>
      <c r="AOW22" s="537">
        <v>808.2</v>
      </c>
      <c r="AOX22" s="538">
        <v>1110.5</v>
      </c>
      <c r="AOY22" s="538">
        <v>1031</v>
      </c>
      <c r="AOZ22" s="539">
        <v>808.2</v>
      </c>
      <c r="APA22" s="27">
        <v>717.80000000000007</v>
      </c>
      <c r="APB22" s="537">
        <v>818.3</v>
      </c>
      <c r="APC22" s="538">
        <v>1098.3</v>
      </c>
      <c r="APD22" s="538">
        <v>1058.5999999999999</v>
      </c>
      <c r="APE22" s="539">
        <v>818.3</v>
      </c>
      <c r="APF22" s="27">
        <v>741.80000000000007</v>
      </c>
      <c r="APG22" s="537">
        <v>616.69999999999993</v>
      </c>
      <c r="APH22" s="538">
        <v>751.2</v>
      </c>
      <c r="API22" s="538">
        <v>833.3</v>
      </c>
      <c r="APJ22" s="539">
        <v>616.69999999999993</v>
      </c>
      <c r="APK22" s="27">
        <v>379.6</v>
      </c>
      <c r="APL22" s="537">
        <v>815.4</v>
      </c>
      <c r="APM22" s="538">
        <v>1021.6999999999999</v>
      </c>
      <c r="APN22" s="538">
        <v>1024.0999999999999</v>
      </c>
      <c r="APO22" s="539">
        <v>815.4</v>
      </c>
      <c r="APP22" s="27">
        <v>710.02340000000004</v>
      </c>
      <c r="APQ22" s="479"/>
      <c r="APR22" s="447"/>
      <c r="APS22" s="26"/>
      <c r="APT22" s="534" t="s">
        <v>5</v>
      </c>
      <c r="APU22" s="535"/>
      <c r="APV22" s="535"/>
      <c r="APW22" s="536"/>
      <c r="APX22" s="537">
        <f>750.3+44.1+16.1</f>
        <v>810.5</v>
      </c>
      <c r="APY22" s="538"/>
      <c r="APZ22" s="538"/>
      <c r="AQA22" s="539"/>
      <c r="AQB22" s="27">
        <v>731.84700000000009</v>
      </c>
      <c r="AQC22" s="537">
        <v>813</v>
      </c>
      <c r="AQD22" s="538">
        <v>1016.1</v>
      </c>
      <c r="AQE22" s="538">
        <v>1047.3</v>
      </c>
      <c r="AQF22" s="539">
        <v>813</v>
      </c>
      <c r="AQG22" s="27">
        <v>623.6</v>
      </c>
      <c r="AQH22" s="537">
        <v>795.9</v>
      </c>
      <c r="AQI22" s="538">
        <v>988.3</v>
      </c>
      <c r="AQJ22" s="538">
        <v>997.5</v>
      </c>
      <c r="AQK22" s="539">
        <v>795.9</v>
      </c>
      <c r="AQL22" s="27">
        <v>691.80000000000007</v>
      </c>
      <c r="AQM22" s="537">
        <v>724.5</v>
      </c>
      <c r="AQN22" s="538">
        <v>838.09999999999991</v>
      </c>
      <c r="AQO22" s="538">
        <v>917.09999999999991</v>
      </c>
      <c r="AQP22" s="539">
        <v>724.5</v>
      </c>
      <c r="AQQ22" s="27">
        <v>475.40000000000003</v>
      </c>
      <c r="AQR22" s="479"/>
      <c r="AQS22" s="447"/>
      <c r="AQT22" s="26"/>
      <c r="AQU22" s="534" t="s">
        <v>5</v>
      </c>
      <c r="AQV22" s="535"/>
      <c r="AQW22" s="535"/>
      <c r="AQX22" s="536"/>
      <c r="AQY22" s="537">
        <v>653</v>
      </c>
      <c r="AQZ22" s="538">
        <v>723.3</v>
      </c>
      <c r="ARA22" s="538">
        <v>817.5</v>
      </c>
      <c r="ARB22" s="539">
        <v>653</v>
      </c>
      <c r="ARC22" s="27">
        <v>445.6</v>
      </c>
      <c r="ARD22" s="537">
        <v>807.9</v>
      </c>
      <c r="ARE22" s="538">
        <v>908.3</v>
      </c>
      <c r="ARF22" s="538">
        <v>996.5</v>
      </c>
      <c r="ARG22" s="539">
        <v>807.9</v>
      </c>
      <c r="ARH22" s="27">
        <v>585.9452</v>
      </c>
      <c r="ARI22" s="537">
        <v>820.4</v>
      </c>
      <c r="ARJ22" s="538">
        <v>972.8</v>
      </c>
      <c r="ARK22" s="538">
        <v>1013.4</v>
      </c>
      <c r="ARL22" s="539">
        <v>820.4</v>
      </c>
      <c r="ARM22" s="27">
        <v>737.69080000000008</v>
      </c>
      <c r="ARN22" s="537">
        <v>900.8</v>
      </c>
      <c r="ARO22" s="538">
        <v>1097.5999999999999</v>
      </c>
      <c r="ARP22" s="538">
        <v>1135.0999999999999</v>
      </c>
      <c r="ARQ22" s="539">
        <v>900.8</v>
      </c>
      <c r="ARR22" s="27">
        <v>747.80000000000007</v>
      </c>
      <c r="ARS22" s="479"/>
      <c r="ART22" s="447"/>
      <c r="ARU22" s="26"/>
      <c r="ARV22" s="534" t="s">
        <v>5</v>
      </c>
      <c r="ARW22" s="535"/>
      <c r="ARX22" s="535"/>
      <c r="ARY22" s="536"/>
      <c r="ARZ22" s="537">
        <v>902.7</v>
      </c>
      <c r="ASA22" s="538">
        <v>1051.8</v>
      </c>
      <c r="ASB22" s="538">
        <v>1132.5</v>
      </c>
      <c r="ASC22" s="539">
        <v>902.7</v>
      </c>
      <c r="ASD22" s="27">
        <v>675</v>
      </c>
      <c r="ASE22" s="537">
        <v>727.69999999999993</v>
      </c>
      <c r="ASF22" s="538">
        <v>805.6</v>
      </c>
      <c r="ASG22" s="538">
        <v>937.9</v>
      </c>
      <c r="ASH22" s="539">
        <v>727.69999999999993</v>
      </c>
      <c r="ASI22" s="27">
        <v>424.20000000000005</v>
      </c>
      <c r="ASJ22" s="537">
        <v>739.5</v>
      </c>
      <c r="ASK22" s="538">
        <v>801.5</v>
      </c>
      <c r="ASL22" s="538">
        <v>934</v>
      </c>
      <c r="ASM22" s="539">
        <v>739.5</v>
      </c>
      <c r="ASN22" s="27">
        <v>430</v>
      </c>
      <c r="ASO22" s="537">
        <v>898.2</v>
      </c>
      <c r="ASP22" s="538">
        <v>1073.1999999999998</v>
      </c>
      <c r="ASQ22" s="538">
        <v>1122.2</v>
      </c>
      <c r="ASR22" s="539">
        <v>898.2</v>
      </c>
      <c r="ASS22" s="27">
        <v>773.40000000000009</v>
      </c>
      <c r="AST22" s="479"/>
      <c r="ASU22" s="447"/>
      <c r="ASV22" s="26"/>
      <c r="ASW22" s="534" t="s">
        <v>5</v>
      </c>
      <c r="ASX22" s="535"/>
      <c r="ASY22" s="535"/>
      <c r="ASZ22" s="536"/>
      <c r="ATA22" s="537">
        <v>873.5</v>
      </c>
      <c r="ATB22" s="538">
        <v>1025.4000000000001</v>
      </c>
      <c r="ATC22" s="538">
        <v>1110.9000000000001</v>
      </c>
      <c r="ATD22" s="539">
        <v>873.5</v>
      </c>
      <c r="ATE22" s="27">
        <v>669</v>
      </c>
      <c r="ATF22" s="537">
        <v>913.3</v>
      </c>
      <c r="ATG22" s="538">
        <v>1120.8000000000002</v>
      </c>
      <c r="ATH22" s="538">
        <v>1108.8000000000002</v>
      </c>
      <c r="ATI22" s="539">
        <v>913.3</v>
      </c>
      <c r="ATJ22" s="27">
        <v>775.00360000000001</v>
      </c>
      <c r="ATK22" s="537">
        <v>902.3</v>
      </c>
      <c r="ATL22" s="538">
        <v>1102.5</v>
      </c>
      <c r="ATM22" s="538">
        <v>1104</v>
      </c>
      <c r="ATN22" s="539">
        <v>902.3</v>
      </c>
      <c r="ATO22" s="27">
        <v>782.41629999999998</v>
      </c>
      <c r="ATP22" s="537">
        <v>879.69999999999993</v>
      </c>
      <c r="ATQ22" s="538">
        <v>1027</v>
      </c>
      <c r="ATR22" s="538">
        <v>1095.4000000000001</v>
      </c>
      <c r="ATS22" s="539">
        <v>879.69999999999993</v>
      </c>
      <c r="ATT22" s="27">
        <v>698</v>
      </c>
      <c r="ATU22" s="479"/>
      <c r="ATV22" s="447"/>
      <c r="ATW22" s="26"/>
      <c r="ATX22" s="534" t="s">
        <v>5</v>
      </c>
      <c r="ATY22" s="535"/>
      <c r="ATZ22" s="535"/>
      <c r="AUA22" s="536"/>
      <c r="AUB22" s="537">
        <v>867.7</v>
      </c>
      <c r="AUC22" s="538">
        <v>1082.5</v>
      </c>
      <c r="AUD22" s="538">
        <v>1074.3</v>
      </c>
      <c r="AUE22" s="539">
        <v>867.7</v>
      </c>
      <c r="AUF22" s="27">
        <v>768</v>
      </c>
      <c r="AUG22" s="537">
        <v>738.1</v>
      </c>
      <c r="AUH22" s="538">
        <v>799.2</v>
      </c>
      <c r="AUI22" s="538">
        <v>933.5</v>
      </c>
      <c r="AUJ22" s="539">
        <v>738.1</v>
      </c>
      <c r="AUK22" s="27">
        <v>513.6</v>
      </c>
      <c r="AUL22" s="537">
        <v>826</v>
      </c>
      <c r="AUM22" s="538">
        <v>920.5</v>
      </c>
      <c r="AUN22" s="538">
        <v>1053</v>
      </c>
      <c r="AUO22" s="539">
        <v>826</v>
      </c>
      <c r="AUP22" s="27">
        <v>653.6</v>
      </c>
      <c r="AUQ22" s="537">
        <v>824.1</v>
      </c>
      <c r="AUR22" s="538">
        <v>909</v>
      </c>
      <c r="AUS22" s="538">
        <v>1042.4000000000001</v>
      </c>
      <c r="AUT22" s="539">
        <v>824.1</v>
      </c>
      <c r="AUU22" s="27">
        <v>439.20000000000005</v>
      </c>
      <c r="AUV22" s="479"/>
      <c r="AUW22" s="447"/>
      <c r="AUX22" s="26"/>
      <c r="AUY22" s="534" t="s">
        <v>5</v>
      </c>
      <c r="AUZ22" s="535"/>
      <c r="AVA22" s="535"/>
      <c r="AVB22" s="536"/>
      <c r="AVC22" s="537">
        <f>563.3+136+7.6</f>
        <v>706.9</v>
      </c>
      <c r="AVD22" s="538"/>
      <c r="AVE22" s="538"/>
      <c r="AVF22" s="539"/>
      <c r="AVG22" s="27">
        <v>659.40000000000009</v>
      </c>
      <c r="AVH22" s="537">
        <v>807.6</v>
      </c>
      <c r="AVI22" s="538">
        <v>1027.4000000000001</v>
      </c>
      <c r="AVJ22" s="538">
        <v>1054.0999999999999</v>
      </c>
      <c r="AVK22" s="539">
        <v>807.6</v>
      </c>
      <c r="AVL22" s="27">
        <v>663</v>
      </c>
      <c r="AVM22" s="537">
        <v>738.2</v>
      </c>
      <c r="AVN22" s="538">
        <v>935.4</v>
      </c>
      <c r="AVO22" s="538">
        <v>969.3</v>
      </c>
      <c r="AVP22" s="539">
        <v>738.2</v>
      </c>
      <c r="AVQ22" s="27">
        <v>658.6</v>
      </c>
      <c r="AVR22" s="537">
        <v>1007.5999999999999</v>
      </c>
      <c r="AVS22" s="538">
        <v>1075.8000000000002</v>
      </c>
      <c r="AVT22" s="538">
        <v>1224.1000000000001</v>
      </c>
      <c r="AVU22" s="539">
        <v>1007.5999999999999</v>
      </c>
      <c r="AVV22" s="27">
        <v>674.83199999999999</v>
      </c>
      <c r="AVW22" s="479"/>
      <c r="AVX22" s="447"/>
      <c r="AVY22" s="26"/>
      <c r="AVZ22" s="534" t="s">
        <v>5</v>
      </c>
      <c r="AWA22" s="535"/>
      <c r="AWB22" s="535"/>
      <c r="AWC22" s="536"/>
      <c r="AWD22" s="537">
        <v>997.80000000000007</v>
      </c>
      <c r="AWE22" s="538">
        <v>1053.9000000000001</v>
      </c>
      <c r="AWF22" s="538">
        <v>1209.3999999999999</v>
      </c>
      <c r="AWG22" s="539">
        <v>997.80000000000007</v>
      </c>
      <c r="AWH22" s="27">
        <v>682.19640000000015</v>
      </c>
      <c r="AWI22" s="537">
        <v>992.5</v>
      </c>
      <c r="AWJ22" s="538">
        <v>1148.0999999999999</v>
      </c>
      <c r="AWK22" s="538">
        <v>1222.1000000000001</v>
      </c>
      <c r="AWL22" s="539">
        <v>992.5</v>
      </c>
      <c r="AWM22" s="27">
        <v>821.79140000000007</v>
      </c>
      <c r="AWN22" s="537">
        <v>997.9</v>
      </c>
      <c r="AWO22" s="538">
        <v>1109.9000000000001</v>
      </c>
      <c r="AWP22" s="538">
        <v>1243</v>
      </c>
      <c r="AWQ22" s="539">
        <v>997.9</v>
      </c>
      <c r="AWR22" s="27">
        <v>749.56680000000006</v>
      </c>
      <c r="AWS22" s="537">
        <v>517.4</v>
      </c>
      <c r="AWT22" s="538">
        <v>630.20000000000005</v>
      </c>
      <c r="AWU22" s="538">
        <v>787</v>
      </c>
      <c r="AWV22" s="539">
        <v>517.4</v>
      </c>
      <c r="AWW22" s="27">
        <v>410.20000000000005</v>
      </c>
      <c r="AWX22" s="479"/>
      <c r="AWY22" s="447"/>
      <c r="AWZ22" s="26"/>
      <c r="AXA22" s="534" t="s">
        <v>5</v>
      </c>
      <c r="AXB22" s="535"/>
      <c r="AXC22" s="535"/>
      <c r="AXD22" s="536"/>
      <c r="AXE22" s="537">
        <v>646.9</v>
      </c>
      <c r="AXF22" s="538"/>
      <c r="AXG22" s="538"/>
      <c r="AXH22" s="539"/>
      <c r="AXI22" s="27">
        <v>380.8</v>
      </c>
      <c r="AXJ22" s="537">
        <v>824.3</v>
      </c>
      <c r="AXK22" s="538">
        <v>1065.0999999999999</v>
      </c>
      <c r="AXL22" s="538">
        <v>1114.6999999999998</v>
      </c>
      <c r="AXM22" s="539">
        <v>824.3</v>
      </c>
      <c r="AXN22" s="27">
        <v>590.20000000000005</v>
      </c>
      <c r="AXO22" s="537">
        <v>991.69999999999993</v>
      </c>
      <c r="AXP22" s="538">
        <v>1129.7</v>
      </c>
      <c r="AXQ22" s="538">
        <v>1206.1000000000001</v>
      </c>
      <c r="AXR22" s="539">
        <v>991.69999999999993</v>
      </c>
      <c r="AXS22" s="27">
        <v>842.79390000000012</v>
      </c>
      <c r="AXT22" s="537">
        <v>1013.8</v>
      </c>
      <c r="AXU22" s="538">
        <v>1116.8000000000002</v>
      </c>
      <c r="AXV22" s="538">
        <v>1220.8</v>
      </c>
      <c r="AXW22" s="539">
        <v>1013.8</v>
      </c>
      <c r="AXX22" s="27">
        <v>791.66880000000003</v>
      </c>
      <c r="AXY22" s="479"/>
      <c r="AXZ22" s="447"/>
      <c r="AYA22" s="26"/>
      <c r="AYB22" s="534" t="s">
        <v>5</v>
      </c>
      <c r="AYC22" s="535"/>
      <c r="AYD22" s="535"/>
      <c r="AYE22" s="536"/>
      <c r="AYF22" s="537">
        <v>560.20000000000005</v>
      </c>
      <c r="AYG22" s="538">
        <v>704.90000000000009</v>
      </c>
      <c r="AYH22" s="538">
        <v>870.5</v>
      </c>
      <c r="AYI22" s="539">
        <v>560.20000000000005</v>
      </c>
      <c r="AYJ22" s="27">
        <v>191.60000000000002</v>
      </c>
      <c r="AYK22" s="537">
        <v>723.40000000000009</v>
      </c>
      <c r="AYL22" s="538">
        <v>880.40000000000009</v>
      </c>
      <c r="AYM22" s="538">
        <v>939.40000000000009</v>
      </c>
      <c r="AYN22" s="539">
        <v>723.40000000000009</v>
      </c>
      <c r="AYO22" s="27">
        <v>582</v>
      </c>
      <c r="AYP22" s="537">
        <v>668.2</v>
      </c>
      <c r="AYQ22" s="538">
        <v>715.8</v>
      </c>
      <c r="AYR22" s="538">
        <v>883.6</v>
      </c>
      <c r="AYS22" s="539">
        <v>668.2</v>
      </c>
      <c r="AYT22" s="27">
        <v>568.35680000000002</v>
      </c>
      <c r="AYU22" s="537">
        <v>777.8</v>
      </c>
      <c r="AYV22" s="538">
        <v>964.7</v>
      </c>
      <c r="AYW22" s="538">
        <v>1021.7</v>
      </c>
      <c r="AYX22" s="539">
        <v>777.8</v>
      </c>
      <c r="AYY22" s="27">
        <v>631.80000000000007</v>
      </c>
      <c r="AYZ22" s="479"/>
      <c r="AZA22" s="447"/>
      <c r="AZB22" s="26"/>
      <c r="AZC22" s="534" t="s">
        <v>5</v>
      </c>
      <c r="AZD22" s="535"/>
      <c r="AZE22" s="535"/>
      <c r="AZF22" s="536"/>
      <c r="AZG22" s="537">
        <v>1000.9000000000001</v>
      </c>
      <c r="AZH22" s="538">
        <v>1153.8000000000002</v>
      </c>
      <c r="AZI22" s="538">
        <v>1228.3</v>
      </c>
      <c r="AZJ22" s="539">
        <v>1000.9000000000001</v>
      </c>
      <c r="AZK22" s="27">
        <v>771.2</v>
      </c>
      <c r="AZL22" s="537">
        <v>996.09999999999991</v>
      </c>
      <c r="AZM22" s="538">
        <v>1128.9000000000001</v>
      </c>
      <c r="AZN22" s="538">
        <v>1226</v>
      </c>
      <c r="AZO22" s="539">
        <v>996.09999999999991</v>
      </c>
      <c r="AZP22" s="27">
        <v>758</v>
      </c>
      <c r="AZQ22" s="537">
        <v>1020.6999999999999</v>
      </c>
      <c r="AZR22" s="538">
        <v>1176</v>
      </c>
      <c r="AZS22" s="538">
        <v>1219.5</v>
      </c>
      <c r="AZT22" s="539">
        <v>1020.6999999999999</v>
      </c>
      <c r="AZU22" s="27">
        <v>754.60879999999997</v>
      </c>
      <c r="AZV22" s="537">
        <v>949.1</v>
      </c>
      <c r="AZW22" s="538">
        <v>1016.1</v>
      </c>
      <c r="AZX22" s="538">
        <v>1152.8000000000002</v>
      </c>
      <c r="AZY22" s="539">
        <v>949.1</v>
      </c>
      <c r="AZZ22" s="27">
        <v>748.6277</v>
      </c>
      <c r="BAA22" s="478"/>
      <c r="BAB22" s="447"/>
      <c r="BAC22" s="26"/>
      <c r="BAD22" s="534" t="s">
        <v>5</v>
      </c>
      <c r="BAE22" s="535"/>
      <c r="BAF22" s="535"/>
      <c r="BAG22" s="536"/>
      <c r="BAH22" s="537">
        <v>869.6</v>
      </c>
      <c r="BAI22" s="538">
        <v>928.6</v>
      </c>
      <c r="BAJ22" s="538">
        <v>1068.9000000000001</v>
      </c>
      <c r="BAK22" s="539">
        <v>869.6</v>
      </c>
      <c r="BAL22" s="27">
        <v>578.68020000000013</v>
      </c>
      <c r="BAM22" s="537">
        <v>884.6</v>
      </c>
      <c r="BAN22" s="538">
        <v>971.9</v>
      </c>
      <c r="BAO22" s="538">
        <v>1108.8</v>
      </c>
      <c r="BAP22" s="539">
        <v>884.6</v>
      </c>
      <c r="BAQ22" s="27">
        <v>779.78279999999995</v>
      </c>
      <c r="BAR22" s="537">
        <v>767.7</v>
      </c>
      <c r="BAS22" s="538">
        <v>834</v>
      </c>
      <c r="BAT22" s="538">
        <v>963.5</v>
      </c>
      <c r="BAU22" s="539">
        <v>767.7</v>
      </c>
      <c r="BAV22" s="27">
        <v>346.8</v>
      </c>
      <c r="BAW22" s="537">
        <v>961</v>
      </c>
      <c r="BAX22" s="538">
        <v>1179.8000000000002</v>
      </c>
      <c r="BAY22" s="538">
        <v>1225.7</v>
      </c>
      <c r="BAZ22" s="539">
        <v>961</v>
      </c>
      <c r="BBA22" s="27">
        <v>789.13000000000011</v>
      </c>
      <c r="BBB22" s="479"/>
      <c r="BBC22" s="447"/>
      <c r="BBD22" s="26"/>
      <c r="BBE22" s="534" t="s">
        <v>5</v>
      </c>
      <c r="BBF22" s="535"/>
      <c r="BBG22" s="535"/>
      <c r="BBH22" s="536"/>
      <c r="BBI22" s="537">
        <v>1036</v>
      </c>
      <c r="BBJ22" s="538">
        <v>1239.5</v>
      </c>
      <c r="BBK22" s="538">
        <v>1284.8</v>
      </c>
      <c r="BBL22" s="539">
        <v>1036</v>
      </c>
      <c r="BBM22" s="27">
        <v>836.98349999999994</v>
      </c>
      <c r="BBN22" s="537">
        <v>943.4</v>
      </c>
      <c r="BBO22" s="538">
        <v>1064.4000000000001</v>
      </c>
      <c r="BBP22" s="538">
        <v>1120.1999999999998</v>
      </c>
      <c r="BBQ22" s="539">
        <v>943.4</v>
      </c>
      <c r="BBR22" s="27">
        <v>826.46830000000011</v>
      </c>
      <c r="BBS22" s="537">
        <v>1019.6</v>
      </c>
      <c r="BBT22" s="538">
        <v>1149.5999999999999</v>
      </c>
      <c r="BBU22" s="538">
        <v>1206.1000000000001</v>
      </c>
      <c r="BBV22" s="539">
        <v>1019.6</v>
      </c>
      <c r="BBW22" s="27">
        <v>881.47110000000021</v>
      </c>
      <c r="BBX22" s="537">
        <v>846.8</v>
      </c>
      <c r="BBY22" s="538">
        <v>936.9</v>
      </c>
      <c r="BBZ22" s="538">
        <v>1062.0999999999999</v>
      </c>
      <c r="BCA22" s="539">
        <v>846.8</v>
      </c>
      <c r="BCB22" s="27">
        <v>727.91080000000011</v>
      </c>
      <c r="BCC22" s="479"/>
      <c r="BCD22" s="447"/>
      <c r="BCE22" s="26"/>
      <c r="BCF22" s="534" t="s">
        <v>5</v>
      </c>
      <c r="BCG22" s="535"/>
      <c r="BCH22" s="535"/>
      <c r="BCI22" s="536"/>
      <c r="BCJ22" s="537">
        <f>728.7+236+19.7</f>
        <v>984.40000000000009</v>
      </c>
      <c r="BCK22" s="538"/>
      <c r="BCL22" s="538"/>
      <c r="BCM22" s="539"/>
      <c r="BCN22" s="27">
        <v>682.12890000000004</v>
      </c>
      <c r="BCO22" s="537">
        <v>1040.2</v>
      </c>
      <c r="BCP22" s="538">
        <v>1178.3</v>
      </c>
      <c r="BCQ22" s="538">
        <v>1233.5999999999999</v>
      </c>
      <c r="BCR22" s="539">
        <v>1040.2</v>
      </c>
      <c r="BCS22" s="27">
        <v>860.95530000000019</v>
      </c>
      <c r="BCT22" s="537">
        <v>897</v>
      </c>
      <c r="BCU22" s="538"/>
      <c r="BCV22" s="538"/>
      <c r="BCW22" s="539"/>
      <c r="BCX22" s="27">
        <v>830.798</v>
      </c>
      <c r="BCY22" s="537">
        <v>1048.7</v>
      </c>
      <c r="BCZ22" s="538">
        <v>1190.5</v>
      </c>
      <c r="BDA22" s="538">
        <v>1245.8</v>
      </c>
      <c r="BDB22" s="539">
        <v>1048.7</v>
      </c>
      <c r="BDC22" s="27">
        <v>884.77590000000009</v>
      </c>
      <c r="BDD22" s="479"/>
      <c r="BDE22" s="447"/>
      <c r="BDF22" s="26"/>
      <c r="BDG22" s="534" t="s">
        <v>5</v>
      </c>
      <c r="BDH22" s="535"/>
      <c r="BDI22" s="535"/>
      <c r="BDJ22" s="536"/>
      <c r="BDK22" s="537">
        <v>1031.1000000000001</v>
      </c>
      <c r="BDL22" s="538">
        <v>1163.5999999999999</v>
      </c>
      <c r="BDM22" s="538">
        <v>1204.4000000000001</v>
      </c>
      <c r="BDN22" s="539">
        <v>1031.1000000000001</v>
      </c>
      <c r="BDO22" s="27">
        <v>889.71140000000003</v>
      </c>
      <c r="BDP22" s="537">
        <v>1043</v>
      </c>
      <c r="BDQ22" s="538">
        <v>1176.9000000000001</v>
      </c>
      <c r="BDR22" s="538">
        <v>1217.3000000000002</v>
      </c>
      <c r="BDS22" s="539">
        <v>1043</v>
      </c>
      <c r="BDT22" s="27">
        <v>895.5924</v>
      </c>
      <c r="BDU22" s="537">
        <v>1068</v>
      </c>
      <c r="BDV22" s="538">
        <v>1126.7</v>
      </c>
      <c r="BDW22" s="538">
        <v>1220.1000000000001</v>
      </c>
      <c r="BDX22" s="539">
        <v>1068</v>
      </c>
      <c r="BDY22" s="27">
        <v>772.79129999999998</v>
      </c>
      <c r="BDZ22" s="537">
        <v>1044.7</v>
      </c>
      <c r="BEA22" s="538">
        <v>1174.5</v>
      </c>
      <c r="BEB22" s="538">
        <v>1215.8</v>
      </c>
      <c r="BEC22" s="539">
        <v>1044.7</v>
      </c>
      <c r="BED22" s="27">
        <v>735.10140000000001</v>
      </c>
      <c r="BEE22" s="479"/>
      <c r="BEF22" s="447"/>
      <c r="BEG22" s="26"/>
      <c r="BEH22" s="534" t="s">
        <v>5</v>
      </c>
      <c r="BEI22" s="535"/>
      <c r="BEJ22" s="535"/>
      <c r="BEK22" s="536"/>
      <c r="BEL22" s="537">
        <v>1044.9000000000001</v>
      </c>
      <c r="BEM22" s="538">
        <v>1171.0999999999999</v>
      </c>
      <c r="BEN22" s="538">
        <v>1221.5</v>
      </c>
      <c r="BEO22" s="539">
        <v>1044.9000000000001</v>
      </c>
      <c r="BEP22" s="27">
        <v>883.83480000000009</v>
      </c>
      <c r="BEQ22" s="537">
        <v>732.30000000000007</v>
      </c>
      <c r="BER22" s="538">
        <v>784.4</v>
      </c>
      <c r="BES22" s="538">
        <v>966.5</v>
      </c>
      <c r="BET22" s="539">
        <v>732.30000000000007</v>
      </c>
      <c r="BEU22" s="27">
        <v>493.40000000000003</v>
      </c>
      <c r="BEV22" s="537">
        <v>1035.8000000000002</v>
      </c>
      <c r="BEW22" s="538">
        <v>1298.9000000000001</v>
      </c>
      <c r="BEX22" s="538">
        <v>1303.8</v>
      </c>
      <c r="BEY22" s="539">
        <v>1035.8000000000002</v>
      </c>
      <c r="BEZ22" s="27">
        <v>922.92610000000013</v>
      </c>
      <c r="BFA22" s="537">
        <v>1043.0999999999999</v>
      </c>
      <c r="BFB22" s="538">
        <v>1280.5</v>
      </c>
      <c r="BFC22" s="538">
        <v>1290.6999999999998</v>
      </c>
      <c r="BFD22" s="539">
        <v>1043.0999999999999</v>
      </c>
      <c r="BFE22" s="27">
        <v>927.05200000000013</v>
      </c>
      <c r="BFF22" s="479"/>
      <c r="BFG22" s="447"/>
      <c r="BFH22" s="26"/>
      <c r="BFI22" s="534" t="s">
        <v>5</v>
      </c>
      <c r="BFJ22" s="535"/>
      <c r="BFK22" s="535"/>
      <c r="BFL22" s="536"/>
      <c r="BFM22" s="537">
        <v>1029.5999999999999</v>
      </c>
      <c r="BFN22" s="538">
        <v>1133.5</v>
      </c>
      <c r="BFO22" s="538">
        <v>1268</v>
      </c>
      <c r="BFP22" s="539">
        <v>1029.5999999999999</v>
      </c>
      <c r="BFQ22" s="27">
        <v>756.76330000000007</v>
      </c>
      <c r="BFR22" s="537">
        <v>793.6</v>
      </c>
      <c r="BFS22" s="538">
        <v>865.5</v>
      </c>
      <c r="BFT22" s="538">
        <v>1007.4</v>
      </c>
      <c r="BFU22" s="539">
        <v>793.6</v>
      </c>
      <c r="BFV22" s="27">
        <v>541.54420000000005</v>
      </c>
      <c r="BFW22" s="537"/>
      <c r="BFX22" s="538"/>
      <c r="BFY22" s="538"/>
      <c r="BFZ22" s="539"/>
      <c r="BGA22" s="27"/>
      <c r="BGB22" s="537"/>
      <c r="BGC22" s="538"/>
      <c r="BGD22" s="538"/>
      <c r="BGE22" s="539"/>
      <c r="BGF22" s="27"/>
    </row>
    <row r="23" spans="1:1540" ht="69" customHeight="1" x14ac:dyDescent="0.4">
      <c r="A23" s="481"/>
      <c r="B23" s="448"/>
      <c r="C23" s="542" t="s">
        <v>17</v>
      </c>
      <c r="D23" s="543"/>
      <c r="E23" s="543"/>
      <c r="F23" s="543"/>
      <c r="G23" s="436" t="s">
        <v>7</v>
      </c>
      <c r="H23" s="501">
        <v>552</v>
      </c>
      <c r="I23" s="502"/>
      <c r="J23" s="502"/>
      <c r="K23" s="503"/>
      <c r="L23" s="343">
        <v>409.90000000000009</v>
      </c>
      <c r="M23" s="501">
        <v>617</v>
      </c>
      <c r="N23" s="502"/>
      <c r="O23" s="502"/>
      <c r="P23" s="503"/>
      <c r="Q23" s="343">
        <v>402.28440000000023</v>
      </c>
      <c r="R23" s="501">
        <v>450</v>
      </c>
      <c r="S23" s="502"/>
      <c r="T23" s="502"/>
      <c r="U23" s="503"/>
      <c r="V23" s="343">
        <v>338.79660000000013</v>
      </c>
      <c r="W23" s="501">
        <v>345</v>
      </c>
      <c r="X23" s="502"/>
      <c r="Y23" s="502"/>
      <c r="Z23" s="503"/>
      <c r="AA23" s="343">
        <v>161.52540000000022</v>
      </c>
      <c r="AB23" s="480"/>
      <c r="AC23" s="448"/>
      <c r="AD23" s="542" t="s">
        <v>17</v>
      </c>
      <c r="AE23" s="543"/>
      <c r="AF23" s="543"/>
      <c r="AG23" s="543"/>
      <c r="AH23" s="436" t="s">
        <v>7</v>
      </c>
      <c r="AI23" s="501">
        <v>218</v>
      </c>
      <c r="AJ23" s="502"/>
      <c r="AK23" s="502"/>
      <c r="AL23" s="503"/>
      <c r="AM23" s="343">
        <v>0.40000000000009095</v>
      </c>
      <c r="AN23" s="501">
        <v>555</v>
      </c>
      <c r="AO23" s="502"/>
      <c r="AP23" s="502"/>
      <c r="AQ23" s="503"/>
      <c r="AR23" s="343">
        <v>572.90000000000009</v>
      </c>
      <c r="AS23" s="501">
        <v>634</v>
      </c>
      <c r="AT23" s="502"/>
      <c r="AU23" s="502"/>
      <c r="AV23" s="503"/>
      <c r="AW23" s="343">
        <f>AW21-AW20</f>
        <v>587</v>
      </c>
      <c r="AX23" s="501">
        <v>448</v>
      </c>
      <c r="AY23" s="502"/>
      <c r="AZ23" s="502"/>
      <c r="BA23" s="503"/>
      <c r="BB23" s="343">
        <v>305.6694</v>
      </c>
      <c r="BC23" s="480"/>
      <c r="BD23" s="448"/>
      <c r="BE23" s="542" t="s">
        <v>17</v>
      </c>
      <c r="BF23" s="543"/>
      <c r="BG23" s="543"/>
      <c r="BH23" s="543"/>
      <c r="BI23" s="436" t="s">
        <v>7</v>
      </c>
      <c r="BJ23" s="501">
        <f>BJ21-BJ20</f>
        <v>477.29999999999995</v>
      </c>
      <c r="BK23" s="502"/>
      <c r="BL23" s="502"/>
      <c r="BM23" s="503"/>
      <c r="BN23" s="343">
        <v>212.73860000000013</v>
      </c>
      <c r="BO23" s="501">
        <v>466</v>
      </c>
      <c r="BP23" s="502"/>
      <c r="BQ23" s="502"/>
      <c r="BR23" s="503"/>
      <c r="BS23" s="343">
        <v>180</v>
      </c>
      <c r="BT23" s="501">
        <v>396</v>
      </c>
      <c r="BU23" s="502"/>
      <c r="BV23" s="502"/>
      <c r="BW23" s="503"/>
      <c r="BX23" s="343">
        <v>341</v>
      </c>
      <c r="BY23" s="501">
        <v>563</v>
      </c>
      <c r="BZ23" s="502"/>
      <c r="CA23" s="502"/>
      <c r="CB23" s="503"/>
      <c r="CC23" s="343">
        <f>CC21-CC20</f>
        <v>462.0999999999998</v>
      </c>
      <c r="CD23" s="480"/>
      <c r="CE23" s="448"/>
      <c r="CF23" s="542" t="s">
        <v>17</v>
      </c>
      <c r="CG23" s="543"/>
      <c r="CH23" s="543"/>
      <c r="CI23" s="543"/>
      <c r="CJ23" s="436" t="s">
        <v>7</v>
      </c>
      <c r="CK23" s="501">
        <f>CK21-CK20</f>
        <v>443.89999999999986</v>
      </c>
      <c r="CL23" s="502"/>
      <c r="CM23" s="502"/>
      <c r="CN23" s="503"/>
      <c r="CO23" s="343">
        <v>386.72260000000006</v>
      </c>
      <c r="CP23" s="501">
        <v>452</v>
      </c>
      <c r="CQ23" s="502"/>
      <c r="CR23" s="502"/>
      <c r="CS23" s="503"/>
      <c r="CT23" s="343">
        <v>285.2782000000002</v>
      </c>
      <c r="CU23" s="501">
        <v>132</v>
      </c>
      <c r="CV23" s="502"/>
      <c r="CW23" s="502"/>
      <c r="CX23" s="503"/>
      <c r="CY23" s="343">
        <v>0.40000000000009095</v>
      </c>
      <c r="CZ23" s="501">
        <v>385</v>
      </c>
      <c r="DA23" s="502"/>
      <c r="DB23" s="502"/>
      <c r="DC23" s="503"/>
      <c r="DD23" s="343">
        <v>219.18260000000009</v>
      </c>
      <c r="DE23" s="480"/>
      <c r="DF23" s="448"/>
      <c r="DG23" s="542" t="s">
        <v>17</v>
      </c>
      <c r="DH23" s="543"/>
      <c r="DI23" s="543"/>
      <c r="DJ23" s="543"/>
      <c r="DK23" s="436" t="s">
        <v>7</v>
      </c>
      <c r="DL23" s="501">
        <v>244</v>
      </c>
      <c r="DM23" s="502"/>
      <c r="DN23" s="502"/>
      <c r="DO23" s="503"/>
      <c r="DP23" s="343">
        <v>0.40000000000009095</v>
      </c>
      <c r="DQ23" s="501">
        <v>529</v>
      </c>
      <c r="DR23" s="502"/>
      <c r="DS23" s="502"/>
      <c r="DT23" s="503"/>
      <c r="DU23" s="343">
        <v>495</v>
      </c>
      <c r="DV23" s="501">
        <v>599</v>
      </c>
      <c r="DW23" s="502"/>
      <c r="DX23" s="502"/>
      <c r="DY23" s="503"/>
      <c r="DZ23" s="343">
        <v>504.64419999999996</v>
      </c>
      <c r="EA23" s="501">
        <f>EA21-EA20</f>
        <v>561.19999999999982</v>
      </c>
      <c r="EB23" s="502"/>
      <c r="EC23" s="502"/>
      <c r="ED23" s="503"/>
      <c r="EE23" s="343">
        <v>536</v>
      </c>
      <c r="EF23" s="480"/>
      <c r="EG23" s="448"/>
      <c r="EH23" s="542" t="s">
        <v>17</v>
      </c>
      <c r="EI23" s="543"/>
      <c r="EJ23" s="543"/>
      <c r="EK23" s="543"/>
      <c r="EL23" s="436" t="s">
        <v>7</v>
      </c>
      <c r="EM23" s="501">
        <v>542</v>
      </c>
      <c r="EN23" s="502"/>
      <c r="EO23" s="502"/>
      <c r="EP23" s="503"/>
      <c r="EQ23" s="343">
        <v>420.29649999999992</v>
      </c>
      <c r="ER23" s="501">
        <v>593</v>
      </c>
      <c r="ES23" s="502"/>
      <c r="ET23" s="502"/>
      <c r="EU23" s="503"/>
      <c r="EV23" s="343">
        <v>413.3764000000001</v>
      </c>
      <c r="EW23" s="501">
        <v>70</v>
      </c>
      <c r="EX23" s="502"/>
      <c r="EY23" s="502"/>
      <c r="EZ23" s="503"/>
      <c r="FA23" s="343">
        <v>-0.39999999999997726</v>
      </c>
      <c r="FB23" s="501">
        <v>531</v>
      </c>
      <c r="FC23" s="502"/>
      <c r="FD23" s="502"/>
      <c r="FE23" s="503"/>
      <c r="FF23" s="343">
        <v>336.6251000000002</v>
      </c>
      <c r="FG23" s="480"/>
      <c r="FH23" s="448"/>
      <c r="FI23" s="542" t="s">
        <v>17</v>
      </c>
      <c r="FJ23" s="543"/>
      <c r="FK23" s="543"/>
      <c r="FL23" s="543"/>
      <c r="FM23" s="436" t="s">
        <v>7</v>
      </c>
      <c r="FN23" s="501">
        <v>616</v>
      </c>
      <c r="FO23" s="502"/>
      <c r="FP23" s="502"/>
      <c r="FQ23" s="503"/>
      <c r="FR23" s="343">
        <v>560.56649999999991</v>
      </c>
      <c r="FS23" s="501">
        <v>541</v>
      </c>
      <c r="FT23" s="502"/>
      <c r="FU23" s="502"/>
      <c r="FV23" s="503"/>
      <c r="FW23" s="343">
        <v>513</v>
      </c>
      <c r="FX23" s="501">
        <v>709</v>
      </c>
      <c r="FY23" s="502"/>
      <c r="FZ23" s="502"/>
      <c r="GA23" s="503"/>
      <c r="GB23" s="343">
        <v>570.42270000000008</v>
      </c>
      <c r="GC23" s="501">
        <v>421</v>
      </c>
      <c r="GD23" s="502"/>
      <c r="GE23" s="502"/>
      <c r="GF23" s="503"/>
      <c r="GG23" s="343">
        <f>GG21-GG20</f>
        <v>115</v>
      </c>
      <c r="GH23" s="480"/>
      <c r="GI23" s="448"/>
      <c r="GJ23" s="542" t="s">
        <v>17</v>
      </c>
      <c r="GK23" s="543"/>
      <c r="GL23" s="543"/>
      <c r="GM23" s="543"/>
      <c r="GN23" s="436" t="s">
        <v>7</v>
      </c>
      <c r="GO23" s="501">
        <v>349</v>
      </c>
      <c r="GP23" s="502"/>
      <c r="GQ23" s="502"/>
      <c r="GR23" s="503"/>
      <c r="GS23" s="343">
        <v>250.69599999999991</v>
      </c>
      <c r="GT23" s="501">
        <v>575</v>
      </c>
      <c r="GU23" s="502"/>
      <c r="GV23" s="502"/>
      <c r="GW23" s="503"/>
      <c r="GX23" s="343">
        <f>GX21-GX20</f>
        <v>488</v>
      </c>
      <c r="GY23" s="501">
        <f>GY21-GY20</f>
        <v>526.09999999999991</v>
      </c>
      <c r="GZ23" s="502"/>
      <c r="HA23" s="502"/>
      <c r="HB23" s="503"/>
      <c r="HC23" s="343">
        <v>563.66100000000006</v>
      </c>
      <c r="HD23" s="501">
        <v>514</v>
      </c>
      <c r="HE23" s="502"/>
      <c r="HF23" s="502"/>
      <c r="HG23" s="503"/>
      <c r="HH23" s="343">
        <v>470.88380000000006</v>
      </c>
      <c r="HI23" s="480"/>
      <c r="HJ23" s="448"/>
      <c r="HK23" s="542" t="s">
        <v>17</v>
      </c>
      <c r="HL23" s="543"/>
      <c r="HM23" s="543"/>
      <c r="HN23" s="543"/>
      <c r="HO23" s="436" t="s">
        <v>7</v>
      </c>
      <c r="HP23" s="501">
        <f>HP21-HP20</f>
        <v>525.90000000000009</v>
      </c>
      <c r="HQ23" s="502"/>
      <c r="HR23" s="502"/>
      <c r="HS23" s="503"/>
      <c r="HT23" s="343">
        <v>398.94140000000016</v>
      </c>
      <c r="HU23" s="501">
        <v>493</v>
      </c>
      <c r="HV23" s="502"/>
      <c r="HW23" s="502"/>
      <c r="HX23" s="503"/>
      <c r="HY23" s="343">
        <v>317.52680000000009</v>
      </c>
      <c r="HZ23" s="501">
        <v>612</v>
      </c>
      <c r="IA23" s="502"/>
      <c r="IB23" s="502"/>
      <c r="IC23" s="503"/>
      <c r="ID23" s="343">
        <v>463.99389999999994</v>
      </c>
      <c r="IE23" s="501">
        <v>420</v>
      </c>
      <c r="IF23" s="502"/>
      <c r="IG23" s="502"/>
      <c r="IH23" s="503"/>
      <c r="II23" s="343">
        <v>345</v>
      </c>
      <c r="IJ23" s="481"/>
      <c r="IK23" s="448"/>
      <c r="IL23" s="542" t="s">
        <v>17</v>
      </c>
      <c r="IM23" s="543"/>
      <c r="IN23" s="543"/>
      <c r="IO23" s="543"/>
      <c r="IP23" s="436" t="s">
        <v>7</v>
      </c>
      <c r="IQ23" s="501">
        <v>341</v>
      </c>
      <c r="IR23" s="502"/>
      <c r="IS23" s="502"/>
      <c r="IT23" s="503"/>
      <c r="IU23" s="343">
        <f>IU21-IU20</f>
        <v>284.79999999999995</v>
      </c>
      <c r="IV23" s="501">
        <v>339</v>
      </c>
      <c r="IW23" s="502"/>
      <c r="IX23" s="502"/>
      <c r="IY23" s="503"/>
      <c r="IZ23" s="343">
        <v>206.63080000000014</v>
      </c>
      <c r="JA23" s="501">
        <v>95</v>
      </c>
      <c r="JB23" s="502"/>
      <c r="JC23" s="502"/>
      <c r="JD23" s="503"/>
      <c r="JE23" s="343">
        <v>-9.9999999999909051E-2</v>
      </c>
      <c r="JF23" s="501">
        <v>506</v>
      </c>
      <c r="JG23" s="502"/>
      <c r="JH23" s="502"/>
      <c r="JI23" s="503"/>
      <c r="JJ23" s="343">
        <v>228.71360000000004</v>
      </c>
      <c r="JK23" s="480"/>
      <c r="JL23" s="448"/>
      <c r="JM23" s="542" t="s">
        <v>17</v>
      </c>
      <c r="JN23" s="543"/>
      <c r="JO23" s="543"/>
      <c r="JP23" s="543"/>
      <c r="JQ23" s="436" t="s">
        <v>7</v>
      </c>
      <c r="JR23" s="501">
        <v>517</v>
      </c>
      <c r="JS23" s="502"/>
      <c r="JT23" s="502"/>
      <c r="JU23" s="503"/>
      <c r="JV23" s="343">
        <v>400</v>
      </c>
      <c r="JW23" s="501">
        <v>271</v>
      </c>
      <c r="JX23" s="502"/>
      <c r="JY23" s="502"/>
      <c r="JZ23" s="503"/>
      <c r="KA23" s="343">
        <v>140.08960000000025</v>
      </c>
      <c r="KB23" s="501">
        <f>KB21-KB20</f>
        <v>361.29999999999995</v>
      </c>
      <c r="KC23" s="502"/>
      <c r="KD23" s="502"/>
      <c r="KE23" s="503"/>
      <c r="KF23" s="343">
        <v>231.13940000000002</v>
      </c>
      <c r="KG23" s="501">
        <v>387</v>
      </c>
      <c r="KH23" s="502"/>
      <c r="KI23" s="502"/>
      <c r="KJ23" s="503"/>
      <c r="KK23" s="343">
        <v>340</v>
      </c>
      <c r="KL23" s="480"/>
      <c r="KM23" s="448"/>
      <c r="KN23" s="542" t="s">
        <v>17</v>
      </c>
      <c r="KO23" s="543"/>
      <c r="KP23" s="543"/>
      <c r="KQ23" s="543"/>
      <c r="KR23" s="436" t="s">
        <v>7</v>
      </c>
      <c r="KS23" s="501">
        <v>317</v>
      </c>
      <c r="KT23" s="502"/>
      <c r="KU23" s="502"/>
      <c r="KV23" s="503"/>
      <c r="KW23" s="343">
        <v>115.02040000000011</v>
      </c>
      <c r="KX23" s="501">
        <v>293</v>
      </c>
      <c r="KY23" s="502"/>
      <c r="KZ23" s="502"/>
      <c r="LA23" s="503"/>
      <c r="LB23" s="343">
        <v>93.123199999999997</v>
      </c>
      <c r="LC23" s="501">
        <v>390</v>
      </c>
      <c r="LD23" s="502"/>
      <c r="LE23" s="502"/>
      <c r="LF23" s="503"/>
      <c r="LG23" s="343">
        <v>212.24380000000019</v>
      </c>
      <c r="LH23" s="501">
        <v>320</v>
      </c>
      <c r="LI23" s="502"/>
      <c r="LJ23" s="502"/>
      <c r="LK23" s="503"/>
      <c r="LL23" s="343">
        <v>76.347400000000107</v>
      </c>
      <c r="LM23" s="480"/>
      <c r="LN23" s="448"/>
      <c r="LO23" s="542" t="s">
        <v>17</v>
      </c>
      <c r="LP23" s="543"/>
      <c r="LQ23" s="543"/>
      <c r="LR23" s="543"/>
      <c r="LS23" s="436" t="s">
        <v>7</v>
      </c>
      <c r="LT23" s="501">
        <v>8</v>
      </c>
      <c r="LU23" s="502"/>
      <c r="LV23" s="502"/>
      <c r="LW23" s="503"/>
      <c r="LX23" s="343">
        <v>-0.1999999999998181</v>
      </c>
      <c r="LY23" s="501">
        <v>136</v>
      </c>
      <c r="LZ23" s="502"/>
      <c r="MA23" s="502"/>
      <c r="MB23" s="503"/>
      <c r="MC23" s="343">
        <v>57.62740000000008</v>
      </c>
      <c r="MD23" s="501">
        <v>51</v>
      </c>
      <c r="ME23" s="502"/>
      <c r="MF23" s="502"/>
      <c r="MG23" s="503"/>
      <c r="MH23" s="343">
        <v>-0.1999999999998181</v>
      </c>
      <c r="MI23" s="501">
        <v>537</v>
      </c>
      <c r="MJ23" s="502"/>
      <c r="MK23" s="502"/>
      <c r="ML23" s="503"/>
      <c r="MM23" s="343">
        <v>382.05169999999998</v>
      </c>
      <c r="MN23" s="480"/>
      <c r="MO23" s="448"/>
      <c r="MP23" s="542" t="s">
        <v>17</v>
      </c>
      <c r="MQ23" s="543"/>
      <c r="MR23" s="543"/>
      <c r="MS23" s="543"/>
      <c r="MT23" s="436" t="s">
        <v>7</v>
      </c>
      <c r="MU23" s="501">
        <v>543</v>
      </c>
      <c r="MV23" s="502"/>
      <c r="MW23" s="502"/>
      <c r="MX23" s="503"/>
      <c r="MY23" s="343">
        <v>352</v>
      </c>
      <c r="MZ23" s="501">
        <v>4</v>
      </c>
      <c r="NA23" s="502"/>
      <c r="NB23" s="502"/>
      <c r="NC23" s="503"/>
      <c r="ND23" s="343">
        <v>-0.37090000000011969</v>
      </c>
      <c r="NE23" s="501">
        <f>NE21-NE20</f>
        <v>293.5</v>
      </c>
      <c r="NF23" s="502"/>
      <c r="NG23" s="502"/>
      <c r="NH23" s="503"/>
      <c r="NI23" s="343">
        <v>151.56660000000011</v>
      </c>
      <c r="NJ23" s="501">
        <v>333</v>
      </c>
      <c r="NK23" s="502"/>
      <c r="NL23" s="502"/>
      <c r="NM23" s="503"/>
      <c r="NN23" s="343">
        <v>75.863600000000133</v>
      </c>
      <c r="NO23" s="480"/>
      <c r="NP23" s="448"/>
      <c r="NQ23" s="542" t="s">
        <v>17</v>
      </c>
      <c r="NR23" s="543"/>
      <c r="NS23" s="543"/>
      <c r="NT23" s="543"/>
      <c r="NU23" s="436" t="s">
        <v>7</v>
      </c>
      <c r="NV23" s="501">
        <v>142</v>
      </c>
      <c r="NW23" s="502"/>
      <c r="NX23" s="502"/>
      <c r="NY23" s="503"/>
      <c r="NZ23" s="343">
        <v>-0.39999999999986358</v>
      </c>
      <c r="OA23" s="501">
        <v>345</v>
      </c>
      <c r="OB23" s="502"/>
      <c r="OC23" s="502"/>
      <c r="OD23" s="503"/>
      <c r="OE23" s="343">
        <v>48.459800000000087</v>
      </c>
      <c r="OF23" s="501">
        <v>230</v>
      </c>
      <c r="OG23" s="502"/>
      <c r="OH23" s="502"/>
      <c r="OI23" s="503"/>
      <c r="OJ23" s="343">
        <v>0.40000000000009095</v>
      </c>
      <c r="OK23" s="501">
        <v>134</v>
      </c>
      <c r="OL23" s="502"/>
      <c r="OM23" s="502"/>
      <c r="ON23" s="503"/>
      <c r="OO23" s="343">
        <v>-0.39999999999986358</v>
      </c>
      <c r="OP23" s="480"/>
      <c r="OQ23" s="448"/>
      <c r="OR23" s="542" t="s">
        <v>17</v>
      </c>
      <c r="OS23" s="543"/>
      <c r="OT23" s="543"/>
      <c r="OU23" s="543"/>
      <c r="OV23" s="436" t="s">
        <v>7</v>
      </c>
      <c r="OW23" s="501">
        <v>148</v>
      </c>
      <c r="OX23" s="502"/>
      <c r="OY23" s="502"/>
      <c r="OZ23" s="503"/>
      <c r="PA23" s="343">
        <v>0</v>
      </c>
      <c r="PB23" s="501">
        <v>301</v>
      </c>
      <c r="PC23" s="502"/>
      <c r="PD23" s="502"/>
      <c r="PE23" s="503"/>
      <c r="PF23" s="343">
        <v>110.5916000000002</v>
      </c>
      <c r="PG23" s="501">
        <v>187</v>
      </c>
      <c r="PH23" s="502"/>
      <c r="PI23" s="502"/>
      <c r="PJ23" s="503"/>
      <c r="PK23" s="343">
        <v>47.966000000000122</v>
      </c>
      <c r="PL23" s="501">
        <v>330</v>
      </c>
      <c r="PM23" s="502"/>
      <c r="PN23" s="502"/>
      <c r="PO23" s="503"/>
      <c r="PP23" s="343">
        <v>88.541799999999967</v>
      </c>
      <c r="PQ23" s="480"/>
      <c r="PR23" s="448"/>
      <c r="PS23" s="542" t="s">
        <v>17</v>
      </c>
      <c r="PT23" s="543"/>
      <c r="PU23" s="543"/>
      <c r="PV23" s="543"/>
      <c r="PW23" s="436" t="s">
        <v>7</v>
      </c>
      <c r="PX23" s="501">
        <v>215</v>
      </c>
      <c r="PY23" s="502"/>
      <c r="PZ23" s="502"/>
      <c r="QA23" s="503"/>
      <c r="QB23" s="343">
        <v>-0.19999999999993179</v>
      </c>
      <c r="QC23" s="501">
        <v>186</v>
      </c>
      <c r="QD23" s="502"/>
      <c r="QE23" s="502"/>
      <c r="QF23" s="503"/>
      <c r="QG23" s="343">
        <v>13.625400000000127</v>
      </c>
      <c r="QH23" s="501">
        <v>163</v>
      </c>
      <c r="QI23" s="502"/>
      <c r="QJ23" s="502"/>
      <c r="QK23" s="503"/>
      <c r="QL23" s="343">
        <v>0.47000000000025466</v>
      </c>
      <c r="QM23" s="501">
        <v>213</v>
      </c>
      <c r="QN23" s="502"/>
      <c r="QO23" s="502"/>
      <c r="QP23" s="503"/>
      <c r="QQ23" s="343">
        <v>0</v>
      </c>
      <c r="QR23" s="480"/>
      <c r="QS23" s="448"/>
      <c r="QT23" s="542" t="s">
        <v>17</v>
      </c>
      <c r="QU23" s="543"/>
      <c r="QV23" s="543"/>
      <c r="QW23" s="543"/>
      <c r="QX23" s="436" t="s">
        <v>7</v>
      </c>
      <c r="QY23" s="501">
        <v>76</v>
      </c>
      <c r="QZ23" s="502"/>
      <c r="RA23" s="502"/>
      <c r="RB23" s="503"/>
      <c r="RC23" s="343">
        <v>-0.1999999999998181</v>
      </c>
      <c r="RD23" s="501">
        <v>97</v>
      </c>
      <c r="RE23" s="502"/>
      <c r="RF23" s="502"/>
      <c r="RG23" s="503"/>
      <c r="RH23" s="343">
        <v>0.11000000000012733</v>
      </c>
      <c r="RI23" s="501">
        <v>1</v>
      </c>
      <c r="RJ23" s="502"/>
      <c r="RK23" s="502"/>
      <c r="RL23" s="503"/>
      <c r="RM23" s="343">
        <v>-0.45999999999980901</v>
      </c>
      <c r="RN23" s="501">
        <v>128</v>
      </c>
      <c r="RO23" s="502"/>
      <c r="RP23" s="502"/>
      <c r="RQ23" s="503"/>
      <c r="RR23" s="343">
        <v>-0.45999999999980901</v>
      </c>
      <c r="RS23" s="480"/>
      <c r="RT23" s="448"/>
      <c r="RU23" s="542" t="s">
        <v>17</v>
      </c>
      <c r="RV23" s="543"/>
      <c r="RW23" s="543"/>
      <c r="RX23" s="543"/>
      <c r="RY23" s="436" t="s">
        <v>7</v>
      </c>
      <c r="RZ23" s="501">
        <v>48</v>
      </c>
      <c r="SA23" s="502"/>
      <c r="SB23" s="502"/>
      <c r="SC23" s="503"/>
      <c r="SD23" s="343">
        <v>-0.1999999999998181</v>
      </c>
      <c r="SE23" s="501">
        <v>316</v>
      </c>
      <c r="SF23" s="502"/>
      <c r="SG23" s="502"/>
      <c r="SH23" s="503"/>
      <c r="SI23" s="343">
        <v>0.40000000000009095</v>
      </c>
      <c r="SJ23" s="501">
        <v>67</v>
      </c>
      <c r="SK23" s="502"/>
      <c r="SL23" s="502"/>
      <c r="SM23" s="503"/>
      <c r="SN23" s="343">
        <v>0</v>
      </c>
      <c r="SO23" s="501">
        <v>88</v>
      </c>
      <c r="SP23" s="502"/>
      <c r="SQ23" s="502"/>
      <c r="SR23" s="503"/>
      <c r="SS23" s="343">
        <v>0</v>
      </c>
      <c r="ST23" s="480"/>
      <c r="SU23" s="448"/>
      <c r="SV23" s="542" t="s">
        <v>17</v>
      </c>
      <c r="SW23" s="543"/>
      <c r="SX23" s="543"/>
      <c r="SY23" s="543"/>
      <c r="SZ23" s="436" t="s">
        <v>7</v>
      </c>
      <c r="TA23" s="501">
        <v>60</v>
      </c>
      <c r="TB23" s="502"/>
      <c r="TC23" s="502"/>
      <c r="TD23" s="503"/>
      <c r="TE23" s="343">
        <v>0.20000000000004547</v>
      </c>
      <c r="TF23" s="501">
        <v>95</v>
      </c>
      <c r="TG23" s="502"/>
      <c r="TH23" s="502"/>
      <c r="TI23" s="503"/>
      <c r="TJ23" s="343">
        <v>0</v>
      </c>
      <c r="TK23" s="501">
        <v>140</v>
      </c>
      <c r="TL23" s="502"/>
      <c r="TM23" s="502"/>
      <c r="TN23" s="503"/>
      <c r="TO23" s="343">
        <v>0</v>
      </c>
      <c r="TP23" s="501">
        <v>88</v>
      </c>
      <c r="TQ23" s="502"/>
      <c r="TR23" s="502"/>
      <c r="TS23" s="503"/>
      <c r="TT23" s="343">
        <v>0.40000000000009095</v>
      </c>
      <c r="TU23" s="480"/>
      <c r="TV23" s="448"/>
      <c r="TW23" s="542" t="s">
        <v>17</v>
      </c>
      <c r="TX23" s="543"/>
      <c r="TY23" s="543"/>
      <c r="TZ23" s="543"/>
      <c r="UA23" s="436" t="s">
        <v>7</v>
      </c>
      <c r="UB23" s="501">
        <v>43</v>
      </c>
      <c r="UC23" s="502"/>
      <c r="UD23" s="502"/>
      <c r="UE23" s="503"/>
      <c r="UF23" s="343">
        <v>-0.39999999999986358</v>
      </c>
      <c r="UG23" s="501">
        <f>UG21-UG20</f>
        <v>121.99999999999977</v>
      </c>
      <c r="UH23" s="502"/>
      <c r="UI23" s="502"/>
      <c r="UJ23" s="503"/>
      <c r="UK23" s="343">
        <v>-0.39999999999986358</v>
      </c>
      <c r="UL23" s="501">
        <v>157</v>
      </c>
      <c r="UM23" s="502"/>
      <c r="UN23" s="502"/>
      <c r="UO23" s="503"/>
      <c r="UP23" s="343">
        <v>-0.39999999999986358</v>
      </c>
      <c r="UQ23" s="501">
        <v>225</v>
      </c>
      <c r="UR23" s="502"/>
      <c r="US23" s="502"/>
      <c r="UT23" s="503"/>
      <c r="UU23" s="343">
        <v>131.93820000000005</v>
      </c>
      <c r="UV23" s="480"/>
      <c r="UW23" s="448"/>
      <c r="UX23" s="542" t="s">
        <v>17</v>
      </c>
      <c r="UY23" s="543"/>
      <c r="UZ23" s="543"/>
      <c r="VA23" s="543"/>
      <c r="VB23" s="436" t="s">
        <v>7</v>
      </c>
      <c r="VC23" s="501">
        <v>214</v>
      </c>
      <c r="VD23" s="502"/>
      <c r="VE23" s="502"/>
      <c r="VF23" s="503"/>
      <c r="VG23" s="343">
        <v>0.40000000000009095</v>
      </c>
      <c r="VH23" s="501">
        <v>204</v>
      </c>
      <c r="VI23" s="502"/>
      <c r="VJ23" s="502"/>
      <c r="VK23" s="503"/>
      <c r="VL23" s="343">
        <v>-0.39999999999986358</v>
      </c>
      <c r="VM23" s="501">
        <v>103</v>
      </c>
      <c r="VN23" s="502"/>
      <c r="VO23" s="502"/>
      <c r="VP23" s="503"/>
      <c r="VQ23" s="343">
        <v>-0.1999999999998181</v>
      </c>
      <c r="VR23" s="501">
        <v>41</v>
      </c>
      <c r="VS23" s="502"/>
      <c r="VT23" s="502"/>
      <c r="VU23" s="503"/>
      <c r="VV23" s="343">
        <v>0.20000000000004547</v>
      </c>
      <c r="VW23" s="480"/>
      <c r="VX23" s="448"/>
      <c r="VY23" s="542" t="s">
        <v>17</v>
      </c>
      <c r="VZ23" s="543"/>
      <c r="WA23" s="543"/>
      <c r="WB23" s="543"/>
      <c r="WC23" s="436" t="s">
        <v>7</v>
      </c>
      <c r="WD23" s="501">
        <v>201</v>
      </c>
      <c r="WE23" s="502"/>
      <c r="WF23" s="502"/>
      <c r="WG23" s="503"/>
      <c r="WH23" s="343">
        <v>-0.1999999999998181</v>
      </c>
      <c r="WI23" s="501">
        <v>27</v>
      </c>
      <c r="WJ23" s="502"/>
      <c r="WK23" s="502"/>
      <c r="WL23" s="503"/>
      <c r="WM23" s="343">
        <f>WM21-WM20</f>
        <v>0</v>
      </c>
      <c r="WN23" s="501">
        <f>WN21-WN20</f>
        <v>193.70000000000005</v>
      </c>
      <c r="WO23" s="502"/>
      <c r="WP23" s="502"/>
      <c r="WQ23" s="503"/>
      <c r="WR23" s="343">
        <f>WR21-WR20</f>
        <v>0</v>
      </c>
      <c r="WS23" s="501">
        <v>245</v>
      </c>
      <c r="WT23" s="502"/>
      <c r="WU23" s="502"/>
      <c r="WV23" s="503"/>
      <c r="WW23" s="343">
        <v>73.232200000000148</v>
      </c>
      <c r="WX23" s="480"/>
      <c r="WY23" s="448"/>
      <c r="WZ23" s="542" t="s">
        <v>17</v>
      </c>
      <c r="XA23" s="543"/>
      <c r="XB23" s="543"/>
      <c r="XC23" s="543"/>
      <c r="XD23" s="436" t="s">
        <v>7</v>
      </c>
      <c r="XE23" s="501">
        <v>86</v>
      </c>
      <c r="XF23" s="502"/>
      <c r="XG23" s="502"/>
      <c r="XH23" s="503"/>
      <c r="XI23" s="343">
        <f>XI21-XI20</f>
        <v>0.10000000000013642</v>
      </c>
      <c r="XJ23" s="501">
        <f>XJ21-XJ20</f>
        <v>30.799999999999955</v>
      </c>
      <c r="XK23" s="502"/>
      <c r="XL23" s="502"/>
      <c r="XM23" s="503"/>
      <c r="XN23" s="343">
        <v>-0.39999999999986358</v>
      </c>
      <c r="XO23" s="501">
        <v>180</v>
      </c>
      <c r="XP23" s="502"/>
      <c r="XQ23" s="502"/>
      <c r="XR23" s="503"/>
      <c r="XS23" s="343">
        <v>16.526600000000144</v>
      </c>
      <c r="XT23" s="501">
        <v>162</v>
      </c>
      <c r="XU23" s="502"/>
      <c r="XV23" s="502"/>
      <c r="XW23" s="503"/>
      <c r="XX23" s="343">
        <v>63.636000000000195</v>
      </c>
      <c r="XY23" s="480"/>
      <c r="XZ23" s="448"/>
      <c r="YA23" s="542" t="s">
        <v>17</v>
      </c>
      <c r="YB23" s="543"/>
      <c r="YC23" s="543"/>
      <c r="YD23" s="543"/>
      <c r="YE23" s="436" t="s">
        <v>7</v>
      </c>
      <c r="YF23" s="501">
        <v>101</v>
      </c>
      <c r="YG23" s="502"/>
      <c r="YH23" s="502"/>
      <c r="YI23" s="503"/>
      <c r="YJ23" s="343">
        <v>0</v>
      </c>
      <c r="YK23" s="501">
        <v>164</v>
      </c>
      <c r="YL23" s="502"/>
      <c r="YM23" s="502"/>
      <c r="YN23" s="503"/>
      <c r="YO23" s="343">
        <v>0</v>
      </c>
      <c r="YP23" s="501">
        <v>104</v>
      </c>
      <c r="YQ23" s="502"/>
      <c r="YR23" s="502"/>
      <c r="YS23" s="503"/>
      <c r="YT23" s="343">
        <v>25.86180000000013</v>
      </c>
      <c r="YU23" s="501">
        <v>359</v>
      </c>
      <c r="YV23" s="502"/>
      <c r="YW23" s="502"/>
      <c r="YX23" s="503"/>
      <c r="YY23" s="343">
        <v>318.80760000000009</v>
      </c>
      <c r="YZ23" s="480"/>
      <c r="ZA23" s="448"/>
      <c r="ZB23" s="542" t="s">
        <v>17</v>
      </c>
      <c r="ZC23" s="543"/>
      <c r="ZD23" s="543"/>
      <c r="ZE23" s="543"/>
      <c r="ZF23" s="436" t="s">
        <v>7</v>
      </c>
      <c r="ZG23" s="501">
        <v>47</v>
      </c>
      <c r="ZH23" s="502"/>
      <c r="ZI23" s="502"/>
      <c r="ZJ23" s="503"/>
      <c r="ZK23" s="343">
        <v>-0.1999999999998181</v>
      </c>
      <c r="ZL23" s="501">
        <v>26</v>
      </c>
      <c r="ZM23" s="502"/>
      <c r="ZN23" s="502"/>
      <c r="ZO23" s="503"/>
      <c r="ZP23" s="343">
        <v>0.20000000000004547</v>
      </c>
      <c r="ZQ23" s="546">
        <v>189</v>
      </c>
      <c r="ZR23" s="547"/>
      <c r="ZS23" s="547"/>
      <c r="ZT23" s="548"/>
      <c r="ZU23" s="343">
        <v>13.414400000000114</v>
      </c>
      <c r="ZV23" s="501">
        <v>414</v>
      </c>
      <c r="ZW23" s="502"/>
      <c r="ZX23" s="502"/>
      <c r="ZY23" s="503"/>
      <c r="ZZ23" s="343">
        <v>78.673000000000002</v>
      </c>
      <c r="AAA23" s="480"/>
      <c r="AAB23" s="448"/>
      <c r="AAC23" s="542" t="s">
        <v>17</v>
      </c>
      <c r="AAD23" s="543"/>
      <c r="AAE23" s="543"/>
      <c r="AAF23" s="543"/>
      <c r="AAG23" s="436" t="s">
        <v>7</v>
      </c>
      <c r="AAH23" s="501">
        <v>190</v>
      </c>
      <c r="AAI23" s="502"/>
      <c r="AAJ23" s="502"/>
      <c r="AAK23" s="503"/>
      <c r="AAL23" s="343">
        <v>133.69999999999982</v>
      </c>
      <c r="AAM23" s="501">
        <v>65</v>
      </c>
      <c r="AAN23" s="502"/>
      <c r="AAO23" s="502"/>
      <c r="AAP23" s="503"/>
      <c r="AAQ23" s="343">
        <v>-0.1999999999998181</v>
      </c>
      <c r="AAR23" s="501">
        <v>155</v>
      </c>
      <c r="AAS23" s="502"/>
      <c r="AAT23" s="502"/>
      <c r="AAU23" s="503"/>
      <c r="AAV23" s="343">
        <v>0.20000000000004547</v>
      </c>
      <c r="AAW23" s="501">
        <v>265</v>
      </c>
      <c r="AAX23" s="502"/>
      <c r="AAY23" s="502"/>
      <c r="AAZ23" s="503"/>
      <c r="ABA23" s="343">
        <v>0.20000000000004547</v>
      </c>
      <c r="ABB23" s="480"/>
      <c r="ABC23" s="448"/>
      <c r="ABD23" s="542" t="s">
        <v>17</v>
      </c>
      <c r="ABE23" s="543"/>
      <c r="ABF23" s="543"/>
      <c r="ABG23" s="543"/>
      <c r="ABH23" s="436" t="s">
        <v>7</v>
      </c>
      <c r="ABI23" s="501">
        <f>ABI21-ABI20</f>
        <v>324.39999999999986</v>
      </c>
      <c r="ABJ23" s="502"/>
      <c r="ABK23" s="502"/>
      <c r="ABL23" s="503"/>
      <c r="ABM23" s="343">
        <v>252.63120000000004</v>
      </c>
      <c r="ABN23" s="501">
        <v>107</v>
      </c>
      <c r="ABO23" s="502"/>
      <c r="ABP23" s="502"/>
      <c r="ABQ23" s="503"/>
      <c r="ABR23" s="343">
        <v>44.171800000000076</v>
      </c>
      <c r="ABS23" s="501">
        <v>307</v>
      </c>
      <c r="ABT23" s="502"/>
      <c r="ABU23" s="502"/>
      <c r="ABV23" s="503"/>
      <c r="ABW23" s="343">
        <v>-0.39999999999986358</v>
      </c>
      <c r="ABX23" s="501">
        <v>282</v>
      </c>
      <c r="ABY23" s="502"/>
      <c r="ABZ23" s="502"/>
      <c r="ACA23" s="503"/>
      <c r="ACB23" s="343">
        <f>ACB21-ACB20</f>
        <v>144.69999999999982</v>
      </c>
      <c r="ACC23" s="480"/>
      <c r="ACD23" s="448"/>
      <c r="ACE23" s="542" t="s">
        <v>17</v>
      </c>
      <c r="ACF23" s="543"/>
      <c r="ACG23" s="543"/>
      <c r="ACH23" s="543"/>
      <c r="ACI23" s="436" t="s">
        <v>7</v>
      </c>
      <c r="ACJ23" s="501">
        <v>285</v>
      </c>
      <c r="ACK23" s="502"/>
      <c r="ACL23" s="502"/>
      <c r="ACM23" s="503"/>
      <c r="ACN23" s="343">
        <v>143.18339999999989</v>
      </c>
      <c r="ACO23" s="501">
        <v>291</v>
      </c>
      <c r="ACP23" s="502"/>
      <c r="ACQ23" s="502"/>
      <c r="ACR23" s="503"/>
      <c r="ACS23" s="343">
        <v>184.57069999999999</v>
      </c>
      <c r="ACT23" s="501">
        <v>288</v>
      </c>
      <c r="ACU23" s="502"/>
      <c r="ACV23" s="502"/>
      <c r="ACW23" s="503"/>
      <c r="ACX23" s="343">
        <f>ACX21-ACX20</f>
        <v>27.100000000000136</v>
      </c>
      <c r="ACY23" s="501">
        <v>9</v>
      </c>
      <c r="ACZ23" s="502"/>
      <c r="ADA23" s="502"/>
      <c r="ADB23" s="503"/>
      <c r="ADC23" s="343">
        <f>ADC21-ADC20</f>
        <v>0</v>
      </c>
      <c r="ADD23" s="480"/>
      <c r="ADE23" s="448"/>
      <c r="ADF23" s="542" t="s">
        <v>17</v>
      </c>
      <c r="ADG23" s="543"/>
      <c r="ADH23" s="543"/>
      <c r="ADI23" s="543"/>
      <c r="ADJ23" s="436" t="s">
        <v>7</v>
      </c>
      <c r="ADK23" s="501">
        <v>405</v>
      </c>
      <c r="ADL23" s="502"/>
      <c r="ADM23" s="502"/>
      <c r="ADN23" s="503"/>
      <c r="ADO23" s="343">
        <f>ADO21-ADO20</f>
        <v>273.40000000000009</v>
      </c>
      <c r="ADP23" s="501">
        <v>303</v>
      </c>
      <c r="ADQ23" s="502"/>
      <c r="ADR23" s="502"/>
      <c r="ADS23" s="503"/>
      <c r="ADT23" s="343">
        <v>152.48659999999995</v>
      </c>
      <c r="ADU23" s="501">
        <v>265</v>
      </c>
      <c r="ADV23" s="502"/>
      <c r="ADW23" s="502"/>
      <c r="ADX23" s="503"/>
      <c r="ADY23" s="343">
        <v>117.37439999999992</v>
      </c>
      <c r="ADZ23" s="501">
        <v>284</v>
      </c>
      <c r="AEA23" s="502"/>
      <c r="AEB23" s="502"/>
      <c r="AEC23" s="503"/>
      <c r="AED23" s="343">
        <v>144.18280000000004</v>
      </c>
      <c r="AEE23" s="480"/>
      <c r="AEF23" s="448"/>
      <c r="AEG23" s="542" t="s">
        <v>17</v>
      </c>
      <c r="AEH23" s="543"/>
      <c r="AEI23" s="543"/>
      <c r="AEJ23" s="543"/>
      <c r="AEK23" s="436" t="s">
        <v>7</v>
      </c>
      <c r="AEL23" s="501">
        <v>241</v>
      </c>
      <c r="AEM23" s="502"/>
      <c r="AEN23" s="502"/>
      <c r="AEO23" s="503"/>
      <c r="AEP23" s="343">
        <v>110.6256000000003</v>
      </c>
      <c r="AEQ23" s="501">
        <v>438</v>
      </c>
      <c r="AER23" s="502"/>
      <c r="AES23" s="502"/>
      <c r="AET23" s="503"/>
      <c r="AEU23" s="343">
        <v>308.08380000000011</v>
      </c>
      <c r="AEV23" s="501">
        <v>448</v>
      </c>
      <c r="AEW23" s="502"/>
      <c r="AEX23" s="502"/>
      <c r="AEY23" s="503"/>
      <c r="AEZ23" s="343">
        <v>370.36700000000019</v>
      </c>
      <c r="AFA23" s="501">
        <v>315</v>
      </c>
      <c r="AFB23" s="502"/>
      <c r="AFC23" s="502"/>
      <c r="AFD23" s="503"/>
      <c r="AFE23" s="343">
        <f>AFE21-AFE20</f>
        <v>206.79999999999995</v>
      </c>
      <c r="AFF23" s="480"/>
      <c r="AFG23" s="448"/>
      <c r="AFH23" s="542" t="s">
        <v>17</v>
      </c>
      <c r="AFI23" s="543"/>
      <c r="AFJ23" s="543"/>
      <c r="AFK23" s="543"/>
      <c r="AFL23" s="436" t="s">
        <v>7</v>
      </c>
      <c r="AFM23" s="501">
        <v>273</v>
      </c>
      <c r="AFN23" s="502"/>
      <c r="AFO23" s="502"/>
      <c r="AFP23" s="503"/>
      <c r="AFQ23" s="343">
        <v>132.48880000000008</v>
      </c>
      <c r="AFR23" s="501">
        <f>AFR21-AFR20</f>
        <v>289.79999999999973</v>
      </c>
      <c r="AFS23" s="502"/>
      <c r="AFT23" s="502"/>
      <c r="AFU23" s="503"/>
      <c r="AFV23" s="343">
        <v>146.15980000000036</v>
      </c>
      <c r="AFW23" s="501">
        <v>268</v>
      </c>
      <c r="AFX23" s="502"/>
      <c r="AFY23" s="502"/>
      <c r="AFZ23" s="503"/>
      <c r="AGA23" s="343">
        <v>98.818200000000161</v>
      </c>
      <c r="AGB23" s="501">
        <v>289</v>
      </c>
      <c r="AGC23" s="502"/>
      <c r="AGD23" s="502"/>
      <c r="AGE23" s="503"/>
      <c r="AGF23" s="343">
        <v>7.5604000000000724</v>
      </c>
      <c r="AGG23" s="480"/>
      <c r="AGH23" s="448"/>
      <c r="AGI23" s="542" t="s">
        <v>17</v>
      </c>
      <c r="AGJ23" s="543"/>
      <c r="AGK23" s="543"/>
      <c r="AGL23" s="543"/>
      <c r="AGM23" s="436" t="s">
        <v>7</v>
      </c>
      <c r="AGN23" s="501">
        <v>420</v>
      </c>
      <c r="AGO23" s="502"/>
      <c r="AGP23" s="502"/>
      <c r="AGQ23" s="503"/>
      <c r="AGR23" s="343">
        <v>186.22829999999999</v>
      </c>
      <c r="AGS23" s="501">
        <v>474</v>
      </c>
      <c r="AGT23" s="502"/>
      <c r="AGU23" s="502"/>
      <c r="AGV23" s="503"/>
      <c r="AGW23" s="343">
        <v>279.65959999999995</v>
      </c>
      <c r="AGX23" s="501">
        <v>298</v>
      </c>
      <c r="AGY23" s="502"/>
      <c r="AGZ23" s="502"/>
      <c r="AHA23" s="503"/>
      <c r="AHB23" s="343">
        <f>AHB21-AHB20</f>
        <v>164.09999999999968</v>
      </c>
      <c r="AHC23" s="501">
        <v>310</v>
      </c>
      <c r="AHD23" s="502"/>
      <c r="AHE23" s="502"/>
      <c r="AHF23" s="503"/>
      <c r="AHG23" s="343">
        <f>AHG21-AHG20</f>
        <v>225</v>
      </c>
      <c r="AHH23" s="480"/>
      <c r="AHI23" s="448"/>
      <c r="AHJ23" s="542" t="s">
        <v>17</v>
      </c>
      <c r="AHK23" s="543"/>
      <c r="AHL23" s="543"/>
      <c r="AHM23" s="543"/>
      <c r="AHN23" s="436" t="s">
        <v>7</v>
      </c>
      <c r="AHO23" s="501">
        <v>256</v>
      </c>
      <c r="AHP23" s="502"/>
      <c r="AHQ23" s="502"/>
      <c r="AHR23" s="503"/>
      <c r="AHS23" s="343">
        <v>227.83410000000003</v>
      </c>
      <c r="AHT23" s="501">
        <v>199</v>
      </c>
      <c r="AHU23" s="502"/>
      <c r="AHV23" s="502"/>
      <c r="AHW23" s="503"/>
      <c r="AHX23" s="343">
        <v>177.73580000000015</v>
      </c>
      <c r="AHY23" s="501">
        <v>294</v>
      </c>
      <c r="AHZ23" s="502"/>
      <c r="AIA23" s="502"/>
      <c r="AIB23" s="503"/>
      <c r="AIC23" s="343">
        <v>249.2777000000001</v>
      </c>
      <c r="AID23" s="501">
        <v>159</v>
      </c>
      <c r="AIE23" s="502"/>
      <c r="AIF23" s="502"/>
      <c r="AIG23" s="503"/>
      <c r="AIH23" s="343">
        <v>94.204600000000028</v>
      </c>
      <c r="AII23" s="480"/>
      <c r="AIJ23" s="448"/>
      <c r="AIK23" s="542" t="s">
        <v>17</v>
      </c>
      <c r="AIL23" s="543"/>
      <c r="AIM23" s="543"/>
      <c r="AIN23" s="543"/>
      <c r="AIO23" s="436" t="s">
        <v>7</v>
      </c>
      <c r="AIP23" s="501">
        <v>305</v>
      </c>
      <c r="AIQ23" s="502"/>
      <c r="AIR23" s="502"/>
      <c r="AIS23" s="503"/>
      <c r="AIT23" s="343">
        <v>205.64380000000006</v>
      </c>
      <c r="AIU23" s="501">
        <v>217</v>
      </c>
      <c r="AIV23" s="502"/>
      <c r="AIW23" s="502"/>
      <c r="AIX23" s="503"/>
      <c r="AIY23" s="343">
        <v>123.9987000000001</v>
      </c>
      <c r="AIZ23" s="501">
        <v>243</v>
      </c>
      <c r="AJA23" s="502"/>
      <c r="AJB23" s="502"/>
      <c r="AJC23" s="503"/>
      <c r="AJD23" s="343">
        <v>127.80140000000006</v>
      </c>
      <c r="AJE23" s="501">
        <v>87</v>
      </c>
      <c r="AJF23" s="502"/>
      <c r="AJG23" s="502"/>
      <c r="AJH23" s="503"/>
      <c r="AJI23" s="343">
        <v>-0.39999999999986358</v>
      </c>
      <c r="AJJ23" s="480"/>
      <c r="AJK23" s="448"/>
      <c r="AJL23" s="542" t="s">
        <v>17</v>
      </c>
      <c r="AJM23" s="543"/>
      <c r="AJN23" s="543"/>
      <c r="AJO23" s="543"/>
      <c r="AJP23" s="436" t="s">
        <v>7</v>
      </c>
      <c r="AJQ23" s="501">
        <v>5</v>
      </c>
      <c r="AJR23" s="502"/>
      <c r="AJS23" s="502"/>
      <c r="AJT23" s="503"/>
      <c r="AJU23" s="343">
        <v>18.009800000000041</v>
      </c>
      <c r="AJV23" s="501">
        <v>90</v>
      </c>
      <c r="AJW23" s="502"/>
      <c r="AJX23" s="502"/>
      <c r="AJY23" s="503"/>
      <c r="AJZ23" s="343">
        <v>0</v>
      </c>
      <c r="AKA23" s="501">
        <v>31</v>
      </c>
      <c r="AKB23" s="502"/>
      <c r="AKC23" s="502"/>
      <c r="AKD23" s="503"/>
      <c r="AKE23" s="343">
        <v>0.20000000000004547</v>
      </c>
      <c r="AKF23" s="501">
        <v>57</v>
      </c>
      <c r="AKG23" s="502"/>
      <c r="AKH23" s="502"/>
      <c r="AKI23" s="503"/>
      <c r="AKJ23" s="343">
        <v>0.40000000000009095</v>
      </c>
      <c r="AKK23" s="480"/>
      <c r="AKL23" s="448"/>
      <c r="AKM23" s="542" t="s">
        <v>17</v>
      </c>
      <c r="AKN23" s="543"/>
      <c r="AKO23" s="543"/>
      <c r="AKP23" s="543"/>
      <c r="AKQ23" s="436" t="s">
        <v>7</v>
      </c>
      <c r="AKR23" s="501">
        <v>108</v>
      </c>
      <c r="AKS23" s="502"/>
      <c r="AKT23" s="502"/>
      <c r="AKU23" s="503"/>
      <c r="AKV23" s="343">
        <v>-0.1999999999998181</v>
      </c>
      <c r="AKW23" s="501">
        <v>77</v>
      </c>
      <c r="AKX23" s="502"/>
      <c r="AKY23" s="502"/>
      <c r="AKZ23" s="503"/>
      <c r="ALA23" s="343">
        <v>0</v>
      </c>
      <c r="ALB23" s="501">
        <v>109</v>
      </c>
      <c r="ALC23" s="502"/>
      <c r="ALD23" s="502"/>
      <c r="ALE23" s="503"/>
      <c r="ALF23" s="343">
        <v>56.570600000000013</v>
      </c>
      <c r="ALG23" s="501">
        <v>210</v>
      </c>
      <c r="ALH23" s="502"/>
      <c r="ALI23" s="502"/>
      <c r="ALJ23" s="503"/>
      <c r="ALK23" s="343">
        <v>151.31649999999991</v>
      </c>
      <c r="ALL23" s="480"/>
      <c r="ALM23" s="448"/>
      <c r="ALN23" s="542" t="s">
        <v>17</v>
      </c>
      <c r="ALO23" s="543"/>
      <c r="ALP23" s="543"/>
      <c r="ALQ23" s="543"/>
      <c r="ALR23" s="436" t="s">
        <v>7</v>
      </c>
      <c r="ALS23" s="501">
        <v>216</v>
      </c>
      <c r="ALT23" s="502"/>
      <c r="ALU23" s="502"/>
      <c r="ALV23" s="503"/>
      <c r="ALW23" s="343">
        <f>ALW21-ALW20</f>
        <v>155.60000000000014</v>
      </c>
      <c r="ALX23" s="501">
        <v>229</v>
      </c>
      <c r="ALY23" s="502"/>
      <c r="ALZ23" s="502"/>
      <c r="AMA23" s="503"/>
      <c r="AMB23" s="343">
        <v>181.81280000000015</v>
      </c>
      <c r="AMC23" s="501">
        <v>206</v>
      </c>
      <c r="AMD23" s="502"/>
      <c r="AME23" s="502"/>
      <c r="AMF23" s="503"/>
      <c r="AMG23" s="343">
        <v>110.65390000000002</v>
      </c>
      <c r="AMH23" s="501">
        <v>176</v>
      </c>
      <c r="AMI23" s="502"/>
      <c r="AMJ23" s="502"/>
      <c r="AMK23" s="503"/>
      <c r="AML23" s="343">
        <v>0</v>
      </c>
      <c r="AMM23" s="480"/>
      <c r="AMN23" s="448"/>
      <c r="AMO23" s="542" t="s">
        <v>17</v>
      </c>
      <c r="AMP23" s="543"/>
      <c r="AMQ23" s="543"/>
      <c r="AMR23" s="543"/>
      <c r="AMS23" s="436" t="s">
        <v>7</v>
      </c>
      <c r="AMT23" s="501">
        <v>107</v>
      </c>
      <c r="AMU23" s="502"/>
      <c r="AMV23" s="502"/>
      <c r="AMW23" s="503"/>
      <c r="AMX23" s="343">
        <v>13.748800000000301</v>
      </c>
      <c r="AMY23" s="501">
        <v>231</v>
      </c>
      <c r="AMZ23" s="502"/>
      <c r="ANA23" s="502"/>
      <c r="ANB23" s="503"/>
      <c r="ANC23" s="343">
        <v>75.801800000000185</v>
      </c>
      <c r="AND23" s="501">
        <v>17</v>
      </c>
      <c r="ANE23" s="502"/>
      <c r="ANF23" s="502"/>
      <c r="ANG23" s="503"/>
      <c r="ANH23" s="343">
        <v>-0.1999999999998181</v>
      </c>
      <c r="ANI23" s="501">
        <v>52</v>
      </c>
      <c r="ANJ23" s="502"/>
      <c r="ANK23" s="502"/>
      <c r="ANL23" s="503"/>
      <c r="ANM23" s="343">
        <v>-0.1999999999998181</v>
      </c>
      <c r="ANN23" s="480"/>
      <c r="ANO23" s="448"/>
      <c r="ANP23" s="542" t="s">
        <v>17</v>
      </c>
      <c r="ANQ23" s="543"/>
      <c r="ANR23" s="543"/>
      <c r="ANS23" s="543"/>
      <c r="ANT23" s="436" t="s">
        <v>7</v>
      </c>
      <c r="ANU23" s="501">
        <v>134</v>
      </c>
      <c r="ANV23" s="502"/>
      <c r="ANW23" s="502"/>
      <c r="ANX23" s="503"/>
      <c r="ANY23" s="343">
        <v>7.3043999999999869</v>
      </c>
      <c r="ANZ23" s="501">
        <v>104</v>
      </c>
      <c r="AOA23" s="502"/>
      <c r="AOB23" s="502"/>
      <c r="AOC23" s="503"/>
      <c r="AOD23" s="343">
        <v>0</v>
      </c>
      <c r="AOE23" s="501">
        <v>16</v>
      </c>
      <c r="AOF23" s="502"/>
      <c r="AOG23" s="502"/>
      <c r="AOH23" s="503"/>
      <c r="AOI23" s="544">
        <v>0.10000000000013642</v>
      </c>
      <c r="AOJ23" s="545">
        <v>0.10000000000013642</v>
      </c>
      <c r="AOK23" s="501">
        <f>AOK21-AOK20</f>
        <v>89.099999999999909</v>
      </c>
      <c r="AOL23" s="502"/>
      <c r="AOM23" s="502"/>
      <c r="AON23" s="503"/>
      <c r="AOO23" s="343">
        <v>0.20000000000004547</v>
      </c>
      <c r="AOP23" s="480"/>
      <c r="AOQ23" s="448"/>
      <c r="AOR23" s="542" t="s">
        <v>17</v>
      </c>
      <c r="AOS23" s="543"/>
      <c r="AOT23" s="543"/>
      <c r="AOU23" s="543"/>
      <c r="AOV23" s="436" t="s">
        <v>7</v>
      </c>
      <c r="AOW23" s="501">
        <v>83</v>
      </c>
      <c r="AOX23" s="502"/>
      <c r="AOY23" s="502"/>
      <c r="AOZ23" s="503"/>
      <c r="APA23" s="343">
        <v>0.3000000000001819</v>
      </c>
      <c r="APB23" s="501">
        <v>44</v>
      </c>
      <c r="APC23" s="502"/>
      <c r="APD23" s="502"/>
      <c r="APE23" s="503"/>
      <c r="APF23" s="343">
        <v>-9.9999999999909051E-2</v>
      </c>
      <c r="APG23" s="501">
        <v>90</v>
      </c>
      <c r="APH23" s="502"/>
      <c r="API23" s="502"/>
      <c r="APJ23" s="503"/>
      <c r="APK23" s="343">
        <v>0.10000000000013642</v>
      </c>
      <c r="APL23" s="501">
        <v>302</v>
      </c>
      <c r="APM23" s="502"/>
      <c r="APN23" s="502"/>
      <c r="APO23" s="503"/>
      <c r="APP23" s="343">
        <v>127.62340000000017</v>
      </c>
      <c r="APQ23" s="480"/>
      <c r="APR23" s="448"/>
      <c r="APS23" s="542" t="s">
        <v>17</v>
      </c>
      <c r="APT23" s="543"/>
      <c r="APU23" s="543"/>
      <c r="APV23" s="543"/>
      <c r="APW23" s="436" t="s">
        <v>7</v>
      </c>
      <c r="APX23" s="501">
        <f>APX21-APX20</f>
        <v>95.599999999999909</v>
      </c>
      <c r="APY23" s="502"/>
      <c r="APZ23" s="502"/>
      <c r="AQA23" s="503"/>
      <c r="AQB23" s="343">
        <v>22.947000000000116</v>
      </c>
      <c r="AQC23" s="501">
        <v>71</v>
      </c>
      <c r="AQD23" s="502"/>
      <c r="AQE23" s="502"/>
      <c r="AQF23" s="503"/>
      <c r="AQG23" s="343">
        <v>7.999999999992724E-2</v>
      </c>
      <c r="AQH23" s="501">
        <v>196</v>
      </c>
      <c r="AQI23" s="502"/>
      <c r="AQJ23" s="502"/>
      <c r="AQK23" s="503"/>
      <c r="AQL23" s="343">
        <v>-0.1999999999998181</v>
      </c>
      <c r="AQM23" s="501">
        <v>75</v>
      </c>
      <c r="AQN23" s="502"/>
      <c r="AQO23" s="502"/>
      <c r="AQP23" s="503"/>
      <c r="AQQ23" s="343">
        <v>-0.20000000000004547</v>
      </c>
      <c r="AQR23" s="480"/>
      <c r="AQS23" s="448"/>
      <c r="AQT23" s="542" t="s">
        <v>17</v>
      </c>
      <c r="AQU23" s="543"/>
      <c r="AQV23" s="543"/>
      <c r="AQW23" s="543"/>
      <c r="AQX23" s="436" t="s">
        <v>7</v>
      </c>
      <c r="AQY23" s="501">
        <v>46</v>
      </c>
      <c r="AQZ23" s="502"/>
      <c r="ARA23" s="502"/>
      <c r="ARB23" s="503"/>
      <c r="ARC23" s="343">
        <v>-0.20000000000004547</v>
      </c>
      <c r="ARD23" s="501">
        <v>256</v>
      </c>
      <c r="ARE23" s="502"/>
      <c r="ARF23" s="502"/>
      <c r="ARG23" s="503"/>
      <c r="ARH23" s="343">
        <v>63.345200000000204</v>
      </c>
      <c r="ARI23" s="501">
        <v>245</v>
      </c>
      <c r="ARJ23" s="502"/>
      <c r="ARK23" s="502"/>
      <c r="ARL23" s="503"/>
      <c r="ARM23" s="343">
        <v>144.49080000000004</v>
      </c>
      <c r="ARN23" s="501">
        <v>158</v>
      </c>
      <c r="ARO23" s="502"/>
      <c r="ARP23" s="502"/>
      <c r="ARQ23" s="503"/>
      <c r="ARR23" s="343">
        <v>-0.1999999999998181</v>
      </c>
      <c r="ARS23" s="480"/>
      <c r="ART23" s="448"/>
      <c r="ARU23" s="542" t="s">
        <v>17</v>
      </c>
      <c r="ARV23" s="543"/>
      <c r="ARW23" s="543"/>
      <c r="ARX23" s="543"/>
      <c r="ARY23" s="436" t="s">
        <v>7</v>
      </c>
      <c r="ARZ23" s="501">
        <v>96</v>
      </c>
      <c r="ASA23" s="502"/>
      <c r="ASB23" s="502"/>
      <c r="ASC23" s="503"/>
      <c r="ASD23" s="343">
        <v>0</v>
      </c>
      <c r="ASE23" s="501">
        <v>16</v>
      </c>
      <c r="ASF23" s="502"/>
      <c r="ASG23" s="502"/>
      <c r="ASH23" s="503"/>
      <c r="ASI23" s="343">
        <v>0</v>
      </c>
      <c r="ASJ23" s="501">
        <v>57</v>
      </c>
      <c r="ASK23" s="502"/>
      <c r="ASL23" s="502"/>
      <c r="ASM23" s="503"/>
      <c r="ASN23" s="343">
        <v>0</v>
      </c>
      <c r="ASO23" s="501">
        <v>77</v>
      </c>
      <c r="ASP23" s="502"/>
      <c r="ASQ23" s="502"/>
      <c r="ASR23" s="503"/>
      <c r="ASS23" s="343">
        <v>0</v>
      </c>
      <c r="AST23" s="480"/>
      <c r="ASU23" s="448"/>
      <c r="ASV23" s="542" t="s">
        <v>17</v>
      </c>
      <c r="ASW23" s="543"/>
      <c r="ASX23" s="543"/>
      <c r="ASY23" s="543"/>
      <c r="ASZ23" s="436" t="s">
        <v>7</v>
      </c>
      <c r="ATA23" s="501">
        <v>81</v>
      </c>
      <c r="ATB23" s="502"/>
      <c r="ATC23" s="502"/>
      <c r="ATD23" s="503"/>
      <c r="ATE23" s="343">
        <v>0.20000000000004547</v>
      </c>
      <c r="ATF23" s="501">
        <v>144</v>
      </c>
      <c r="ATG23" s="502"/>
      <c r="ATH23" s="502"/>
      <c r="ATI23" s="503"/>
      <c r="ATJ23" s="343">
        <v>40.003600000000006</v>
      </c>
      <c r="ATK23" s="501">
        <v>220</v>
      </c>
      <c r="ATL23" s="502"/>
      <c r="ATM23" s="502"/>
      <c r="ATN23" s="503"/>
      <c r="ATO23" s="343">
        <v>102.21630000000005</v>
      </c>
      <c r="ATP23" s="501">
        <v>19</v>
      </c>
      <c r="ATQ23" s="502"/>
      <c r="ATR23" s="502"/>
      <c r="ATS23" s="503"/>
      <c r="ATT23" s="343">
        <v>0.40000000000009095</v>
      </c>
      <c r="ATU23" s="480"/>
      <c r="ATV23" s="448"/>
      <c r="ATW23" s="542" t="s">
        <v>17</v>
      </c>
      <c r="ATX23" s="543"/>
      <c r="ATY23" s="543"/>
      <c r="ATZ23" s="543"/>
      <c r="AUA23" s="436" t="s">
        <v>7</v>
      </c>
      <c r="AUB23" s="501">
        <v>7</v>
      </c>
      <c r="AUC23" s="502"/>
      <c r="AUD23" s="502"/>
      <c r="AUE23" s="503"/>
      <c r="AUF23" s="343">
        <v>0.40000000000009095</v>
      </c>
      <c r="AUG23" s="501">
        <v>128</v>
      </c>
      <c r="AUH23" s="502"/>
      <c r="AUI23" s="502"/>
      <c r="AUJ23" s="503"/>
      <c r="AUK23" s="343">
        <v>0.19000000000005457</v>
      </c>
      <c r="AUL23" s="501">
        <v>140</v>
      </c>
      <c r="AUM23" s="502"/>
      <c r="AUN23" s="502"/>
      <c r="AUO23" s="503"/>
      <c r="AUP23" s="343">
        <v>-0.1999999999998181</v>
      </c>
      <c r="AUQ23" s="501">
        <v>185</v>
      </c>
      <c r="AUR23" s="502"/>
      <c r="AUS23" s="502"/>
      <c r="AUT23" s="503"/>
      <c r="AUU23" s="343">
        <v>-0.39999999999986358</v>
      </c>
      <c r="AUV23" s="480"/>
      <c r="AUW23" s="448"/>
      <c r="AUX23" s="542" t="s">
        <v>17</v>
      </c>
      <c r="AUY23" s="543"/>
      <c r="AUZ23" s="543"/>
      <c r="AVA23" s="543"/>
      <c r="AVB23" s="436" t="s">
        <v>7</v>
      </c>
      <c r="AVC23" s="501">
        <f>AVC21-AVC20</f>
        <v>8.8999999999998636</v>
      </c>
      <c r="AVD23" s="502"/>
      <c r="AVE23" s="502"/>
      <c r="AVF23" s="503"/>
      <c r="AVG23" s="343">
        <v>0.40000000000009095</v>
      </c>
      <c r="AVH23" s="501">
        <v>56</v>
      </c>
      <c r="AVI23" s="502"/>
      <c r="AVJ23" s="502"/>
      <c r="AVK23" s="503"/>
      <c r="AVL23" s="343">
        <v>0</v>
      </c>
      <c r="AVM23" s="501">
        <v>18</v>
      </c>
      <c r="AVN23" s="502"/>
      <c r="AVO23" s="502"/>
      <c r="AVP23" s="503"/>
      <c r="AVQ23" s="343">
        <v>0</v>
      </c>
      <c r="AVR23" s="501">
        <v>382</v>
      </c>
      <c r="AVS23" s="502"/>
      <c r="AVT23" s="502"/>
      <c r="AVU23" s="503"/>
      <c r="AVV23" s="343">
        <v>100.72199999999998</v>
      </c>
      <c r="AVW23" s="480"/>
      <c r="AVX23" s="448"/>
      <c r="AVY23" s="542" t="s">
        <v>17</v>
      </c>
      <c r="AVZ23" s="543"/>
      <c r="AWA23" s="543"/>
      <c r="AWB23" s="543"/>
      <c r="AWC23" s="436" t="s">
        <v>7</v>
      </c>
      <c r="AWD23" s="501">
        <v>479</v>
      </c>
      <c r="AWE23" s="502"/>
      <c r="AWF23" s="502"/>
      <c r="AWG23" s="503"/>
      <c r="AWH23" s="343">
        <v>92.396400000000085</v>
      </c>
      <c r="AWI23" s="501">
        <v>375</v>
      </c>
      <c r="AWJ23" s="502"/>
      <c r="AWK23" s="502"/>
      <c r="AWL23" s="503"/>
      <c r="AWM23" s="343">
        <v>236.3914000000002</v>
      </c>
      <c r="AWN23" s="501">
        <v>294</v>
      </c>
      <c r="AWO23" s="502"/>
      <c r="AWP23" s="502"/>
      <c r="AWQ23" s="503"/>
      <c r="AWR23" s="343">
        <v>33.366800000000012</v>
      </c>
      <c r="AWS23" s="501">
        <v>29</v>
      </c>
      <c r="AWT23" s="502"/>
      <c r="AWU23" s="502"/>
      <c r="AWV23" s="503"/>
      <c r="AWW23" s="343">
        <v>0.38590000000021973</v>
      </c>
      <c r="AWX23" s="480"/>
      <c r="AWY23" s="448"/>
      <c r="AWZ23" s="542" t="s">
        <v>17</v>
      </c>
      <c r="AXA23" s="543"/>
      <c r="AXB23" s="543"/>
      <c r="AXC23" s="543"/>
      <c r="AXD23" s="436" t="s">
        <v>7</v>
      </c>
      <c r="AXE23" s="501">
        <v>97.600000000000136</v>
      </c>
      <c r="AXF23" s="502"/>
      <c r="AXG23" s="502"/>
      <c r="AXH23" s="503"/>
      <c r="AXI23" s="343">
        <v>-0.1999999999998181</v>
      </c>
      <c r="AXJ23" s="501">
        <v>236</v>
      </c>
      <c r="AXK23" s="502"/>
      <c r="AXL23" s="502"/>
      <c r="AXM23" s="503"/>
      <c r="AXN23" s="343">
        <v>0.40000000000009095</v>
      </c>
      <c r="AXO23" s="501">
        <v>378</v>
      </c>
      <c r="AXP23" s="502"/>
      <c r="AXQ23" s="502"/>
      <c r="AXR23" s="503"/>
      <c r="AXS23" s="343">
        <v>223.19389999999999</v>
      </c>
      <c r="AXT23" s="501">
        <v>497</v>
      </c>
      <c r="AXU23" s="502"/>
      <c r="AXV23" s="502"/>
      <c r="AXW23" s="503"/>
      <c r="AXX23" s="343">
        <v>316.66880000000015</v>
      </c>
      <c r="AXY23" s="480"/>
      <c r="AXZ23" s="448"/>
      <c r="AYA23" s="542" t="s">
        <v>17</v>
      </c>
      <c r="AYB23" s="543"/>
      <c r="AYC23" s="543"/>
      <c r="AYD23" s="543"/>
      <c r="AYE23" s="436" t="s">
        <v>7</v>
      </c>
      <c r="AYF23" s="501">
        <v>58</v>
      </c>
      <c r="AYG23" s="502"/>
      <c r="AYH23" s="502"/>
      <c r="AYI23" s="503"/>
      <c r="AYJ23" s="343">
        <v>0</v>
      </c>
      <c r="AYK23" s="501">
        <v>231</v>
      </c>
      <c r="AYL23" s="502"/>
      <c r="AYM23" s="502"/>
      <c r="AYN23" s="503"/>
      <c r="AYO23" s="343">
        <v>0.43910000000005311</v>
      </c>
      <c r="AYP23" s="501">
        <v>184</v>
      </c>
      <c r="AYQ23" s="502"/>
      <c r="AYR23" s="502"/>
      <c r="AYS23" s="503"/>
      <c r="AYT23" s="343">
        <v>12.756800000000112</v>
      </c>
      <c r="AYU23" s="501">
        <v>65</v>
      </c>
      <c r="AYV23" s="502"/>
      <c r="AYW23" s="502"/>
      <c r="AYX23" s="503"/>
      <c r="AYY23" s="343">
        <v>-0.39999999999986358</v>
      </c>
      <c r="AYZ23" s="480"/>
      <c r="AZA23" s="448"/>
      <c r="AZB23" s="542" t="s">
        <v>17</v>
      </c>
      <c r="AZC23" s="543"/>
      <c r="AZD23" s="543"/>
      <c r="AZE23" s="543"/>
      <c r="AZF23" s="436" t="s">
        <v>7</v>
      </c>
      <c r="AZG23" s="501">
        <v>267</v>
      </c>
      <c r="AZH23" s="502"/>
      <c r="AZI23" s="502"/>
      <c r="AZJ23" s="503"/>
      <c r="AZK23" s="343">
        <v>0</v>
      </c>
      <c r="AZL23" s="501">
        <v>297</v>
      </c>
      <c r="AZM23" s="502"/>
      <c r="AZN23" s="502"/>
      <c r="AZO23" s="503"/>
      <c r="AZP23" s="343">
        <v>25</v>
      </c>
      <c r="AZQ23" s="501">
        <v>370</v>
      </c>
      <c r="AZR23" s="502"/>
      <c r="AZS23" s="502"/>
      <c r="AZT23" s="503"/>
      <c r="AZU23" s="343">
        <v>106.00880000000006</v>
      </c>
      <c r="AZV23" s="501">
        <v>353</v>
      </c>
      <c r="AZW23" s="502"/>
      <c r="AZX23" s="502"/>
      <c r="AZY23" s="503"/>
      <c r="AZZ23" s="343">
        <v>151.6277</v>
      </c>
      <c r="BAA23" s="481"/>
      <c r="BAB23" s="448"/>
      <c r="BAC23" s="542" t="s">
        <v>17</v>
      </c>
      <c r="BAD23" s="543"/>
      <c r="BAE23" s="543"/>
      <c r="BAF23" s="543"/>
      <c r="BAG23" s="436" t="s">
        <v>7</v>
      </c>
      <c r="BAH23" s="501">
        <v>446</v>
      </c>
      <c r="BAI23" s="502"/>
      <c r="BAJ23" s="502"/>
      <c r="BAK23" s="503"/>
      <c r="BAL23" s="343">
        <v>31.28020000000015</v>
      </c>
      <c r="BAM23" s="501">
        <v>265</v>
      </c>
      <c r="BAN23" s="502"/>
      <c r="BAO23" s="502"/>
      <c r="BAP23" s="503"/>
      <c r="BAQ23" s="343">
        <v>94.982799999999997</v>
      </c>
      <c r="BAR23" s="501">
        <v>196</v>
      </c>
      <c r="BAS23" s="502"/>
      <c r="BAT23" s="502"/>
      <c r="BAU23" s="503"/>
      <c r="BAV23" s="343">
        <v>-0.1999999999998181</v>
      </c>
      <c r="BAW23" s="501">
        <v>427</v>
      </c>
      <c r="BAX23" s="502"/>
      <c r="BAY23" s="502"/>
      <c r="BAZ23" s="503"/>
      <c r="BBA23" s="343">
        <v>188.93000000000006</v>
      </c>
      <c r="BBB23" s="480"/>
      <c r="BBC23" s="448"/>
      <c r="BBD23" s="542" t="s">
        <v>17</v>
      </c>
      <c r="BBE23" s="543"/>
      <c r="BBF23" s="543"/>
      <c r="BBG23" s="543"/>
      <c r="BBH23" s="436" t="s">
        <v>7</v>
      </c>
      <c r="BBI23" s="501">
        <v>476</v>
      </c>
      <c r="BBJ23" s="502"/>
      <c r="BBK23" s="502"/>
      <c r="BBL23" s="503"/>
      <c r="BBM23" s="343">
        <v>243.7835</v>
      </c>
      <c r="BBN23" s="501">
        <v>444</v>
      </c>
      <c r="BBO23" s="502"/>
      <c r="BBP23" s="502"/>
      <c r="BBQ23" s="503"/>
      <c r="BBR23" s="343">
        <v>241.06830000000014</v>
      </c>
      <c r="BBS23" s="501">
        <v>550</v>
      </c>
      <c r="BBT23" s="502"/>
      <c r="BBU23" s="502"/>
      <c r="BBV23" s="503"/>
      <c r="BBW23" s="343">
        <v>363.07110000000011</v>
      </c>
      <c r="BBX23" s="501">
        <v>191</v>
      </c>
      <c r="BBY23" s="502"/>
      <c r="BBZ23" s="502"/>
      <c r="BCA23" s="503"/>
      <c r="BCB23" s="343">
        <v>71.110800000000154</v>
      </c>
      <c r="BCC23" s="480"/>
      <c r="BCD23" s="448"/>
      <c r="BCE23" s="542" t="s">
        <v>17</v>
      </c>
      <c r="BCF23" s="543"/>
      <c r="BCG23" s="543"/>
      <c r="BCH23" s="543"/>
      <c r="BCI23" s="436" t="s">
        <v>7</v>
      </c>
      <c r="BCJ23" s="501">
        <f>BCJ21-BCJ20</f>
        <v>475.20000000000005</v>
      </c>
      <c r="BCK23" s="502"/>
      <c r="BCL23" s="502"/>
      <c r="BCM23" s="503"/>
      <c r="BCN23" s="343">
        <v>84.528900000000249</v>
      </c>
      <c r="BCO23" s="501">
        <v>518</v>
      </c>
      <c r="BCP23" s="502"/>
      <c r="BCQ23" s="502"/>
      <c r="BCR23" s="503"/>
      <c r="BCS23" s="343">
        <v>241.75530000000026</v>
      </c>
      <c r="BCT23" s="501">
        <v>373</v>
      </c>
      <c r="BCU23" s="502"/>
      <c r="BCV23" s="502"/>
      <c r="BCW23" s="503"/>
      <c r="BCX23" s="343">
        <v>193.798</v>
      </c>
      <c r="BCY23" s="501">
        <v>530</v>
      </c>
      <c r="BCZ23" s="502"/>
      <c r="BDA23" s="502"/>
      <c r="BDB23" s="503"/>
      <c r="BDC23" s="343">
        <v>296.77590000000009</v>
      </c>
      <c r="BDD23" s="480"/>
      <c r="BDE23" s="448"/>
      <c r="BDF23" s="542" t="s">
        <v>17</v>
      </c>
      <c r="BDG23" s="543"/>
      <c r="BDH23" s="543"/>
      <c r="BDI23" s="543"/>
      <c r="BDJ23" s="436" t="s">
        <v>7</v>
      </c>
      <c r="BDK23" s="501">
        <v>565</v>
      </c>
      <c r="BDL23" s="502"/>
      <c r="BDM23" s="502"/>
      <c r="BDN23" s="503"/>
      <c r="BDO23" s="343">
        <v>408.91139999999996</v>
      </c>
      <c r="BDP23" s="501">
        <v>465</v>
      </c>
      <c r="BDQ23" s="502"/>
      <c r="BDR23" s="502"/>
      <c r="BDS23" s="503"/>
      <c r="BDT23" s="343">
        <v>308.0924</v>
      </c>
      <c r="BDU23" s="501">
        <v>530</v>
      </c>
      <c r="BDV23" s="502"/>
      <c r="BDW23" s="502"/>
      <c r="BDX23" s="503"/>
      <c r="BDY23" s="343">
        <v>205.99130000000014</v>
      </c>
      <c r="BDZ23" s="501">
        <v>404</v>
      </c>
      <c r="BEA23" s="502"/>
      <c r="BEB23" s="502"/>
      <c r="BEC23" s="503"/>
      <c r="BED23" s="343">
        <v>100.60140000000001</v>
      </c>
      <c r="BEE23" s="480"/>
      <c r="BEF23" s="448"/>
      <c r="BEG23" s="542" t="s">
        <v>17</v>
      </c>
      <c r="BEH23" s="543"/>
      <c r="BEI23" s="543"/>
      <c r="BEJ23" s="543"/>
      <c r="BEK23" s="436" t="s">
        <v>7</v>
      </c>
      <c r="BEL23" s="501">
        <v>472</v>
      </c>
      <c r="BEM23" s="502"/>
      <c r="BEN23" s="502"/>
      <c r="BEO23" s="503"/>
      <c r="BEP23" s="343">
        <v>273.13480000000004</v>
      </c>
      <c r="BEQ23" s="501">
        <v>145</v>
      </c>
      <c r="BER23" s="502"/>
      <c r="BES23" s="502"/>
      <c r="BET23" s="503"/>
      <c r="BEU23" s="343">
        <v>0.40000000000009095</v>
      </c>
      <c r="BEV23" s="501">
        <v>452</v>
      </c>
      <c r="BEW23" s="502"/>
      <c r="BEX23" s="502"/>
      <c r="BEY23" s="503"/>
      <c r="BEZ23" s="343">
        <v>298.22610000000009</v>
      </c>
      <c r="BFA23" s="501">
        <v>444</v>
      </c>
      <c r="BFB23" s="502"/>
      <c r="BFC23" s="502"/>
      <c r="BFD23" s="503"/>
      <c r="BFE23" s="343">
        <v>341.85200000000009</v>
      </c>
      <c r="BFF23" s="480"/>
      <c r="BFG23" s="448"/>
      <c r="BFH23" s="542" t="s">
        <v>17</v>
      </c>
      <c r="BFI23" s="543"/>
      <c r="BFJ23" s="543"/>
      <c r="BFK23" s="543"/>
      <c r="BFL23" s="436" t="s">
        <v>7</v>
      </c>
      <c r="BFM23" s="501">
        <v>560</v>
      </c>
      <c r="BFN23" s="502"/>
      <c r="BFO23" s="502"/>
      <c r="BFP23" s="503"/>
      <c r="BFQ23" s="343">
        <v>298.20330000000013</v>
      </c>
      <c r="BFR23" s="501">
        <v>356</v>
      </c>
      <c r="BFS23" s="502"/>
      <c r="BFT23" s="502"/>
      <c r="BFU23" s="503"/>
      <c r="BFV23" s="343">
        <v>79.08420000000001</v>
      </c>
      <c r="BFW23" s="501"/>
      <c r="BFX23" s="502"/>
      <c r="BFY23" s="502"/>
      <c r="BFZ23" s="503"/>
      <c r="BGA23" s="343"/>
      <c r="BGB23" s="501"/>
      <c r="BGC23" s="502"/>
      <c r="BGD23" s="502"/>
      <c r="BGE23" s="503"/>
      <c r="BGF23" s="343"/>
    </row>
    <row r="24" spans="1:1540" ht="14.1" customHeight="1" x14ac:dyDescent="0.4">
      <c r="A24" s="1"/>
      <c r="H24" s="1"/>
      <c r="I24" s="3"/>
      <c r="J24" s="3"/>
      <c r="K24" s="3"/>
      <c r="L24" s="1"/>
      <c r="M24" s="1"/>
      <c r="N24" s="3"/>
      <c r="O24" s="3"/>
      <c r="P24" s="3"/>
      <c r="Q24" s="1"/>
      <c r="R24" s="1"/>
      <c r="S24" s="3"/>
      <c r="T24" s="3"/>
      <c r="U24" s="3"/>
      <c r="V24" s="1"/>
      <c r="W24" s="1"/>
      <c r="X24" s="3"/>
      <c r="Y24" s="3"/>
      <c r="Z24" s="3"/>
      <c r="AA24" s="1"/>
      <c r="AB24" s="1"/>
      <c r="AI24" s="1"/>
      <c r="AJ24" s="3"/>
      <c r="AK24" s="3"/>
      <c r="AL24" s="3"/>
      <c r="AM24" s="1"/>
      <c r="AN24" s="1"/>
      <c r="AO24" s="3"/>
      <c r="AP24" s="3"/>
      <c r="AQ24" s="3"/>
      <c r="AR24" s="1"/>
      <c r="AS24" s="1"/>
      <c r="AT24" s="3"/>
      <c r="AU24" s="3"/>
      <c r="AV24" s="3"/>
      <c r="AW24" s="1"/>
      <c r="AX24" s="1"/>
      <c r="AY24" s="3"/>
      <c r="AZ24" s="3"/>
      <c r="BA24" s="3"/>
      <c r="BB24" s="1"/>
      <c r="BC24" s="1"/>
      <c r="BJ24" s="1"/>
      <c r="BK24" s="3"/>
      <c r="BL24" s="3"/>
      <c r="BM24" s="3"/>
      <c r="BN24" s="1"/>
      <c r="BO24" s="1"/>
      <c r="BP24" s="3"/>
      <c r="BQ24" s="3"/>
      <c r="BR24" s="3"/>
      <c r="BS24" s="1"/>
      <c r="BT24" s="1"/>
      <c r="BU24" s="3"/>
      <c r="BV24" s="3"/>
      <c r="BW24" s="3"/>
      <c r="BX24" s="1"/>
      <c r="BY24" s="1"/>
      <c r="BZ24" s="3"/>
      <c r="CA24" s="3"/>
      <c r="CB24" s="3"/>
      <c r="CC24" s="1"/>
      <c r="CD24" s="1"/>
      <c r="CK24" s="1"/>
      <c r="CL24" s="3"/>
      <c r="CM24" s="3"/>
      <c r="CN24" s="3"/>
      <c r="CO24" s="1"/>
      <c r="CP24" s="1"/>
      <c r="CQ24" s="3"/>
      <c r="CR24" s="3"/>
      <c r="CS24" s="3"/>
      <c r="CT24" s="1"/>
      <c r="CU24" s="1"/>
      <c r="CV24" s="3"/>
      <c r="CW24" s="3"/>
      <c r="CX24" s="3"/>
      <c r="CY24" s="1"/>
      <c r="CZ24" s="1"/>
      <c r="DA24" s="3"/>
      <c r="DB24" s="3"/>
      <c r="DC24" s="3"/>
      <c r="DE24" s="1"/>
      <c r="DL24" s="1"/>
      <c r="DM24" s="3"/>
      <c r="DN24" s="3"/>
      <c r="DO24" s="3"/>
      <c r="DP24" s="1"/>
      <c r="DQ24" s="1"/>
      <c r="DR24" s="3"/>
      <c r="DS24" s="3"/>
      <c r="DT24" s="3"/>
      <c r="DU24" s="1"/>
      <c r="DV24" s="1"/>
      <c r="DW24" s="3"/>
      <c r="DX24" s="3"/>
      <c r="DY24" s="3"/>
      <c r="DZ24" s="1"/>
      <c r="EA24" s="1"/>
      <c r="EB24" s="3"/>
      <c r="EC24" s="3"/>
      <c r="ED24" s="3"/>
      <c r="EE24" s="1"/>
      <c r="EF24" s="1"/>
      <c r="EM24" s="1"/>
      <c r="EN24" s="3"/>
      <c r="EO24" s="3"/>
      <c r="EP24" s="3"/>
      <c r="EQ24" s="1"/>
      <c r="ER24" s="1"/>
      <c r="ES24" s="3"/>
      <c r="ET24" s="3"/>
      <c r="EU24" s="3"/>
      <c r="EV24" s="1"/>
      <c r="EW24" s="1"/>
      <c r="EX24" s="3"/>
      <c r="EY24" s="3"/>
      <c r="EZ24" s="3"/>
      <c r="FA24" s="1"/>
      <c r="FB24" s="1"/>
      <c r="FC24" s="3"/>
      <c r="FD24" s="3"/>
      <c r="FE24" s="3"/>
      <c r="FF24" s="1"/>
      <c r="FG24" s="1"/>
      <c r="FN24" s="1"/>
      <c r="FO24" s="3"/>
      <c r="FP24" s="3"/>
      <c r="FQ24" s="3"/>
      <c r="FR24" s="1"/>
      <c r="FS24" s="1"/>
      <c r="FT24" s="3"/>
      <c r="FU24" s="3"/>
      <c r="FV24" s="3"/>
      <c r="FW24" s="1"/>
      <c r="FX24" s="1"/>
      <c r="FY24" s="3"/>
      <c r="FZ24" s="3"/>
      <c r="GA24" s="3"/>
      <c r="GB24" s="1"/>
      <c r="GC24" s="1"/>
      <c r="GD24" s="3"/>
      <c r="GE24" s="3"/>
      <c r="GF24" s="3"/>
      <c r="GG24" s="1"/>
      <c r="GH24" s="1"/>
      <c r="GO24" s="1"/>
      <c r="GP24" s="3"/>
      <c r="GQ24" s="3"/>
      <c r="GR24" s="3"/>
      <c r="GS24" s="1"/>
      <c r="GT24" s="1"/>
      <c r="GU24" s="3"/>
      <c r="GV24" s="3"/>
      <c r="GW24" s="3"/>
      <c r="GX24" s="1"/>
      <c r="GY24" s="1"/>
      <c r="GZ24" s="3"/>
      <c r="HA24" s="3"/>
      <c r="HB24" s="3"/>
      <c r="HC24" s="1"/>
      <c r="HD24" s="1"/>
      <c r="HE24" s="3"/>
      <c r="HF24" s="3"/>
      <c r="HG24" s="3"/>
      <c r="HH24" s="1"/>
      <c r="HI24" s="1"/>
      <c r="HP24" s="1"/>
      <c r="HQ24" s="3"/>
      <c r="HR24" s="3"/>
      <c r="HS24" s="3"/>
      <c r="HT24" s="1"/>
      <c r="HU24" s="1"/>
      <c r="HV24" s="3"/>
      <c r="HW24" s="3"/>
      <c r="HX24" s="3"/>
      <c r="HY24" s="1"/>
      <c r="HZ24" s="1"/>
      <c r="IA24" s="3"/>
      <c r="IB24" s="3"/>
      <c r="IC24" s="3"/>
      <c r="ID24" s="1"/>
      <c r="IE24" s="1"/>
      <c r="IF24" s="3"/>
      <c r="IG24" s="3"/>
      <c r="IH24" s="3"/>
      <c r="II24" s="1"/>
      <c r="IJ24" s="1"/>
      <c r="IQ24" s="1"/>
      <c r="IR24" s="3"/>
      <c r="IS24" s="3"/>
      <c r="IT24" s="3"/>
      <c r="IU24" s="1"/>
      <c r="IV24" s="1"/>
      <c r="IW24" s="3"/>
      <c r="IX24" s="3"/>
      <c r="IY24" s="3"/>
      <c r="IZ24" s="1"/>
      <c r="JA24" s="1"/>
      <c r="JB24" s="3"/>
      <c r="JC24" s="3"/>
      <c r="JD24" s="3"/>
      <c r="JE24" s="1"/>
      <c r="JF24" s="1"/>
      <c r="JG24" s="3"/>
      <c r="JH24" s="3"/>
      <c r="JI24" s="3"/>
      <c r="JJ24" s="1"/>
      <c r="JK24" s="1"/>
      <c r="JR24" s="1"/>
      <c r="JS24" s="3"/>
      <c r="JT24" s="3"/>
      <c r="JU24" s="3"/>
      <c r="JV24" s="1"/>
      <c r="JW24" s="1"/>
      <c r="JX24" s="3"/>
      <c r="JY24" s="3"/>
      <c r="JZ24" s="3"/>
      <c r="KA24" s="1"/>
      <c r="KB24" s="1"/>
      <c r="KC24" s="3"/>
      <c r="KD24" s="3"/>
      <c r="KE24" s="3"/>
      <c r="KF24" s="1"/>
      <c r="KG24" s="1"/>
      <c r="KH24" s="3"/>
      <c r="KI24" s="3"/>
      <c r="KJ24" s="3"/>
      <c r="KK24" s="1"/>
      <c r="KL24" s="1"/>
      <c r="KS24" s="1"/>
      <c r="KT24" s="3"/>
      <c r="KU24" s="3"/>
      <c r="KV24" s="3"/>
      <c r="KW24" s="1"/>
      <c r="KX24" s="1"/>
      <c r="KY24" s="3"/>
      <c r="KZ24" s="3"/>
      <c r="LA24" s="3"/>
      <c r="LB24" s="1"/>
      <c r="LC24" s="1"/>
      <c r="LD24" s="3"/>
      <c r="LE24" s="3"/>
      <c r="LF24" s="3"/>
      <c r="LG24" s="1"/>
      <c r="LH24" s="1"/>
      <c r="LI24" s="3"/>
      <c r="LJ24" s="3"/>
      <c r="LK24" s="3"/>
      <c r="LL24" s="1"/>
      <c r="LM24" s="1"/>
      <c r="LT24" s="1"/>
      <c r="LU24" s="3"/>
      <c r="LV24" s="3"/>
      <c r="LW24" s="3"/>
      <c r="LX24" s="1"/>
      <c r="LY24" s="1"/>
      <c r="LZ24" s="3"/>
      <c r="MA24" s="3"/>
      <c r="MB24" s="3"/>
      <c r="MC24" s="1"/>
      <c r="MD24" s="1"/>
      <c r="ME24" s="3"/>
      <c r="MF24" s="3"/>
      <c r="MG24" s="3"/>
      <c r="MH24" s="1"/>
      <c r="MI24" s="1"/>
      <c r="MJ24" s="3"/>
      <c r="MK24" s="3"/>
      <c r="ML24" s="3"/>
      <c r="MM24" s="1"/>
      <c r="MN24" s="1"/>
      <c r="MU24" s="1"/>
      <c r="MV24" s="3"/>
      <c r="MW24" s="3"/>
      <c r="MX24" s="3"/>
      <c r="MY24" s="1"/>
      <c r="MZ24" s="1"/>
      <c r="NA24" s="3"/>
      <c r="NB24" s="3"/>
      <c r="NC24" s="3"/>
      <c r="ND24" s="1"/>
      <c r="NE24" s="1"/>
      <c r="NF24" s="3"/>
      <c r="NG24" s="3"/>
      <c r="NH24" s="3"/>
      <c r="NI24" s="1"/>
      <c r="NJ24" s="1"/>
      <c r="NK24" s="3"/>
      <c r="NL24" s="3"/>
      <c r="NM24" s="3"/>
      <c r="NN24" s="1"/>
      <c r="NO24" s="1"/>
      <c r="NV24" s="1"/>
      <c r="NW24" s="3"/>
      <c r="NX24" s="3"/>
      <c r="NY24" s="3"/>
      <c r="NZ24" s="1"/>
      <c r="OA24" s="1"/>
      <c r="OB24" s="3"/>
      <c r="OC24" s="3"/>
      <c r="OD24" s="3"/>
      <c r="OE24" s="1"/>
      <c r="OF24" s="1"/>
      <c r="OG24" s="3"/>
      <c r="OH24" s="3"/>
      <c r="OI24" s="3"/>
      <c r="OJ24" s="1"/>
      <c r="OK24" s="1"/>
      <c r="OL24" s="3"/>
      <c r="OM24" s="3"/>
      <c r="ON24" s="3"/>
      <c r="OO24" s="1"/>
      <c r="OP24" s="1"/>
      <c r="OW24" s="1"/>
      <c r="OX24" s="3"/>
      <c r="OY24" s="3"/>
      <c r="OZ24" s="3"/>
      <c r="PA24" s="1"/>
      <c r="PB24" s="1"/>
      <c r="PC24" s="3"/>
      <c r="PD24" s="3"/>
      <c r="PE24" s="3"/>
      <c r="PF24" s="1"/>
      <c r="PG24" s="1"/>
      <c r="PH24" s="3"/>
      <c r="PI24" s="3"/>
      <c r="PJ24" s="3"/>
      <c r="PK24" s="1"/>
      <c r="PL24" s="1"/>
      <c r="PM24" s="3"/>
      <c r="PN24" s="3"/>
      <c r="PO24" s="3"/>
      <c r="PP24" s="1"/>
      <c r="PQ24" s="1"/>
      <c r="PX24" s="1"/>
      <c r="PY24" s="3"/>
      <c r="PZ24" s="3"/>
      <c r="QA24" s="3"/>
      <c r="QB24" s="1"/>
      <c r="QC24" s="1"/>
      <c r="QD24" s="3"/>
      <c r="QE24" s="3"/>
      <c r="QF24" s="3"/>
      <c r="QG24" s="1"/>
      <c r="QH24" s="1"/>
      <c r="QI24" s="3"/>
      <c r="QJ24" s="3"/>
      <c r="QK24" s="3"/>
      <c r="QL24" s="1"/>
      <c r="QM24" s="1"/>
      <c r="QN24" s="3"/>
      <c r="QO24" s="3"/>
      <c r="QP24" s="3"/>
      <c r="QQ24" s="1"/>
      <c r="QR24" s="1"/>
      <c r="QY24" s="1"/>
      <c r="QZ24" s="3"/>
      <c r="RA24" s="3"/>
      <c r="RB24" s="3"/>
      <c r="RC24" s="1"/>
      <c r="RD24" s="1"/>
      <c r="RE24" s="3"/>
      <c r="RF24" s="3"/>
      <c r="RG24" s="3"/>
      <c r="RH24" s="1"/>
      <c r="RI24" s="1"/>
      <c r="RJ24" s="3"/>
      <c r="RK24" s="3"/>
      <c r="RL24" s="3"/>
      <c r="RM24" s="1"/>
      <c r="RN24" s="1"/>
      <c r="RO24" s="3"/>
      <c r="RP24" s="3"/>
      <c r="RQ24" s="3"/>
      <c r="RR24" s="1"/>
      <c r="RS24" s="1"/>
      <c r="RZ24" s="1"/>
      <c r="SA24" s="3"/>
      <c r="SB24" s="3"/>
      <c r="SC24" s="3"/>
      <c r="SD24" s="1"/>
      <c r="SE24" s="1"/>
      <c r="SF24" s="3"/>
      <c r="SG24" s="3"/>
      <c r="SH24" s="3"/>
      <c r="SI24" s="1"/>
      <c r="SJ24" s="1"/>
      <c r="SK24" s="3"/>
      <c r="SL24" s="3"/>
      <c r="SM24" s="3"/>
      <c r="SN24" s="1"/>
      <c r="SO24" s="1"/>
      <c r="SP24" s="3"/>
      <c r="SQ24" s="3"/>
      <c r="SR24" s="3"/>
      <c r="SS24" s="1"/>
      <c r="ST24" s="1"/>
      <c r="TA24" s="1"/>
      <c r="TB24" s="3"/>
      <c r="TC24" s="3"/>
      <c r="TD24" s="3"/>
      <c r="TE24" s="1"/>
      <c r="TF24" s="1"/>
      <c r="TG24" s="3"/>
      <c r="TH24" s="3"/>
      <c r="TI24" s="3"/>
      <c r="TJ24" s="1"/>
      <c r="TK24" s="1"/>
      <c r="TL24" s="3"/>
      <c r="TM24" s="3"/>
      <c r="TN24" s="3"/>
      <c r="TO24" s="1"/>
      <c r="TP24" s="1"/>
      <c r="TQ24" s="3"/>
      <c r="TR24" s="3"/>
      <c r="TS24" s="3"/>
      <c r="TT24" s="1"/>
      <c r="TU24" s="1"/>
      <c r="UB24" s="1"/>
      <c r="UC24" s="3"/>
      <c r="UD24" s="3"/>
      <c r="UE24" s="3"/>
      <c r="UF24" s="1"/>
      <c r="UG24" s="1"/>
      <c r="UH24" s="3"/>
      <c r="UI24" s="3"/>
      <c r="UJ24" s="3"/>
      <c r="UK24" s="1"/>
      <c r="UL24" s="1"/>
      <c r="UM24" s="3"/>
      <c r="UN24" s="3"/>
      <c r="UO24" s="3"/>
      <c r="UP24" s="1"/>
      <c r="UQ24" s="1"/>
      <c r="UR24" s="3"/>
      <c r="US24" s="3"/>
      <c r="UT24" s="3"/>
      <c r="UU24" s="1"/>
      <c r="UV24" s="1"/>
      <c r="VC24" s="1"/>
      <c r="VD24" s="3"/>
      <c r="VE24" s="3"/>
      <c r="VF24" s="3"/>
      <c r="VG24" s="1"/>
      <c r="VH24" s="1"/>
      <c r="VI24" s="3"/>
      <c r="VJ24" s="3"/>
      <c r="VK24" s="3"/>
      <c r="VL24" s="1"/>
      <c r="VM24" s="1"/>
      <c r="VN24" s="3"/>
      <c r="VO24" s="3"/>
      <c r="VP24" s="3"/>
      <c r="VQ24" s="1"/>
      <c r="VR24" s="1"/>
      <c r="VS24" s="3"/>
      <c r="VT24" s="3"/>
      <c r="VU24" s="3"/>
      <c r="VV24" s="1"/>
      <c r="VW24" s="1"/>
      <c r="WD24" s="1"/>
      <c r="WE24" s="3"/>
      <c r="WF24" s="3"/>
      <c r="WG24" s="3"/>
      <c r="WH24" s="1"/>
      <c r="WI24" s="1"/>
      <c r="WJ24" s="3"/>
      <c r="WK24" s="3"/>
      <c r="WL24" s="3"/>
      <c r="WM24" s="1"/>
      <c r="WN24" s="1"/>
      <c r="WO24" s="3"/>
      <c r="WP24" s="3"/>
      <c r="WQ24" s="3"/>
      <c r="WR24" s="1"/>
      <c r="WS24" s="1"/>
      <c r="WT24" s="3"/>
      <c r="WU24" s="3"/>
      <c r="WV24" s="3"/>
      <c r="WW24" s="1"/>
      <c r="WX24" s="1"/>
      <c r="XE24" s="1"/>
      <c r="XF24" s="3"/>
      <c r="XG24" s="3"/>
      <c r="XH24" s="3"/>
      <c r="XI24" s="1"/>
      <c r="XJ24" s="1"/>
      <c r="XK24" s="3"/>
      <c r="XL24" s="3"/>
      <c r="XM24" s="3"/>
      <c r="XN24" s="1"/>
      <c r="XO24" s="1"/>
      <c r="XP24" s="3"/>
      <c r="XQ24" s="3"/>
      <c r="XR24" s="3"/>
      <c r="XS24" s="1"/>
      <c r="XT24" s="1"/>
      <c r="XU24" s="3"/>
      <c r="XV24" s="3"/>
      <c r="XW24" s="3"/>
      <c r="XX24" s="1"/>
      <c r="XY24" s="1"/>
      <c r="YF24" s="1"/>
      <c r="YG24" s="3"/>
      <c r="YH24" s="3"/>
      <c r="YI24" s="3"/>
      <c r="YJ24" s="1"/>
      <c r="YK24" s="1"/>
      <c r="YL24" s="3"/>
      <c r="YM24" s="3"/>
      <c r="YN24" s="3"/>
      <c r="YO24" s="1"/>
      <c r="YP24" s="1"/>
      <c r="YQ24" s="3"/>
      <c r="YR24" s="3"/>
      <c r="YS24" s="3"/>
      <c r="YT24" s="1"/>
      <c r="YU24" s="1"/>
      <c r="YV24" s="3"/>
      <c r="YW24" s="3"/>
      <c r="YX24" s="3"/>
      <c r="YY24" s="1"/>
      <c r="YZ24" s="1"/>
      <c r="ZG24" s="1"/>
      <c r="ZH24" s="3"/>
      <c r="ZI24" s="3"/>
      <c r="ZJ24" s="3"/>
      <c r="ZK24" s="1"/>
      <c r="ZL24" s="1"/>
      <c r="ZM24" s="3"/>
      <c r="ZN24" s="3"/>
      <c r="ZO24" s="3"/>
      <c r="ZP24" s="1"/>
      <c r="ZQ24" s="1"/>
      <c r="ZR24" s="3"/>
      <c r="ZS24" s="3"/>
      <c r="ZT24" s="3"/>
      <c r="ZU24" s="1"/>
      <c r="ZV24" s="1"/>
      <c r="ZW24" s="3"/>
      <c r="ZX24" s="3"/>
      <c r="ZY24" s="3"/>
      <c r="ZZ24" s="1"/>
      <c r="AAA24" s="1"/>
      <c r="AAH24" s="1"/>
      <c r="AAI24" s="3"/>
      <c r="AAJ24" s="3"/>
      <c r="AAK24" s="3"/>
      <c r="AAL24" s="1"/>
      <c r="AAM24" s="1"/>
      <c r="AAN24" s="3"/>
      <c r="AAO24" s="3"/>
      <c r="AAP24" s="3"/>
      <c r="AAQ24" s="1"/>
      <c r="AAR24" s="1"/>
      <c r="AAS24" s="3"/>
      <c r="AAT24" s="3"/>
      <c r="AAU24" s="3"/>
      <c r="AAV24" s="1"/>
      <c r="AAW24" s="1"/>
      <c r="AAX24" s="3"/>
      <c r="AAY24" s="3"/>
      <c r="AAZ24" s="3"/>
      <c r="ABA24" s="1"/>
      <c r="ABB24" s="1"/>
      <c r="ABI24" s="1"/>
      <c r="ABJ24" s="3"/>
      <c r="ABK24" s="3"/>
      <c r="ABL24" s="3"/>
      <c r="ABM24" s="1"/>
      <c r="ABN24" s="1"/>
      <c r="ABO24" s="3"/>
      <c r="ABP24" s="3"/>
      <c r="ABQ24" s="3"/>
      <c r="ABR24" s="1"/>
      <c r="ABS24" s="1"/>
      <c r="ABT24" s="3"/>
      <c r="ABU24" s="3"/>
      <c r="ABV24" s="3"/>
      <c r="ABW24" s="1"/>
      <c r="ABX24" s="1"/>
      <c r="ABY24" s="3"/>
      <c r="ABZ24" s="3"/>
      <c r="ACA24" s="3"/>
      <c r="ACB24" s="1"/>
      <c r="ACC24" s="1"/>
      <c r="ACJ24" s="1"/>
      <c r="ACK24" s="3"/>
      <c r="ACL24" s="3"/>
      <c r="ACM24" s="3"/>
      <c r="ACN24" s="1"/>
      <c r="ACO24" s="1"/>
      <c r="ACP24" s="3"/>
      <c r="ACQ24" s="3"/>
      <c r="ACR24" s="3"/>
      <c r="ACS24" s="1"/>
      <c r="ACT24" s="1"/>
      <c r="ACU24" s="3"/>
      <c r="ACV24" s="3"/>
      <c r="ACW24" s="3"/>
      <c r="ACX24" s="1"/>
      <c r="ACY24" s="1"/>
      <c r="ACZ24" s="3"/>
      <c r="ADA24" s="3"/>
      <c r="ADB24" s="3"/>
      <c r="ADC24" s="1"/>
      <c r="ADD24" s="1"/>
      <c r="ADK24" s="1"/>
      <c r="ADL24" s="3"/>
      <c r="ADM24" s="3"/>
      <c r="ADN24" s="3"/>
      <c r="ADO24" s="1"/>
      <c r="ADP24" s="1"/>
      <c r="ADQ24" s="3"/>
      <c r="ADR24" s="3"/>
      <c r="ADS24" s="3"/>
      <c r="ADT24" s="1"/>
      <c r="ADU24" s="1"/>
      <c r="ADV24" s="3"/>
      <c r="ADW24" s="3"/>
      <c r="ADX24" s="3"/>
      <c r="ADY24" s="1"/>
      <c r="ADZ24" s="1"/>
      <c r="AEA24" s="3"/>
      <c r="AEB24" s="3"/>
      <c r="AEC24" s="3"/>
      <c r="AED24" s="1"/>
      <c r="AEE24" s="1"/>
      <c r="AEL24" s="1"/>
      <c r="AEM24" s="3"/>
      <c r="AEN24" s="3"/>
      <c r="AEO24" s="3"/>
      <c r="AEP24" s="1"/>
      <c r="AEQ24" s="1"/>
      <c r="AER24" s="3"/>
      <c r="AES24" s="3"/>
      <c r="AET24" s="3"/>
      <c r="AEU24" s="1"/>
      <c r="AEV24" s="1"/>
      <c r="AEW24" s="3"/>
      <c r="AEX24" s="3"/>
      <c r="AEY24" s="3"/>
      <c r="AEZ24" s="1"/>
      <c r="AFA24" s="1"/>
      <c r="AFB24" s="3"/>
      <c r="AFC24" s="3"/>
      <c r="AFD24" s="3"/>
      <c r="AFE24" s="1"/>
      <c r="AFF24" s="1"/>
      <c r="AFM24" s="1"/>
      <c r="AFN24" s="3"/>
      <c r="AFO24" s="3"/>
      <c r="AFP24" s="3"/>
      <c r="AFQ24" s="1"/>
      <c r="AFR24" s="1"/>
      <c r="AFS24" s="3"/>
      <c r="AFT24" s="3"/>
      <c r="AFU24" s="3"/>
      <c r="AFV24" s="1"/>
      <c r="AFW24" s="1"/>
      <c r="AFX24" s="3"/>
      <c r="AFY24" s="3"/>
      <c r="AFZ24" s="3"/>
      <c r="AGA24" s="1"/>
      <c r="AGB24" s="1"/>
      <c r="AGC24" s="3"/>
      <c r="AGD24" s="3"/>
      <c r="AGE24" s="3"/>
      <c r="AGF24" s="1"/>
      <c r="AGG24" s="1"/>
      <c r="AGN24" s="1"/>
      <c r="AGO24" s="3"/>
      <c r="AGP24" s="3"/>
      <c r="AGQ24" s="3"/>
      <c r="AGR24" s="1"/>
      <c r="AGS24" s="1"/>
      <c r="AGT24" s="3"/>
      <c r="AGU24" s="3"/>
      <c r="AGV24" s="3"/>
      <c r="AGW24" s="1"/>
      <c r="AGX24" s="1"/>
      <c r="AGY24" s="3"/>
      <c r="AGZ24" s="3"/>
      <c r="AHA24" s="3"/>
      <c r="AHB24" s="1"/>
      <c r="AHC24" s="1"/>
      <c r="AHD24" s="3"/>
      <c r="AHE24" s="3"/>
      <c r="AHF24" s="3"/>
      <c r="AHG24" s="1"/>
      <c r="AHH24" s="1"/>
      <c r="AHO24" s="1"/>
      <c r="AHP24" s="3"/>
      <c r="AHQ24" s="3"/>
      <c r="AHR24" s="3"/>
      <c r="AHS24" s="1"/>
      <c r="AHT24" s="1"/>
      <c r="AHU24" s="3"/>
      <c r="AHV24" s="3"/>
      <c r="AHW24" s="3"/>
      <c r="AHX24" s="1"/>
      <c r="AHY24" s="1"/>
      <c r="AHZ24" s="3"/>
      <c r="AIA24" s="3"/>
      <c r="AIB24" s="3"/>
      <c r="AIC24" s="1"/>
      <c r="AID24" s="1"/>
      <c r="AIE24" s="3"/>
      <c r="AIF24" s="3"/>
      <c r="AIG24" s="3"/>
      <c r="AIH24" s="1"/>
      <c r="AII24" s="1"/>
      <c r="AIP24" s="1"/>
      <c r="AIQ24" s="3"/>
      <c r="AIR24" s="3"/>
      <c r="AIS24" s="3"/>
      <c r="AIT24" s="1"/>
      <c r="AIU24" s="1"/>
      <c r="AIV24" s="3"/>
      <c r="AIW24" s="3"/>
      <c r="AIX24" s="3"/>
      <c r="AIY24" s="1"/>
      <c r="AIZ24" s="1"/>
      <c r="AJA24" s="3"/>
      <c r="AJB24" s="3"/>
      <c r="AJC24" s="3"/>
      <c r="AJD24" s="1"/>
      <c r="AJE24" s="1"/>
      <c r="AJF24" s="3"/>
      <c r="AJG24" s="3"/>
      <c r="AJH24" s="3"/>
      <c r="AJI24" s="1"/>
      <c r="AJJ24" s="1"/>
      <c r="AJQ24" s="1"/>
      <c r="AJR24" s="3"/>
      <c r="AJS24" s="3"/>
      <c r="AJT24" s="3"/>
      <c r="AJU24" s="1"/>
      <c r="AJV24" s="1"/>
      <c r="AJW24" s="3"/>
      <c r="AJX24" s="3"/>
      <c r="AJY24" s="3"/>
      <c r="AJZ24" s="1"/>
      <c r="AKA24" s="1"/>
      <c r="AKB24" s="3"/>
      <c r="AKC24" s="3"/>
      <c r="AKD24" s="3"/>
      <c r="AKE24" s="1"/>
      <c r="AKF24" s="1"/>
      <c r="AKG24" s="3"/>
      <c r="AKH24" s="3"/>
      <c r="AKI24" s="3"/>
      <c r="AKJ24" s="1"/>
      <c r="AKK24" s="1"/>
      <c r="AKR24" s="1"/>
      <c r="AKS24" s="3"/>
      <c r="AKT24" s="3"/>
      <c r="AKU24" s="3"/>
      <c r="AKV24" s="1"/>
      <c r="AKW24" s="1"/>
      <c r="AKX24" s="3"/>
      <c r="AKY24" s="3"/>
      <c r="AKZ24" s="3"/>
      <c r="ALA24" s="1"/>
      <c r="ALB24" s="1"/>
      <c r="ALC24" s="3"/>
      <c r="ALD24" s="3"/>
      <c r="ALE24" s="3"/>
      <c r="ALF24" s="1"/>
      <c r="ALG24" s="1"/>
      <c r="ALH24" s="3"/>
      <c r="ALI24" s="3"/>
      <c r="ALJ24" s="3"/>
      <c r="ALK24" s="1"/>
      <c r="ALL24" s="1"/>
      <c r="ALS24" s="1"/>
      <c r="ALT24" s="3"/>
      <c r="ALU24" s="3"/>
      <c r="ALV24" s="3"/>
      <c r="ALW24" s="1"/>
      <c r="ALX24" s="1"/>
      <c r="ALY24" s="3"/>
      <c r="ALZ24" s="3"/>
      <c r="AMA24" s="3"/>
      <c r="AMB24" s="1"/>
      <c r="AMC24" s="1"/>
      <c r="AMD24" s="3"/>
      <c r="AME24" s="3"/>
      <c r="AMF24" s="3"/>
      <c r="AMG24" s="1"/>
      <c r="AMH24" s="1"/>
      <c r="AMI24" s="3"/>
      <c r="AMJ24" s="3"/>
      <c r="AMK24" s="3"/>
      <c r="AML24" s="1"/>
      <c r="AMM24" s="1"/>
      <c r="AMT24" s="1"/>
      <c r="AMU24" s="3"/>
      <c r="AMV24" s="3"/>
      <c r="AMW24" s="3"/>
      <c r="AMX24" s="1"/>
      <c r="AMY24" s="1"/>
      <c r="AMZ24" s="3"/>
      <c r="ANA24" s="3"/>
      <c r="ANB24" s="3"/>
      <c r="ANC24" s="1"/>
      <c r="AND24" s="1"/>
      <c r="ANE24" s="3"/>
      <c r="ANF24" s="3"/>
      <c r="ANG24" s="3"/>
      <c r="ANH24" s="1"/>
      <c r="ANI24" s="1"/>
      <c r="ANJ24" s="3"/>
      <c r="ANK24" s="3"/>
      <c r="ANL24" s="3"/>
      <c r="ANM24" s="1"/>
      <c r="ANN24" s="1"/>
      <c r="ANU24" s="1"/>
      <c r="ANV24" s="3"/>
      <c r="ANW24" s="3"/>
      <c r="ANX24" s="3"/>
      <c r="ANY24" s="1"/>
      <c r="ANZ24" s="1"/>
      <c r="AOA24" s="3"/>
      <c r="AOB24" s="3"/>
      <c r="AOC24" s="3"/>
      <c r="AOD24" s="1"/>
      <c r="AOE24" s="1"/>
      <c r="AOF24" s="3"/>
      <c r="AOG24" s="3"/>
      <c r="AOH24" s="3"/>
      <c r="AOI24" s="1"/>
      <c r="AOJ24" s="3"/>
      <c r="AOK24" s="1"/>
      <c r="AOL24" s="3"/>
      <c r="AOM24" s="3"/>
      <c r="AON24" s="3"/>
      <c r="AOO24" s="1"/>
      <c r="AOP24" s="1"/>
      <c r="AOW24" s="1"/>
      <c r="AOX24" s="3"/>
      <c r="AOY24" s="3"/>
      <c r="AOZ24" s="3"/>
      <c r="APA24" s="1"/>
      <c r="APB24" s="1"/>
      <c r="APC24" s="3"/>
      <c r="APD24" s="3"/>
      <c r="APE24" s="3"/>
      <c r="APF24" s="1"/>
      <c r="APG24" s="1"/>
      <c r="APH24" s="3"/>
      <c r="API24" s="3"/>
      <c r="APJ24" s="3"/>
      <c r="APK24" s="1"/>
      <c r="APL24" s="1"/>
      <c r="APM24" s="3"/>
      <c r="APN24" s="3"/>
      <c r="APO24" s="3"/>
      <c r="APP24" s="1"/>
      <c r="APQ24" s="1"/>
      <c r="APX24" s="1"/>
      <c r="APY24" s="3"/>
      <c r="APZ24" s="3"/>
      <c r="AQA24" s="3"/>
      <c r="AQB24" s="1"/>
      <c r="AQC24" s="1"/>
      <c r="AQD24" s="3"/>
      <c r="AQE24" s="3"/>
      <c r="AQF24" s="3"/>
      <c r="AQG24" s="1"/>
      <c r="AQH24" s="1"/>
      <c r="AQI24" s="3"/>
      <c r="AQJ24" s="3"/>
      <c r="AQK24" s="3"/>
      <c r="AQL24" s="1"/>
      <c r="AQM24" s="1"/>
      <c r="AQN24" s="3"/>
      <c r="AQO24" s="3"/>
      <c r="AQP24" s="3"/>
      <c r="AQQ24" s="1"/>
      <c r="AQR24" s="1"/>
      <c r="AQY24" s="1"/>
      <c r="AQZ24" s="3"/>
      <c r="ARA24" s="3"/>
      <c r="ARB24" s="3"/>
      <c r="ARC24" s="1"/>
      <c r="ARD24" s="1"/>
      <c r="ARE24" s="3"/>
      <c r="ARF24" s="3"/>
      <c r="ARG24" s="3"/>
      <c r="ARH24" s="1"/>
      <c r="ARI24" s="1"/>
      <c r="ARJ24" s="3"/>
      <c r="ARK24" s="3"/>
      <c r="ARL24" s="3"/>
      <c r="ARM24" s="1"/>
      <c r="ARN24" s="1"/>
      <c r="ARO24" s="3"/>
      <c r="ARP24" s="3"/>
      <c r="ARQ24" s="3"/>
      <c r="ARR24" s="1"/>
      <c r="ARS24" s="1"/>
      <c r="ARZ24" s="1"/>
      <c r="ASA24" s="3"/>
      <c r="ASB24" s="3"/>
      <c r="ASC24" s="3"/>
      <c r="ASD24" s="1"/>
      <c r="ASE24" s="1"/>
      <c r="ASF24" s="3"/>
      <c r="ASG24" s="3"/>
      <c r="ASH24" s="3"/>
      <c r="ASI24" s="1"/>
      <c r="ASJ24" s="1"/>
      <c r="ASK24" s="3"/>
      <c r="ASL24" s="3"/>
      <c r="ASM24" s="3"/>
      <c r="ASN24" s="1"/>
      <c r="ASO24" s="1"/>
      <c r="ASP24" s="3"/>
      <c r="ASQ24" s="3"/>
      <c r="ASR24" s="3"/>
      <c r="ASS24" s="1"/>
      <c r="AST24" s="1"/>
      <c r="ATA24" s="1"/>
      <c r="ATB24" s="3"/>
      <c r="ATC24" s="3"/>
      <c r="ATD24" s="3"/>
      <c r="ATE24" s="1"/>
      <c r="ATF24" s="1"/>
      <c r="ATG24" s="3"/>
      <c r="ATH24" s="3"/>
      <c r="ATI24" s="3"/>
      <c r="ATJ24" s="1"/>
      <c r="ATK24" s="1"/>
      <c r="ATL24" s="3"/>
      <c r="ATM24" s="3"/>
      <c r="ATN24" s="3"/>
      <c r="ATO24" s="1"/>
      <c r="ATP24" s="1"/>
      <c r="ATQ24" s="3"/>
      <c r="ATR24" s="3"/>
      <c r="ATS24" s="3"/>
      <c r="ATT24" s="1"/>
      <c r="ATU24" s="1"/>
      <c r="AUB24" s="1"/>
      <c r="AUC24" s="3"/>
      <c r="AUD24" s="3"/>
      <c r="AUE24" s="3"/>
      <c r="AUF24" s="1"/>
      <c r="AUG24" s="1"/>
      <c r="AUH24" s="3"/>
      <c r="AUI24" s="3"/>
      <c r="AUJ24" s="3"/>
      <c r="AUK24" s="1"/>
      <c r="AUL24" s="1"/>
      <c r="AUM24" s="3"/>
      <c r="AUN24" s="3"/>
      <c r="AUO24" s="3"/>
      <c r="AUP24" s="1"/>
      <c r="AUQ24" s="1"/>
      <c r="AUR24" s="3"/>
      <c r="AUS24" s="3"/>
      <c r="AUT24" s="3"/>
      <c r="AUU24" s="1"/>
      <c r="AUV24" s="1"/>
      <c r="AVC24" s="1"/>
      <c r="AVD24" s="3"/>
      <c r="AVE24" s="3"/>
      <c r="AVF24" s="3"/>
      <c r="AVG24" s="1"/>
      <c r="AVH24" s="1"/>
      <c r="AVI24" s="3"/>
      <c r="AVJ24" s="3"/>
      <c r="AVK24" s="3"/>
      <c r="AVL24" s="1"/>
      <c r="AVM24" s="1"/>
      <c r="AVN24" s="3"/>
      <c r="AVO24" s="3"/>
      <c r="AVP24" s="3"/>
      <c r="AVQ24" s="1"/>
      <c r="AVR24" s="1"/>
      <c r="AVS24" s="3"/>
      <c r="AVT24" s="3"/>
      <c r="AVU24" s="3"/>
      <c r="AVV24" s="1"/>
      <c r="AVW24" s="1"/>
      <c r="AWD24" s="1"/>
      <c r="AWE24" s="3"/>
      <c r="AWF24" s="3"/>
      <c r="AWG24" s="3"/>
      <c r="AWH24" s="1"/>
      <c r="AWI24" s="1"/>
      <c r="AWJ24" s="3"/>
      <c r="AWK24" s="3"/>
      <c r="AWL24" s="3"/>
      <c r="AWM24" s="1"/>
      <c r="AWN24" s="1"/>
      <c r="AWO24" s="3"/>
      <c r="AWP24" s="3"/>
      <c r="AWQ24" s="3"/>
      <c r="AWR24" s="1"/>
      <c r="AWS24" s="1"/>
      <c r="AWT24" s="3"/>
      <c r="AWU24" s="3"/>
      <c r="AWV24" s="3"/>
      <c r="AWW24" s="1"/>
      <c r="AWX24" s="1"/>
      <c r="AXE24" s="1"/>
      <c r="AXF24" s="3"/>
      <c r="AXG24" s="3"/>
      <c r="AXH24" s="3"/>
      <c r="AXI24" s="1"/>
      <c r="AXJ24" s="1"/>
      <c r="AXK24" s="3"/>
      <c r="AXL24" s="3"/>
      <c r="AXM24" s="3"/>
      <c r="AXN24" s="1"/>
      <c r="AXO24" s="1"/>
      <c r="AXP24" s="3"/>
      <c r="AXQ24" s="3"/>
      <c r="AXR24" s="3"/>
      <c r="AXS24" s="1"/>
      <c r="AXT24" s="1"/>
      <c r="AXU24" s="3"/>
      <c r="AXV24" s="3"/>
      <c r="AXW24" s="3"/>
      <c r="AXX24" s="1"/>
      <c r="AXY24" s="1"/>
      <c r="AYF24" s="1"/>
      <c r="AYG24" s="3"/>
      <c r="AYH24" s="3"/>
      <c r="AYI24" s="3"/>
      <c r="AYJ24" s="1"/>
      <c r="AYK24" s="1"/>
      <c r="AYL24" s="3"/>
      <c r="AYM24" s="3"/>
      <c r="AYN24" s="3"/>
      <c r="AYO24" s="1"/>
      <c r="AYP24" s="1"/>
      <c r="AYQ24" s="3"/>
      <c r="AYR24" s="3"/>
      <c r="AYS24" s="3"/>
      <c r="AYT24" s="1"/>
      <c r="AYU24" s="1"/>
      <c r="AYV24" s="3"/>
      <c r="AYW24" s="3"/>
      <c r="AYX24" s="3"/>
      <c r="AYY24" s="1"/>
      <c r="AYZ24" s="1"/>
      <c r="AZG24" s="1"/>
      <c r="AZH24" s="3"/>
      <c r="AZI24" s="3"/>
      <c r="AZJ24" s="3"/>
      <c r="AZK24" s="1"/>
      <c r="AZL24" s="1"/>
      <c r="AZM24" s="3"/>
      <c r="AZN24" s="3"/>
      <c r="AZO24" s="3"/>
      <c r="AZP24" s="1"/>
      <c r="AZQ24" s="1"/>
      <c r="AZR24" s="3"/>
      <c r="AZS24" s="3"/>
      <c r="AZT24" s="3"/>
      <c r="AZU24" s="1"/>
      <c r="AZV24" s="1"/>
      <c r="AZW24" s="3"/>
      <c r="AZX24" s="3"/>
      <c r="AZY24" s="3"/>
      <c r="AZZ24" s="1"/>
      <c r="BAA24" s="1"/>
      <c r="BAH24" s="1"/>
      <c r="BAI24" s="3"/>
      <c r="BAJ24" s="3"/>
      <c r="BAK24" s="3"/>
      <c r="BAL24" s="1"/>
      <c r="BAM24" s="1"/>
      <c r="BAN24" s="3"/>
      <c r="BAO24" s="3"/>
      <c r="BAP24" s="3"/>
      <c r="BAQ24" s="1"/>
      <c r="BAR24" s="1"/>
      <c r="BAS24" s="3"/>
      <c r="BAT24" s="3"/>
      <c r="BAU24" s="3"/>
      <c r="BAV24" s="1"/>
      <c r="BAW24" s="1"/>
      <c r="BAX24" s="3"/>
      <c r="BAY24" s="3"/>
      <c r="BAZ24" s="3"/>
      <c r="BBA24" s="1"/>
      <c r="BBB24" s="1"/>
      <c r="BBI24" s="1"/>
      <c r="BBJ24" s="3"/>
      <c r="BBK24" s="3"/>
      <c r="BBL24" s="3"/>
      <c r="BBM24" s="1"/>
      <c r="BBN24" s="1"/>
      <c r="BBO24" s="3"/>
      <c r="BBP24" s="3"/>
      <c r="BBQ24" s="3"/>
      <c r="BBR24" s="1"/>
      <c r="BBS24" s="1"/>
      <c r="BBT24" s="3"/>
      <c r="BBU24" s="3"/>
      <c r="BBV24" s="3"/>
      <c r="BBW24" s="1"/>
      <c r="BBX24" s="1"/>
      <c r="BBY24" s="3"/>
      <c r="BBZ24" s="3"/>
      <c r="BCA24" s="3"/>
      <c r="BCB24" s="1"/>
      <c r="BCC24" s="1"/>
      <c r="BCJ24" s="1"/>
      <c r="BCK24" s="3"/>
      <c r="BCL24" s="3"/>
      <c r="BCM24" s="3"/>
      <c r="BCN24" s="1"/>
      <c r="BCO24" s="1"/>
      <c r="BCP24" s="3"/>
      <c r="BCQ24" s="3"/>
      <c r="BCR24" s="3"/>
      <c r="BCS24" s="1"/>
      <c r="BCT24" s="1"/>
      <c r="BCU24" s="3"/>
      <c r="BCV24" s="3"/>
      <c r="BCW24" s="3"/>
      <c r="BCX24" s="1"/>
      <c r="BCY24" s="1"/>
      <c r="BCZ24" s="3"/>
      <c r="BDA24" s="3"/>
      <c r="BDB24" s="3"/>
      <c r="BDC24" s="1"/>
      <c r="BDD24" s="1"/>
      <c r="BDK24" s="1"/>
      <c r="BDL24" s="3"/>
      <c r="BDM24" s="3"/>
      <c r="BDN24" s="3"/>
      <c r="BDO24" s="1"/>
      <c r="BDP24" s="1"/>
      <c r="BDQ24" s="3"/>
      <c r="BDR24" s="3"/>
      <c r="BDS24" s="3"/>
      <c r="BDT24" s="1"/>
      <c r="BDU24" s="1"/>
      <c r="BDV24" s="3"/>
      <c r="BDW24" s="3"/>
      <c r="BDX24" s="3"/>
      <c r="BDY24" s="1"/>
      <c r="BDZ24" s="1"/>
      <c r="BEA24" s="3"/>
      <c r="BEB24" s="3"/>
      <c r="BEC24" s="3"/>
      <c r="BED24" s="1"/>
      <c r="BEE24" s="1"/>
      <c r="BEL24" s="1"/>
      <c r="BEM24" s="3"/>
      <c r="BEN24" s="3"/>
      <c r="BEO24" s="3"/>
      <c r="BEP24" s="1"/>
      <c r="BEQ24" s="1"/>
      <c r="BER24" s="3"/>
      <c r="BES24" s="3"/>
      <c r="BET24" s="3"/>
      <c r="BEU24" s="1"/>
      <c r="BEV24" s="1"/>
      <c r="BEW24" s="3"/>
      <c r="BEX24" s="3"/>
      <c r="BEY24" s="3"/>
      <c r="BEZ24" s="1"/>
      <c r="BFA24" s="1"/>
      <c r="BFB24" s="3"/>
      <c r="BFC24" s="3"/>
      <c r="BFD24" s="3"/>
      <c r="BFE24" s="1"/>
      <c r="BFF24" s="1"/>
      <c r="BFM24" s="1"/>
      <c r="BFN24" s="3"/>
      <c r="BFO24" s="3"/>
      <c r="BFP24" s="3"/>
      <c r="BFQ24" s="1"/>
      <c r="BFR24" s="1"/>
      <c r="BFS24" s="3"/>
      <c r="BFT24" s="3"/>
      <c r="BFU24" s="3"/>
      <c r="BFV24" s="1"/>
      <c r="BFW24" s="1"/>
      <c r="BFX24" s="3"/>
      <c r="BFY24" s="3"/>
      <c r="BFZ24" s="3"/>
      <c r="BGA24" s="1"/>
      <c r="BGB24" s="1"/>
      <c r="BGC24" s="3"/>
      <c r="BGD24" s="3"/>
      <c r="BGE24" s="3"/>
      <c r="BGF24" s="1"/>
    </row>
    <row r="25" spans="1:1540" ht="45" customHeight="1" x14ac:dyDescent="0.4">
      <c r="I25" s="3"/>
      <c r="J25" s="3"/>
      <c r="K25" s="3"/>
      <c r="L25" s="449" t="s">
        <v>863</v>
      </c>
      <c r="M25" s="1"/>
      <c r="N25" s="3"/>
      <c r="O25" s="3"/>
      <c r="P25" s="3"/>
      <c r="Q25" s="449" t="s">
        <v>864</v>
      </c>
      <c r="R25" s="1"/>
      <c r="S25" s="3"/>
      <c r="T25" s="3"/>
      <c r="U25" s="3"/>
      <c r="V25" s="449" t="s">
        <v>864</v>
      </c>
      <c r="W25" s="1"/>
      <c r="X25" s="3"/>
      <c r="Y25" s="3"/>
      <c r="Z25" s="3"/>
      <c r="AA25" s="449" t="s">
        <v>863</v>
      </c>
      <c r="AJ25" s="3"/>
      <c r="AK25" s="3"/>
      <c r="AL25" s="3"/>
      <c r="AM25" s="449" t="s">
        <v>863</v>
      </c>
      <c r="AN25" s="1"/>
      <c r="AO25" s="3"/>
      <c r="AP25" s="3"/>
      <c r="AQ25" s="3"/>
      <c r="AR25" s="449" t="s">
        <v>864</v>
      </c>
      <c r="AS25" s="1"/>
      <c r="AT25" s="3"/>
      <c r="AU25" s="3"/>
      <c r="AV25" s="3"/>
      <c r="AW25" s="449" t="s">
        <v>864</v>
      </c>
      <c r="AX25" s="1"/>
      <c r="AY25" s="3"/>
      <c r="AZ25" s="3"/>
      <c r="BA25" s="3"/>
      <c r="BB25" s="449" t="s">
        <v>863</v>
      </c>
      <c r="BK25" s="3"/>
      <c r="BL25" s="3"/>
      <c r="BM25" s="3"/>
      <c r="BN25" s="449" t="s">
        <v>863</v>
      </c>
      <c r="BO25" s="1"/>
      <c r="BP25" s="3"/>
      <c r="BQ25" s="3"/>
      <c r="BR25" s="3"/>
      <c r="BS25" s="449" t="s">
        <v>864</v>
      </c>
      <c r="BT25" s="1"/>
      <c r="BU25" s="3"/>
      <c r="BV25" s="3"/>
      <c r="BW25" s="3"/>
      <c r="BX25" s="449" t="s">
        <v>864</v>
      </c>
      <c r="BY25" s="1"/>
      <c r="BZ25" s="3"/>
      <c r="CA25" s="3"/>
      <c r="CB25" s="3"/>
      <c r="CC25" s="449" t="s">
        <v>864</v>
      </c>
      <c r="CL25" s="3"/>
      <c r="CM25" s="3"/>
      <c r="CN25" s="3"/>
      <c r="CO25" s="449" t="s">
        <v>863</v>
      </c>
      <c r="CP25" s="1"/>
      <c r="CQ25" s="3"/>
      <c r="CR25" s="3"/>
      <c r="CS25" s="3"/>
      <c r="CT25" s="449" t="s">
        <v>864</v>
      </c>
      <c r="CU25" s="1"/>
      <c r="CV25" s="3"/>
      <c r="CW25" s="3"/>
      <c r="CX25" s="3"/>
      <c r="CY25" s="449" t="s">
        <v>863</v>
      </c>
      <c r="CZ25" s="1"/>
      <c r="DA25" s="3"/>
      <c r="DB25" s="3"/>
      <c r="DC25" s="3"/>
      <c r="DD25" s="449" t="s">
        <v>865</v>
      </c>
      <c r="DM25" s="3"/>
      <c r="DN25" s="3"/>
      <c r="DO25" s="3"/>
      <c r="DP25" s="449" t="s">
        <v>863</v>
      </c>
      <c r="DQ25" s="1"/>
      <c r="DR25" s="3"/>
      <c r="DS25" s="3"/>
      <c r="DT25" s="3"/>
      <c r="DU25" s="449" t="s">
        <v>863</v>
      </c>
      <c r="DV25" s="1"/>
      <c r="DW25" s="3"/>
      <c r="DX25" s="3"/>
      <c r="DY25" s="3"/>
      <c r="DZ25" s="449" t="s">
        <v>863</v>
      </c>
      <c r="EA25" s="1"/>
      <c r="EB25" s="3"/>
      <c r="EC25" s="3"/>
      <c r="ED25" s="3"/>
      <c r="EE25" s="449" t="s">
        <v>863</v>
      </c>
      <c r="EN25" s="3"/>
      <c r="EO25" s="3"/>
      <c r="EP25" s="3"/>
      <c r="EQ25" s="449" t="s">
        <v>863</v>
      </c>
      <c r="ER25" s="1"/>
      <c r="ES25" s="3"/>
      <c r="ET25" s="3"/>
      <c r="EU25" s="3"/>
      <c r="EV25" s="449" t="s">
        <v>863</v>
      </c>
      <c r="EW25" s="1"/>
      <c r="EX25" s="3"/>
      <c r="EY25" s="3"/>
      <c r="EZ25" s="3"/>
      <c r="FA25" s="449" t="s">
        <v>863</v>
      </c>
      <c r="FB25" s="1"/>
      <c r="FC25" s="3"/>
      <c r="FD25" s="3"/>
      <c r="FE25" s="3"/>
      <c r="FF25" s="449" t="s">
        <v>863</v>
      </c>
      <c r="FO25" s="3"/>
      <c r="FP25" s="3"/>
      <c r="FQ25" s="3"/>
      <c r="FR25" s="449" t="s">
        <v>863</v>
      </c>
      <c r="FS25" s="1"/>
      <c r="FT25" s="3"/>
      <c r="FU25" s="3"/>
      <c r="FV25" s="3"/>
      <c r="FW25" s="449" t="s">
        <v>864</v>
      </c>
      <c r="FX25" s="1"/>
      <c r="FY25" s="3"/>
      <c r="FZ25" s="3"/>
      <c r="GA25" s="3"/>
      <c r="GB25" s="449" t="s">
        <v>863</v>
      </c>
      <c r="GC25" s="1"/>
      <c r="GD25" s="3"/>
      <c r="GE25" s="3"/>
      <c r="GF25" s="3"/>
      <c r="GG25" s="449" t="s">
        <v>864</v>
      </c>
      <c r="GO25" s="1"/>
      <c r="GP25" s="3"/>
      <c r="GQ25" s="3"/>
      <c r="GR25" s="3"/>
      <c r="GS25" s="449" t="s">
        <v>863</v>
      </c>
      <c r="GT25" s="1"/>
      <c r="GU25" s="3"/>
      <c r="GV25" s="3"/>
      <c r="GW25" s="3"/>
      <c r="GX25" s="449" t="s">
        <v>863</v>
      </c>
      <c r="GY25" s="1"/>
      <c r="GZ25" s="3"/>
      <c r="HA25" s="3"/>
      <c r="HB25" s="3"/>
      <c r="HC25" s="449" t="s">
        <v>863</v>
      </c>
      <c r="HD25" s="1"/>
      <c r="HE25" s="3"/>
      <c r="HF25" s="3"/>
      <c r="HG25" s="3"/>
      <c r="HH25" s="449" t="s">
        <v>863</v>
      </c>
      <c r="HP25" s="1"/>
      <c r="HQ25" s="3"/>
      <c r="HR25" s="3"/>
      <c r="HS25" s="3"/>
      <c r="HT25" s="449" t="s">
        <v>863</v>
      </c>
      <c r="HV25" s="3"/>
      <c r="HW25" s="3"/>
      <c r="HX25" s="3"/>
      <c r="HY25" s="449" t="s">
        <v>863</v>
      </c>
      <c r="IA25" s="3"/>
      <c r="IB25" s="3"/>
      <c r="IC25" s="3"/>
      <c r="ID25" s="449" t="s">
        <v>863</v>
      </c>
      <c r="IF25" s="3"/>
      <c r="IG25" s="3"/>
      <c r="IH25" s="3"/>
      <c r="II25" s="449" t="s">
        <v>863</v>
      </c>
      <c r="IR25" s="3"/>
      <c r="IS25" s="3"/>
      <c r="IT25" s="3"/>
      <c r="IU25" s="449" t="s">
        <v>863</v>
      </c>
      <c r="IV25" s="1"/>
      <c r="IW25" s="3"/>
      <c r="IX25" s="3"/>
      <c r="IY25" s="3"/>
      <c r="IZ25" s="449" t="s">
        <v>863</v>
      </c>
      <c r="JA25" s="1"/>
      <c r="JB25" s="3"/>
      <c r="JC25" s="3"/>
      <c r="JD25" s="3"/>
      <c r="JE25" s="449" t="s">
        <v>863</v>
      </c>
      <c r="JF25" s="1"/>
      <c r="JG25" s="3"/>
      <c r="JH25" s="3"/>
      <c r="JI25" s="3"/>
      <c r="JJ25" s="449" t="s">
        <v>863</v>
      </c>
      <c r="JS25" s="3"/>
      <c r="JT25" s="3"/>
      <c r="JU25" s="3"/>
      <c r="JV25" s="449" t="s">
        <v>863</v>
      </c>
      <c r="JW25" s="1"/>
      <c r="JX25" s="3"/>
      <c r="JY25" s="3"/>
      <c r="JZ25" s="3"/>
      <c r="KA25" s="449" t="s">
        <v>863</v>
      </c>
      <c r="KB25" s="1"/>
      <c r="KC25" s="3"/>
      <c r="KD25" s="3"/>
      <c r="KE25" s="3"/>
      <c r="KF25" s="449" t="s">
        <v>863</v>
      </c>
      <c r="KG25" s="1"/>
      <c r="KH25" s="3"/>
      <c r="KI25" s="3"/>
      <c r="KJ25" s="3"/>
      <c r="KK25" s="449" t="s">
        <v>863</v>
      </c>
      <c r="KT25" s="3"/>
      <c r="KU25" s="3"/>
      <c r="KV25" s="3"/>
      <c r="KW25" s="449" t="s">
        <v>863</v>
      </c>
      <c r="KX25" s="1"/>
      <c r="KY25" s="3"/>
      <c r="KZ25" s="3"/>
      <c r="LA25" s="3"/>
      <c r="LB25" s="449" t="s">
        <v>863</v>
      </c>
      <c r="LC25" s="1"/>
      <c r="LD25" s="3"/>
      <c r="LE25" s="3"/>
      <c r="LF25" s="3"/>
      <c r="LG25" s="449" t="s">
        <v>863</v>
      </c>
      <c r="LH25" s="1"/>
      <c r="LI25" s="3"/>
      <c r="LJ25" s="3"/>
      <c r="LK25" s="3"/>
      <c r="LL25" s="449" t="s">
        <v>863</v>
      </c>
      <c r="LU25" s="3"/>
      <c r="LV25" s="3"/>
      <c r="LW25" s="3"/>
      <c r="LX25" s="449" t="s">
        <v>863</v>
      </c>
      <c r="LY25" s="1"/>
      <c r="LZ25" s="3"/>
      <c r="MA25" s="3"/>
      <c r="MB25" s="3"/>
      <c r="MC25" s="449" t="s">
        <v>863</v>
      </c>
      <c r="MD25" s="1"/>
      <c r="ME25" s="3"/>
      <c r="MF25" s="3"/>
      <c r="MG25" s="3"/>
      <c r="MH25" s="449" t="s">
        <v>863</v>
      </c>
      <c r="MI25" s="1"/>
      <c r="MJ25" s="3"/>
      <c r="MK25" s="3"/>
      <c r="ML25" s="3"/>
      <c r="MM25" s="449" t="s">
        <v>863</v>
      </c>
      <c r="MV25" s="3"/>
      <c r="MW25" s="3"/>
      <c r="MX25" s="3"/>
      <c r="MY25" s="449" t="s">
        <v>863</v>
      </c>
      <c r="MZ25" s="1"/>
      <c r="NA25" s="3"/>
      <c r="NB25" s="3"/>
      <c r="NC25" s="3"/>
      <c r="ND25" s="449" t="s">
        <v>863</v>
      </c>
      <c r="NE25" s="1"/>
      <c r="NF25" s="3"/>
      <c r="NG25" s="3"/>
      <c r="NH25" s="3"/>
      <c r="NI25" s="449" t="s">
        <v>863</v>
      </c>
      <c r="NJ25" s="1"/>
      <c r="NK25" s="3"/>
      <c r="NL25" s="3"/>
      <c r="NM25" s="3"/>
      <c r="NN25" s="449" t="s">
        <v>863</v>
      </c>
      <c r="NW25" s="3"/>
      <c r="NX25" s="3"/>
      <c r="NY25" s="3"/>
      <c r="NZ25" s="449" t="s">
        <v>863</v>
      </c>
      <c r="OA25" s="1"/>
      <c r="OB25" s="3"/>
      <c r="OC25" s="3"/>
      <c r="OD25" s="3"/>
      <c r="OE25" s="449" t="s">
        <v>863</v>
      </c>
      <c r="OF25" s="1"/>
      <c r="OG25" s="3"/>
      <c r="OH25" s="3"/>
      <c r="OI25" s="3"/>
      <c r="OJ25" s="449" t="s">
        <v>863</v>
      </c>
      <c r="OK25" s="1"/>
      <c r="OL25" s="3"/>
      <c r="OM25" s="3"/>
      <c r="ON25" s="3"/>
      <c r="OO25" s="449" t="s">
        <v>863</v>
      </c>
      <c r="OX25" s="3"/>
      <c r="OY25" s="3"/>
      <c r="OZ25" s="3"/>
      <c r="PA25" s="449" t="s">
        <v>863</v>
      </c>
      <c r="PB25" s="1"/>
      <c r="PC25" s="3"/>
      <c r="PD25" s="3"/>
      <c r="PE25" s="3"/>
      <c r="PF25" s="449" t="s">
        <v>863</v>
      </c>
      <c r="PG25" s="1"/>
      <c r="PH25" s="3"/>
      <c r="PI25" s="3"/>
      <c r="PJ25" s="3"/>
      <c r="PK25" s="449" t="s">
        <v>863</v>
      </c>
      <c r="PL25" s="1"/>
      <c r="PM25" s="3"/>
      <c r="PN25" s="3"/>
      <c r="PO25" s="3"/>
      <c r="PP25" s="449" t="s">
        <v>863</v>
      </c>
      <c r="PY25" s="3"/>
      <c r="PZ25" s="3"/>
      <c r="QA25" s="3"/>
      <c r="QB25" s="449" t="s">
        <v>863</v>
      </c>
      <c r="QC25" s="1"/>
      <c r="QD25" s="3"/>
      <c r="QE25" s="3"/>
      <c r="QF25" s="3"/>
      <c r="QG25" s="449" t="s">
        <v>863</v>
      </c>
      <c r="QH25" s="1"/>
      <c r="QI25" s="3"/>
      <c r="QJ25" s="3"/>
      <c r="QK25" s="3"/>
      <c r="QL25" s="449" t="s">
        <v>863</v>
      </c>
      <c r="QM25" s="1"/>
      <c r="QN25" s="3"/>
      <c r="QO25" s="3"/>
      <c r="QP25" s="3"/>
      <c r="QQ25" s="449" t="s">
        <v>863</v>
      </c>
      <c r="QZ25" s="3"/>
      <c r="RA25" s="3"/>
      <c r="RB25" s="3"/>
      <c r="RC25" s="449" t="s">
        <v>863</v>
      </c>
      <c r="RD25" s="1"/>
      <c r="RE25" s="3"/>
      <c r="RF25" s="3"/>
      <c r="RG25" s="3"/>
      <c r="RH25" s="449" t="s">
        <v>863</v>
      </c>
      <c r="RI25" s="1"/>
      <c r="RJ25" s="3"/>
      <c r="RK25" s="3"/>
      <c r="RL25" s="3"/>
      <c r="RM25" s="449" t="s">
        <v>863</v>
      </c>
      <c r="RN25" s="1"/>
      <c r="RO25" s="3"/>
      <c r="RP25" s="3"/>
      <c r="RQ25" s="3"/>
      <c r="RR25" s="449" t="s">
        <v>863</v>
      </c>
      <c r="SA25" s="3"/>
      <c r="SB25" s="3"/>
      <c r="SC25" s="3"/>
      <c r="SD25" s="449" t="s">
        <v>863</v>
      </c>
      <c r="SE25" s="1"/>
      <c r="SF25" s="3"/>
      <c r="SG25" s="3"/>
      <c r="SH25" s="3"/>
      <c r="SI25" s="449" t="s">
        <v>863</v>
      </c>
      <c r="SJ25" s="1"/>
      <c r="SK25" s="3"/>
      <c r="SL25" s="3"/>
      <c r="SM25" s="3"/>
      <c r="SN25" s="449" t="s">
        <v>863</v>
      </c>
      <c r="SO25" s="1"/>
      <c r="SP25" s="3"/>
      <c r="SQ25" s="3"/>
      <c r="SR25" s="3"/>
      <c r="SS25" s="449" t="s">
        <v>863</v>
      </c>
      <c r="TB25" s="3"/>
      <c r="TC25" s="3"/>
      <c r="TD25" s="3"/>
      <c r="TE25" s="449" t="s">
        <v>863</v>
      </c>
      <c r="TF25" s="1"/>
      <c r="TG25" s="3"/>
      <c r="TH25" s="3"/>
      <c r="TI25" s="3"/>
      <c r="TJ25" s="449" t="s">
        <v>863</v>
      </c>
      <c r="TK25" s="1"/>
      <c r="TL25" s="3"/>
      <c r="TM25" s="3"/>
      <c r="TN25" s="3"/>
      <c r="TO25" s="449" t="s">
        <v>864</v>
      </c>
      <c r="TP25" s="1"/>
      <c r="TQ25" s="3"/>
      <c r="TR25" s="3"/>
      <c r="TS25" s="3"/>
      <c r="TT25" s="449" t="s">
        <v>863</v>
      </c>
      <c r="UC25" s="3"/>
      <c r="UD25" s="3"/>
      <c r="UE25" s="3"/>
      <c r="UF25" s="449" t="s">
        <v>863</v>
      </c>
      <c r="UG25" s="1"/>
      <c r="UH25" s="3"/>
      <c r="UI25" s="3"/>
      <c r="UJ25" s="3"/>
      <c r="UK25" s="449" t="s">
        <v>864</v>
      </c>
      <c r="UL25" s="1"/>
      <c r="UM25" s="3"/>
      <c r="UN25" s="3"/>
      <c r="UO25" s="3"/>
      <c r="UP25" s="449" t="s">
        <v>864</v>
      </c>
      <c r="UQ25" s="1"/>
      <c r="UR25" s="3"/>
      <c r="US25" s="3"/>
      <c r="UT25" s="3"/>
      <c r="UU25" s="449" t="s">
        <v>863</v>
      </c>
      <c r="VC25" s="1"/>
      <c r="VD25" s="3"/>
      <c r="VE25" s="3"/>
      <c r="VF25" s="3"/>
      <c r="VG25" s="449" t="s">
        <v>864</v>
      </c>
      <c r="VH25" s="1"/>
      <c r="VI25" s="3"/>
      <c r="VJ25" s="3"/>
      <c r="VK25" s="3"/>
      <c r="VL25" s="449" t="s">
        <v>863</v>
      </c>
      <c r="VM25" s="1"/>
      <c r="VN25" s="3"/>
      <c r="VO25" s="3"/>
      <c r="VP25" s="3"/>
      <c r="VQ25" s="449" t="s">
        <v>863</v>
      </c>
      <c r="VR25" s="1"/>
      <c r="VS25" s="3"/>
      <c r="VT25" s="3"/>
      <c r="VU25" s="3"/>
      <c r="VV25" s="449" t="s">
        <v>864</v>
      </c>
      <c r="WD25" s="1"/>
      <c r="WE25" s="3"/>
      <c r="WF25" s="3"/>
      <c r="WG25" s="3"/>
      <c r="WH25" s="449" t="s">
        <v>863</v>
      </c>
      <c r="WI25" s="1"/>
      <c r="WJ25" s="3"/>
      <c r="WK25" s="3"/>
      <c r="WL25" s="3"/>
      <c r="WM25" s="449" t="s">
        <v>864</v>
      </c>
      <c r="WN25" s="1"/>
      <c r="WO25" s="3"/>
      <c r="WP25" s="3"/>
      <c r="WQ25" s="3"/>
      <c r="WR25" s="449" t="s">
        <v>864</v>
      </c>
      <c r="WS25" s="1"/>
      <c r="WT25" s="3"/>
      <c r="WU25" s="3"/>
      <c r="WV25" s="3"/>
      <c r="WW25" s="449" t="s">
        <v>863</v>
      </c>
      <c r="XF25" s="3"/>
      <c r="XG25" s="3"/>
      <c r="XH25" s="3"/>
      <c r="XI25" s="449" t="s">
        <v>863</v>
      </c>
      <c r="XJ25" s="1"/>
      <c r="XK25" s="3"/>
      <c r="XL25" s="3"/>
      <c r="XM25" s="3"/>
      <c r="XN25" s="449" t="s">
        <v>864</v>
      </c>
      <c r="XO25" s="1"/>
      <c r="XP25" s="3"/>
      <c r="XQ25" s="3"/>
      <c r="XR25" s="3"/>
      <c r="XS25" s="449" t="s">
        <v>863</v>
      </c>
      <c r="XT25" s="1"/>
      <c r="XU25" s="3"/>
      <c r="XV25" s="3"/>
      <c r="XW25" s="3"/>
      <c r="XX25" s="449" t="s">
        <v>863</v>
      </c>
      <c r="YG25" s="3"/>
      <c r="YH25" s="3"/>
      <c r="YI25" s="3"/>
      <c r="YJ25" s="449" t="s">
        <v>863</v>
      </c>
      <c r="YK25" s="1"/>
      <c r="YL25" s="3"/>
      <c r="YM25" s="3"/>
      <c r="YN25" s="3"/>
      <c r="YO25" s="449" t="s">
        <v>864</v>
      </c>
      <c r="YP25" s="1"/>
      <c r="YQ25" s="3"/>
      <c r="YR25" s="3"/>
      <c r="YS25" s="3"/>
      <c r="YT25" s="449" t="s">
        <v>863</v>
      </c>
      <c r="YU25" s="1"/>
      <c r="YV25" s="3"/>
      <c r="YW25" s="3"/>
      <c r="YX25" s="3"/>
      <c r="YY25" s="449" t="s">
        <v>863</v>
      </c>
      <c r="ZH25" s="3"/>
      <c r="ZI25" s="3"/>
      <c r="ZJ25" s="3"/>
      <c r="ZK25" s="449" t="s">
        <v>863</v>
      </c>
      <c r="ZL25" s="1"/>
      <c r="ZM25" s="3"/>
      <c r="ZN25" s="3"/>
      <c r="ZO25" s="3"/>
      <c r="ZP25" s="449" t="s">
        <v>864</v>
      </c>
      <c r="ZQ25" s="1"/>
      <c r="ZR25" s="3"/>
      <c r="ZS25" s="3"/>
      <c r="ZT25" s="3"/>
      <c r="ZU25" s="449" t="s">
        <v>863</v>
      </c>
      <c r="ZV25" s="1"/>
      <c r="ZW25" s="3"/>
      <c r="ZX25" s="3"/>
      <c r="ZY25" s="3"/>
      <c r="ZZ25" s="449" t="s">
        <v>863</v>
      </c>
      <c r="AAI25" s="3"/>
      <c r="AAJ25" s="3"/>
      <c r="AAK25" s="3"/>
      <c r="AAL25" s="449" t="s">
        <v>863</v>
      </c>
      <c r="AAM25" s="1"/>
      <c r="AAN25" s="3"/>
      <c r="AAO25" s="3"/>
      <c r="AAP25" s="3"/>
      <c r="AAQ25" s="449" t="s">
        <v>863</v>
      </c>
      <c r="AAR25" s="1"/>
      <c r="AAS25" s="3"/>
      <c r="AAT25" s="3"/>
      <c r="AAU25" s="3"/>
      <c r="AAV25" s="449" t="s">
        <v>863</v>
      </c>
      <c r="AAW25" s="1"/>
      <c r="AAX25" s="3"/>
      <c r="AAY25" s="3"/>
      <c r="AAZ25" s="3"/>
      <c r="ABA25" s="449" t="s">
        <v>863</v>
      </c>
      <c r="ABJ25" s="3"/>
      <c r="ABK25" s="3"/>
      <c r="ABL25" s="3"/>
      <c r="ABM25" s="449" t="s">
        <v>863</v>
      </c>
      <c r="ABN25" s="1"/>
      <c r="ABO25" s="3"/>
      <c r="ABP25" s="3"/>
      <c r="ABQ25" s="3"/>
      <c r="ABR25" s="449" t="s">
        <v>863</v>
      </c>
      <c r="ABS25" s="1"/>
      <c r="ABT25" s="3"/>
      <c r="ABU25" s="3"/>
      <c r="ABV25" s="3"/>
      <c r="ABW25" s="449" t="s">
        <v>863</v>
      </c>
      <c r="ABX25" s="1"/>
      <c r="ABY25" s="3"/>
      <c r="ABZ25" s="3"/>
      <c r="ACA25" s="3"/>
      <c r="ACB25" s="449" t="s">
        <v>864</v>
      </c>
      <c r="ACJ25" s="1"/>
      <c r="ACK25" s="3"/>
      <c r="ACL25" s="3"/>
      <c r="ACM25" s="3"/>
      <c r="ACN25" s="449" t="s">
        <v>863</v>
      </c>
      <c r="ACO25" s="1"/>
      <c r="ACP25" s="3"/>
      <c r="ACQ25" s="3"/>
      <c r="ACR25" s="3"/>
      <c r="ACS25" s="449" t="s">
        <v>863</v>
      </c>
      <c r="ACT25" s="1"/>
      <c r="ACU25" s="3"/>
      <c r="ACV25" s="3"/>
      <c r="ACW25" s="3"/>
      <c r="ACX25" s="449" t="s">
        <v>864</v>
      </c>
      <c r="ACY25" s="1"/>
      <c r="ACZ25" s="3"/>
      <c r="ADA25" s="3"/>
      <c r="ADB25" s="3"/>
      <c r="ADC25" s="449" t="s">
        <v>864</v>
      </c>
      <c r="ADK25" s="1"/>
      <c r="ADL25" s="3"/>
      <c r="ADM25" s="3"/>
      <c r="ADN25" s="3"/>
      <c r="ADO25" s="449" t="s">
        <v>863</v>
      </c>
      <c r="ADP25" s="1"/>
      <c r="ADQ25" s="3"/>
      <c r="ADR25" s="3"/>
      <c r="ADS25" s="3"/>
      <c r="ADT25" s="449" t="s">
        <v>863</v>
      </c>
      <c r="ADU25" s="1"/>
      <c r="ADV25" s="3"/>
      <c r="ADW25" s="3"/>
      <c r="ADX25" s="3"/>
      <c r="ADY25" s="449" t="s">
        <v>863</v>
      </c>
      <c r="ADZ25" s="1"/>
      <c r="AEA25" s="3"/>
      <c r="AEB25" s="3"/>
      <c r="AEC25" s="3"/>
      <c r="AED25" s="449" t="s">
        <v>863</v>
      </c>
      <c r="AEL25" s="1"/>
      <c r="AEM25" s="3"/>
      <c r="AEN25" s="3"/>
      <c r="AEO25" s="3"/>
      <c r="AEP25" s="449" t="s">
        <v>863</v>
      </c>
      <c r="AEQ25" s="1"/>
      <c r="AER25" s="3"/>
      <c r="AES25" s="3"/>
      <c r="AET25" s="3"/>
      <c r="AEU25" s="449" t="s">
        <v>863</v>
      </c>
      <c r="AEV25" s="1"/>
      <c r="AEW25" s="3"/>
      <c r="AEX25" s="3"/>
      <c r="AEY25" s="3"/>
      <c r="AEZ25" s="449" t="s">
        <v>863</v>
      </c>
      <c r="AFA25" s="1"/>
      <c r="AFB25" s="3"/>
      <c r="AFC25" s="3"/>
      <c r="AFD25" s="3"/>
      <c r="AFE25" s="449" t="s">
        <v>863</v>
      </c>
      <c r="AFN25" s="3"/>
      <c r="AFO25" s="3"/>
      <c r="AFP25" s="3"/>
      <c r="AFQ25" s="449" t="s">
        <v>863</v>
      </c>
      <c r="AFR25" s="1"/>
      <c r="AFS25" s="3"/>
      <c r="AFT25" s="3"/>
      <c r="AFU25" s="3"/>
      <c r="AFV25" s="449" t="s">
        <v>863</v>
      </c>
      <c r="AFW25" s="1"/>
      <c r="AFX25" s="3"/>
      <c r="AFY25" s="3"/>
      <c r="AFZ25" s="3"/>
      <c r="AGA25" s="449" t="s">
        <v>863</v>
      </c>
      <c r="AGB25" s="1"/>
      <c r="AGC25" s="3"/>
      <c r="AGD25" s="3"/>
      <c r="AGE25" s="3"/>
      <c r="AGF25" s="449" t="s">
        <v>863</v>
      </c>
      <c r="AGO25" s="3"/>
      <c r="AGP25" s="3"/>
      <c r="AGQ25" s="3"/>
      <c r="AGR25" s="449" t="s">
        <v>863</v>
      </c>
      <c r="AGS25" s="1"/>
      <c r="AGT25" s="3"/>
      <c r="AGU25" s="3"/>
      <c r="AGV25" s="3"/>
      <c r="AGW25" s="449" t="s">
        <v>863</v>
      </c>
      <c r="AGX25" s="1"/>
      <c r="AGY25" s="3"/>
      <c r="AGZ25" s="3"/>
      <c r="AHA25" s="3"/>
      <c r="AHB25" s="449" t="s">
        <v>864</v>
      </c>
      <c r="AHC25" s="1"/>
      <c r="AHD25" s="3"/>
      <c r="AHE25" s="3"/>
      <c r="AHF25" s="3"/>
      <c r="AHG25" s="449" t="s">
        <v>864</v>
      </c>
      <c r="AHP25" s="3"/>
      <c r="AHQ25" s="3"/>
      <c r="AHR25" s="3"/>
      <c r="AHS25" s="449" t="s">
        <v>863</v>
      </c>
      <c r="AHT25" s="1"/>
      <c r="AHU25" s="3"/>
      <c r="AHV25" s="3"/>
      <c r="AHW25" s="3"/>
      <c r="AHX25" s="449" t="s">
        <v>863</v>
      </c>
      <c r="AHY25" s="1"/>
      <c r="AHZ25" s="3"/>
      <c r="AIA25" s="3"/>
      <c r="AIB25" s="3"/>
      <c r="AIC25" s="449" t="s">
        <v>863</v>
      </c>
      <c r="AID25" s="1"/>
      <c r="AIE25" s="3"/>
      <c r="AIF25" s="3"/>
      <c r="AIG25" s="3"/>
      <c r="AIH25" s="449" t="s">
        <v>863</v>
      </c>
      <c r="AIP25" s="1"/>
      <c r="AIQ25" s="3"/>
      <c r="AIR25" s="3"/>
      <c r="AIS25" s="3"/>
      <c r="AIT25" s="449" t="s">
        <v>863</v>
      </c>
      <c r="AIU25" s="1"/>
      <c r="AIV25" s="3"/>
      <c r="AIW25" s="3"/>
      <c r="AIX25" s="3"/>
      <c r="AIY25" s="449" t="s">
        <v>863</v>
      </c>
      <c r="AIZ25" s="1"/>
      <c r="AJA25" s="3"/>
      <c r="AJB25" s="3"/>
      <c r="AJC25" s="3"/>
      <c r="AJD25" s="449" t="s">
        <v>863</v>
      </c>
      <c r="AJE25" s="1"/>
      <c r="AJF25" s="3"/>
      <c r="AJG25" s="3"/>
      <c r="AJH25" s="3"/>
      <c r="AJI25" s="449" t="s">
        <v>863</v>
      </c>
      <c r="AJQ25" s="1"/>
      <c r="AJR25" s="3"/>
      <c r="AJS25" s="3"/>
      <c r="AJT25" s="3"/>
      <c r="AJU25" s="449" t="s">
        <v>863</v>
      </c>
      <c r="AJV25" s="1"/>
      <c r="AJW25" s="3"/>
      <c r="AJX25" s="3"/>
      <c r="AJY25" s="3"/>
      <c r="AJZ25" s="449" t="s">
        <v>863</v>
      </c>
      <c r="AKA25" s="1"/>
      <c r="AKB25" s="3"/>
      <c r="AKC25" s="3"/>
      <c r="AKD25" s="3"/>
      <c r="AKE25" s="449" t="s">
        <v>863</v>
      </c>
      <c r="AKF25" s="1"/>
      <c r="AKG25" s="3"/>
      <c r="AKH25" s="3"/>
      <c r="AKI25" s="3"/>
      <c r="AKJ25" s="449" t="s">
        <v>863</v>
      </c>
      <c r="AKR25" s="1"/>
      <c r="AKS25" s="3"/>
      <c r="AKT25" s="3"/>
      <c r="AKU25" s="3"/>
      <c r="AKV25" s="449" t="s">
        <v>863</v>
      </c>
      <c r="AKW25" s="1"/>
      <c r="AKX25" s="3"/>
      <c r="AKY25" s="3"/>
      <c r="AKZ25" s="3"/>
      <c r="ALA25" s="449" t="s">
        <v>863</v>
      </c>
      <c r="ALB25" s="1"/>
      <c r="ALC25" s="3"/>
      <c r="ALD25" s="3"/>
      <c r="ALE25" s="3"/>
      <c r="ALF25" s="449" t="s">
        <v>863</v>
      </c>
      <c r="ALG25" s="1"/>
      <c r="ALH25" s="3"/>
      <c r="ALI25" s="3"/>
      <c r="ALJ25" s="3"/>
      <c r="ALK25" s="449" t="s">
        <v>863</v>
      </c>
      <c r="ALS25" s="1"/>
      <c r="ALT25" s="3"/>
      <c r="ALU25" s="3"/>
      <c r="ALV25" s="3"/>
      <c r="ALW25" s="449" t="s">
        <v>863</v>
      </c>
      <c r="ALY25" s="3"/>
      <c r="ALZ25" s="3"/>
      <c r="AMA25" s="3"/>
      <c r="AMB25" s="449" t="s">
        <v>863</v>
      </c>
      <c r="AMD25" s="3"/>
      <c r="AME25" s="3"/>
      <c r="AMF25" s="3"/>
      <c r="AMG25" s="449" t="s">
        <v>863</v>
      </c>
      <c r="AMI25" s="3"/>
      <c r="AMJ25" s="3"/>
      <c r="AMK25" s="3"/>
      <c r="AML25" s="449" t="s">
        <v>863</v>
      </c>
      <c r="AMT25" s="1"/>
      <c r="AMU25" s="3"/>
      <c r="AMV25" s="3"/>
      <c r="AMW25" s="3"/>
      <c r="AMX25" s="449" t="s">
        <v>863</v>
      </c>
      <c r="AMZ25" s="3"/>
      <c r="ANA25" s="3"/>
      <c r="ANB25" s="3"/>
      <c r="ANC25" s="449" t="s">
        <v>863</v>
      </c>
      <c r="ANE25" s="3"/>
      <c r="ANF25" s="3"/>
      <c r="ANG25" s="3"/>
      <c r="ANH25" s="449" t="s">
        <v>863</v>
      </c>
      <c r="ANI25" s="1"/>
      <c r="ANJ25" s="3"/>
      <c r="ANK25" s="3"/>
      <c r="ANL25" s="3"/>
      <c r="ANM25" s="449" t="s">
        <v>863</v>
      </c>
      <c r="ANU25" s="1"/>
      <c r="ANV25" s="3"/>
      <c r="ANW25" s="3"/>
      <c r="ANX25" s="3"/>
      <c r="ANY25" s="449" t="s">
        <v>863</v>
      </c>
      <c r="AOA25" s="3"/>
      <c r="AOB25" s="3"/>
      <c r="AOC25" s="3"/>
      <c r="AOD25" s="449" t="s">
        <v>863</v>
      </c>
      <c r="AOF25" s="3"/>
      <c r="AOG25" s="3"/>
      <c r="AOH25" s="3"/>
      <c r="AOI25" s="551" t="s">
        <v>863</v>
      </c>
      <c r="AOJ25" s="551" t="s">
        <v>863</v>
      </c>
      <c r="AOK25" s="1"/>
      <c r="AOL25" s="3"/>
      <c r="AOM25" s="3"/>
      <c r="AON25" s="3"/>
      <c r="AOO25" s="449" t="s">
        <v>863</v>
      </c>
      <c r="AOW25" s="1"/>
      <c r="AOX25" s="3"/>
      <c r="AOY25" s="3"/>
      <c r="AOZ25" s="3"/>
      <c r="APA25" s="449" t="s">
        <v>863</v>
      </c>
      <c r="APC25" s="3"/>
      <c r="APD25" s="3"/>
      <c r="APE25" s="3"/>
      <c r="APF25" s="449" t="s">
        <v>863</v>
      </c>
      <c r="APH25" s="3"/>
      <c r="API25" s="3"/>
      <c r="APJ25" s="3"/>
      <c r="APK25" s="449" t="s">
        <v>863</v>
      </c>
      <c r="APL25" s="1"/>
      <c r="APM25" s="3"/>
      <c r="APN25" s="3"/>
      <c r="APO25" s="3"/>
      <c r="APP25" s="449" t="s">
        <v>863</v>
      </c>
      <c r="APY25" s="3"/>
      <c r="APZ25" s="3"/>
      <c r="AQA25" s="3"/>
      <c r="AQB25" s="449" t="s">
        <v>863</v>
      </c>
      <c r="AQC25" s="1"/>
      <c r="AQD25" s="3"/>
      <c r="AQE25" s="3"/>
      <c r="AQF25" s="3"/>
      <c r="AQG25" s="449" t="s">
        <v>864</v>
      </c>
      <c r="AQH25" s="1"/>
      <c r="AQI25" s="3"/>
      <c r="AQJ25" s="3"/>
      <c r="AQK25" s="3"/>
      <c r="AQL25" s="449" t="s">
        <v>864</v>
      </c>
      <c r="AQM25" s="1"/>
      <c r="AQN25" s="3"/>
      <c r="AQO25" s="3"/>
      <c r="AQP25" s="3"/>
      <c r="AQQ25" s="449" t="s">
        <v>863</v>
      </c>
      <c r="AQZ25" s="3"/>
      <c r="ARA25" s="3"/>
      <c r="ARB25" s="3"/>
      <c r="ARC25" s="449" t="s">
        <v>863</v>
      </c>
      <c r="ARD25" s="1"/>
      <c r="ARE25" s="3"/>
      <c r="ARF25" s="3"/>
      <c r="ARG25" s="3"/>
      <c r="ARH25" s="449" t="s">
        <v>863</v>
      </c>
      <c r="ARI25" s="1"/>
      <c r="ARJ25" s="3"/>
      <c r="ARK25" s="3"/>
      <c r="ARL25" s="3"/>
      <c r="ARM25" s="449" t="s">
        <v>863</v>
      </c>
      <c r="ARN25" s="1"/>
      <c r="ARO25" s="3"/>
      <c r="ARP25" s="3"/>
      <c r="ARQ25" s="3"/>
      <c r="ARR25" s="449" t="s">
        <v>864</v>
      </c>
      <c r="ASA25" s="3"/>
      <c r="ASB25" s="3"/>
      <c r="ASC25" s="3"/>
      <c r="ASD25" s="449" t="s">
        <v>863</v>
      </c>
      <c r="ASE25" s="1"/>
      <c r="ASF25" s="3"/>
      <c r="ASG25" s="3"/>
      <c r="ASH25" s="3"/>
      <c r="ASI25" s="449" t="s">
        <v>863</v>
      </c>
      <c r="ASJ25" s="1"/>
      <c r="ASK25" s="3"/>
      <c r="ASL25" s="3"/>
      <c r="ASM25" s="3"/>
      <c r="ASN25" s="449" t="s">
        <v>863</v>
      </c>
      <c r="ASO25" s="1"/>
      <c r="ASP25" s="3"/>
      <c r="ASQ25" s="3"/>
      <c r="ASR25" s="3"/>
      <c r="ASS25" s="449" t="s">
        <v>863</v>
      </c>
      <c r="ATB25" s="3"/>
      <c r="ATC25" s="3"/>
      <c r="ATD25" s="3"/>
      <c r="ATE25" s="449" t="s">
        <v>863</v>
      </c>
      <c r="ATF25" s="1"/>
      <c r="ATG25" s="3"/>
      <c r="ATH25" s="3"/>
      <c r="ATI25" s="3"/>
      <c r="ATJ25" s="449" t="s">
        <v>863</v>
      </c>
      <c r="ATK25" s="1"/>
      <c r="ATL25" s="3"/>
      <c r="ATM25" s="3"/>
      <c r="ATN25" s="3"/>
      <c r="ATO25" s="449" t="s">
        <v>863</v>
      </c>
      <c r="ATP25" s="1"/>
      <c r="ATQ25" s="3"/>
      <c r="ATR25" s="3"/>
      <c r="ATS25" s="3"/>
      <c r="ATT25" s="449" t="s">
        <v>864</v>
      </c>
      <c r="AUC25" s="3"/>
      <c r="AUD25" s="3"/>
      <c r="AUE25" s="3"/>
      <c r="AUF25" s="449" t="s">
        <v>864</v>
      </c>
      <c r="AUG25" s="1"/>
      <c r="AUH25" s="3"/>
      <c r="AUI25" s="3"/>
      <c r="AUJ25" s="3"/>
      <c r="AUK25" s="449" t="s">
        <v>864</v>
      </c>
      <c r="AUL25" s="1"/>
      <c r="AUM25" s="3"/>
      <c r="AUN25" s="3"/>
      <c r="AUO25" s="3"/>
      <c r="AUP25" s="449" t="s">
        <v>864</v>
      </c>
      <c r="AUQ25" s="1"/>
      <c r="AUR25" s="3"/>
      <c r="AUS25" s="3"/>
      <c r="AUT25" s="3"/>
      <c r="AUU25" s="449" t="s">
        <v>864</v>
      </c>
      <c r="AVD25" s="3"/>
      <c r="AVE25" s="3"/>
      <c r="AVF25" s="3"/>
      <c r="AVG25" s="449" t="s">
        <v>863</v>
      </c>
      <c r="AVH25" s="1"/>
      <c r="AVI25" s="3"/>
      <c r="AVJ25" s="3"/>
      <c r="AVK25" s="3"/>
      <c r="AVL25" s="449" t="s">
        <v>864</v>
      </c>
      <c r="AVM25" s="1"/>
      <c r="AVN25" s="3"/>
      <c r="AVO25" s="3"/>
      <c r="AVP25" s="3"/>
      <c r="AVQ25" s="449" t="s">
        <v>863</v>
      </c>
      <c r="AVR25" s="1"/>
      <c r="AVS25" s="3"/>
      <c r="AVT25" s="3"/>
      <c r="AVU25" s="3"/>
      <c r="AVV25" s="449" t="s">
        <v>863</v>
      </c>
      <c r="AWD25" s="1"/>
      <c r="AWE25" s="3"/>
      <c r="AWF25" s="3"/>
      <c r="AWG25" s="3"/>
      <c r="AWH25" s="449" t="s">
        <v>863</v>
      </c>
      <c r="AWI25" s="1"/>
      <c r="AWJ25" s="3"/>
      <c r="AWK25" s="3"/>
      <c r="AWL25" s="3"/>
      <c r="AWM25" s="449" t="s">
        <v>863</v>
      </c>
      <c r="AWN25" s="1"/>
      <c r="AWO25" s="3"/>
      <c r="AWP25" s="3"/>
      <c r="AWQ25" s="3"/>
      <c r="AWR25" s="449" t="s">
        <v>863</v>
      </c>
      <c r="AWS25" s="1"/>
      <c r="AWT25" s="3"/>
      <c r="AWU25" s="3"/>
      <c r="AWV25" s="3"/>
      <c r="AWW25" s="449" t="s">
        <v>863</v>
      </c>
      <c r="AXF25" s="3"/>
      <c r="AXG25" s="3"/>
      <c r="AXH25" s="3"/>
      <c r="AXI25" s="449" t="s">
        <v>863</v>
      </c>
      <c r="AXJ25" s="1"/>
      <c r="AXK25" s="3"/>
      <c r="AXL25" s="3"/>
      <c r="AXM25" s="3"/>
      <c r="AXN25" s="449" t="s">
        <v>863</v>
      </c>
      <c r="AXO25" s="1"/>
      <c r="AXP25" s="3"/>
      <c r="AXQ25" s="3"/>
      <c r="AXR25" s="3"/>
      <c r="AXS25" s="449" t="s">
        <v>863</v>
      </c>
      <c r="AXT25" s="1"/>
      <c r="AXU25" s="3"/>
      <c r="AXV25" s="3"/>
      <c r="AXW25" s="3"/>
      <c r="AXX25" s="449" t="s">
        <v>863</v>
      </c>
      <c r="AYG25" s="3"/>
      <c r="AYH25" s="3"/>
      <c r="AYI25" s="3"/>
      <c r="AYJ25" s="449" t="s">
        <v>864</v>
      </c>
      <c r="AYK25" s="1"/>
      <c r="AYL25" s="3"/>
      <c r="AYM25" s="3"/>
      <c r="AYN25" s="3"/>
      <c r="AYO25" s="449" t="s">
        <v>864</v>
      </c>
      <c r="AYP25" s="1"/>
      <c r="AYQ25" s="3"/>
      <c r="AYR25" s="3"/>
      <c r="AYS25" s="3"/>
      <c r="AYT25" s="449" t="s">
        <v>863</v>
      </c>
      <c r="AYU25" s="1"/>
      <c r="AYV25" s="3"/>
      <c r="AYW25" s="3"/>
      <c r="AYX25" s="3"/>
      <c r="AYY25" s="449" t="s">
        <v>863</v>
      </c>
      <c r="AZH25" s="3"/>
      <c r="AZI25" s="3"/>
      <c r="AZJ25" s="3"/>
      <c r="AZK25" s="449" t="s">
        <v>864</v>
      </c>
      <c r="AZL25" s="1"/>
      <c r="AZM25" s="3"/>
      <c r="AZN25" s="3"/>
      <c r="AZO25" s="3"/>
      <c r="AZP25" s="449" t="s">
        <v>864</v>
      </c>
      <c r="AZQ25" s="1"/>
      <c r="AZR25" s="3"/>
      <c r="AZS25" s="3"/>
      <c r="AZT25" s="3"/>
      <c r="AZU25" s="449" t="s">
        <v>863</v>
      </c>
      <c r="AZV25" s="1"/>
      <c r="AZW25" s="3"/>
      <c r="AZX25" s="3"/>
      <c r="AZY25" s="3"/>
      <c r="AZZ25" s="449" t="s">
        <v>863</v>
      </c>
      <c r="BAI25" s="3"/>
      <c r="BAJ25" s="3"/>
      <c r="BAK25" s="3"/>
      <c r="BAL25" s="449" t="s">
        <v>863</v>
      </c>
      <c r="BAM25" s="1"/>
      <c r="BAN25" s="3"/>
      <c r="BAO25" s="3"/>
      <c r="BAP25" s="3"/>
      <c r="BAQ25" s="449" t="s">
        <v>863</v>
      </c>
      <c r="BAR25" s="1"/>
      <c r="BAS25" s="3"/>
      <c r="BAT25" s="3"/>
      <c r="BAU25" s="3"/>
      <c r="BAV25" s="449" t="s">
        <v>864</v>
      </c>
      <c r="BAW25" s="1"/>
      <c r="BAX25" s="3"/>
      <c r="BAY25" s="3"/>
      <c r="BAZ25" s="3"/>
      <c r="BBA25" s="449" t="s">
        <v>864</v>
      </c>
      <c r="BBJ25" s="3"/>
      <c r="BBK25" s="3"/>
      <c r="BBL25" s="3"/>
      <c r="BBM25" s="449" t="s">
        <v>863</v>
      </c>
      <c r="BBN25" s="1"/>
      <c r="BBO25" s="3"/>
      <c r="BBP25" s="3"/>
      <c r="BBQ25" s="3"/>
      <c r="BBR25" s="449" t="s">
        <v>863</v>
      </c>
      <c r="BBS25" s="1"/>
      <c r="BBT25" s="3"/>
      <c r="BBU25" s="3"/>
      <c r="BBV25" s="3"/>
      <c r="BBW25" s="449" t="s">
        <v>863</v>
      </c>
      <c r="BBX25" s="1"/>
      <c r="BBY25" s="3"/>
      <c r="BBZ25" s="3"/>
      <c r="BCA25" s="3"/>
      <c r="BCB25" s="449" t="s">
        <v>863</v>
      </c>
      <c r="BCK25" s="3"/>
      <c r="BCL25" s="3"/>
      <c r="BCM25" s="3"/>
      <c r="BCN25" s="449" t="s">
        <v>863</v>
      </c>
      <c r="BCO25" s="1"/>
      <c r="BCP25" s="3"/>
      <c r="BCQ25" s="3"/>
      <c r="BCR25" s="3"/>
      <c r="BCS25" s="449" t="s">
        <v>863</v>
      </c>
      <c r="BCT25" s="1"/>
      <c r="BCU25" s="3"/>
      <c r="BCV25" s="3"/>
      <c r="BCW25" s="3"/>
      <c r="BCX25" s="449" t="s">
        <v>863</v>
      </c>
      <c r="BCY25" s="1"/>
      <c r="BCZ25" s="3"/>
      <c r="BDA25" s="3"/>
      <c r="BDB25" s="3"/>
      <c r="BDC25" s="449" t="s">
        <v>863</v>
      </c>
      <c r="BDL25" s="3"/>
      <c r="BDM25" s="3"/>
      <c r="BDN25" s="3"/>
      <c r="BDO25" s="449" t="s">
        <v>863</v>
      </c>
      <c r="BDP25" s="1"/>
      <c r="BDQ25" s="3"/>
      <c r="BDR25" s="3"/>
      <c r="BDS25" s="3"/>
      <c r="BDT25" s="449" t="s">
        <v>863</v>
      </c>
      <c r="BDU25" s="1"/>
      <c r="BDV25" s="3"/>
      <c r="BDW25" s="3"/>
      <c r="BDX25" s="3"/>
      <c r="BDY25" s="449" t="s">
        <v>863</v>
      </c>
      <c r="BDZ25" s="1"/>
      <c r="BEA25" s="3"/>
      <c r="BEB25" s="3"/>
      <c r="BEC25" s="3"/>
      <c r="BED25" s="449" t="s">
        <v>863</v>
      </c>
      <c r="BEM25" s="3"/>
      <c r="BEN25" s="3"/>
      <c r="BEO25" s="3"/>
      <c r="BEP25" s="449" t="s">
        <v>863</v>
      </c>
      <c r="BEQ25" s="1"/>
      <c r="BER25" s="3"/>
      <c r="BES25" s="3"/>
      <c r="BET25" s="3"/>
      <c r="BEU25" s="449" t="s">
        <v>864</v>
      </c>
      <c r="BEV25" s="1"/>
      <c r="BEW25" s="3"/>
      <c r="BEX25" s="3"/>
      <c r="BEY25" s="3"/>
      <c r="BEZ25" s="449" t="s">
        <v>863</v>
      </c>
      <c r="BFA25" s="1"/>
      <c r="BFB25" s="3"/>
      <c r="BFC25" s="3"/>
      <c r="BFD25" s="3"/>
      <c r="BFE25" s="449" t="s">
        <v>863</v>
      </c>
      <c r="BFN25" s="3"/>
      <c r="BFO25" s="3"/>
      <c r="BFP25" s="3"/>
      <c r="BFQ25" s="449" t="s">
        <v>863</v>
      </c>
      <c r="BFR25" s="1"/>
      <c r="BFS25" s="3"/>
      <c r="BFT25" s="3"/>
      <c r="BFU25" s="3"/>
      <c r="BFV25" s="449" t="s">
        <v>864</v>
      </c>
      <c r="BFW25" s="1"/>
      <c r="BFX25" s="3"/>
      <c r="BFY25" s="3"/>
      <c r="BFZ25" s="3"/>
      <c r="BGA25" s="449" t="s">
        <v>863</v>
      </c>
      <c r="BGB25" s="1"/>
      <c r="BGC25" s="3"/>
      <c r="BGD25" s="3"/>
      <c r="BGE25" s="3"/>
      <c r="BGF25" s="449" t="s">
        <v>863</v>
      </c>
    </row>
    <row r="26" spans="1:1540" ht="45" customHeight="1" x14ac:dyDescent="0.4">
      <c r="A26" s="1"/>
      <c r="H26" s="1"/>
      <c r="I26" s="3"/>
      <c r="J26" s="3"/>
      <c r="K26" s="3"/>
      <c r="L26" s="437" t="s">
        <v>869</v>
      </c>
      <c r="M26" s="1"/>
      <c r="N26" s="3"/>
      <c r="O26" s="3"/>
      <c r="P26" s="3"/>
      <c r="Q26" s="437" t="s">
        <v>868</v>
      </c>
      <c r="R26" s="1"/>
      <c r="S26" s="3"/>
      <c r="T26" s="3"/>
      <c r="U26" s="3"/>
      <c r="V26" s="437" t="s">
        <v>869</v>
      </c>
      <c r="W26" s="1"/>
      <c r="X26" s="3"/>
      <c r="Y26" s="3"/>
      <c r="Z26" s="3"/>
      <c r="AA26" s="437" t="s">
        <v>871</v>
      </c>
      <c r="AB26" s="1"/>
      <c r="AI26" s="1"/>
      <c r="AJ26" s="3"/>
      <c r="AK26" s="3"/>
      <c r="AL26" s="3"/>
      <c r="AM26" s="549" t="s">
        <v>803</v>
      </c>
      <c r="AN26" s="1"/>
      <c r="AO26" s="3"/>
      <c r="AP26" s="3"/>
      <c r="AQ26" s="3"/>
      <c r="AR26" s="437" t="s">
        <v>868</v>
      </c>
      <c r="AS26" s="1"/>
      <c r="AT26" s="3"/>
      <c r="AU26" s="3"/>
      <c r="AV26" s="3"/>
      <c r="AW26" s="437" t="s">
        <v>866</v>
      </c>
      <c r="AX26" s="1"/>
      <c r="AY26" s="3"/>
      <c r="AZ26" s="3"/>
      <c r="BA26" s="3"/>
      <c r="BB26" s="437" t="s">
        <v>868</v>
      </c>
      <c r="BC26" s="1"/>
      <c r="BJ26" s="1"/>
      <c r="BK26" s="3"/>
      <c r="BL26" s="3"/>
      <c r="BM26" s="3"/>
      <c r="BN26" s="437" t="s">
        <v>868</v>
      </c>
      <c r="BO26" s="1"/>
      <c r="BP26" s="3"/>
      <c r="BQ26" s="3"/>
      <c r="BR26" s="3"/>
      <c r="BS26" s="437" t="s">
        <v>881</v>
      </c>
      <c r="BT26" s="1"/>
      <c r="BU26" s="3"/>
      <c r="BV26" s="3"/>
      <c r="BW26" s="3"/>
      <c r="BX26" s="437" t="s">
        <v>878</v>
      </c>
      <c r="BY26" s="1"/>
      <c r="BZ26" s="3"/>
      <c r="CA26" s="3"/>
      <c r="CB26" s="3"/>
      <c r="CC26" s="437" t="s">
        <v>875</v>
      </c>
      <c r="CD26" s="1"/>
      <c r="CK26" s="1"/>
      <c r="CL26" s="3"/>
      <c r="CM26" s="3"/>
      <c r="CN26" s="3"/>
      <c r="CO26" s="437" t="s">
        <v>868</v>
      </c>
      <c r="CP26" s="1"/>
      <c r="CQ26" s="3"/>
      <c r="CR26" s="3"/>
      <c r="CS26" s="3"/>
      <c r="CT26" s="437" t="s">
        <v>866</v>
      </c>
      <c r="CU26" s="1"/>
      <c r="CV26" s="3"/>
      <c r="CW26" s="3"/>
      <c r="CX26" s="3"/>
      <c r="CY26" s="549" t="s">
        <v>803</v>
      </c>
      <c r="CZ26" s="1"/>
      <c r="DA26" s="3"/>
      <c r="DB26" s="3"/>
      <c r="DC26" s="3"/>
      <c r="DD26" s="437" t="s">
        <v>866</v>
      </c>
      <c r="DE26" s="1"/>
      <c r="DL26" s="1"/>
      <c r="DM26" s="3"/>
      <c r="DN26" s="3"/>
      <c r="DO26" s="3"/>
      <c r="DP26" s="549" t="s">
        <v>803</v>
      </c>
      <c r="DQ26" s="1"/>
      <c r="DR26" s="3"/>
      <c r="DS26" s="3"/>
      <c r="DT26" s="3"/>
      <c r="DU26" s="437" t="s">
        <v>872</v>
      </c>
      <c r="DV26" s="1"/>
      <c r="DW26" s="3"/>
      <c r="DX26" s="3"/>
      <c r="DY26" s="3"/>
      <c r="DZ26" s="437" t="s">
        <v>869</v>
      </c>
      <c r="EA26" s="1"/>
      <c r="EB26" s="3"/>
      <c r="EC26" s="3"/>
      <c r="ED26" s="3"/>
      <c r="EE26" s="437" t="s">
        <v>868</v>
      </c>
      <c r="EF26" s="1"/>
      <c r="EM26" s="1"/>
      <c r="EN26" s="3"/>
      <c r="EO26" s="3"/>
      <c r="EP26" s="3"/>
      <c r="EQ26" s="437" t="s">
        <v>868</v>
      </c>
      <c r="ER26" s="1"/>
      <c r="ES26" s="3"/>
      <c r="ET26" s="3"/>
      <c r="EU26" s="3"/>
      <c r="EV26" s="437" t="s">
        <v>869</v>
      </c>
      <c r="EW26" s="1"/>
      <c r="EX26" s="3"/>
      <c r="EY26" s="3"/>
      <c r="EZ26" s="3"/>
      <c r="FA26" s="549" t="s">
        <v>803</v>
      </c>
      <c r="FB26" s="1"/>
      <c r="FC26" s="3"/>
      <c r="FD26" s="3"/>
      <c r="FE26" s="3"/>
      <c r="FF26" s="437" t="s">
        <v>873</v>
      </c>
      <c r="FG26" s="1"/>
      <c r="FN26" s="1"/>
      <c r="FO26" s="3"/>
      <c r="FP26" s="3"/>
      <c r="FQ26" s="3"/>
      <c r="FR26" s="437" t="s">
        <v>874</v>
      </c>
      <c r="FS26" s="1"/>
      <c r="FT26" s="3"/>
      <c r="FU26" s="3"/>
      <c r="FV26" s="3"/>
      <c r="FW26" s="437" t="s">
        <v>872</v>
      </c>
      <c r="FX26" s="1"/>
      <c r="FY26" s="3"/>
      <c r="FZ26" s="3"/>
      <c r="GA26" s="3"/>
      <c r="GB26" s="437" t="s">
        <v>877</v>
      </c>
      <c r="GC26" s="1"/>
      <c r="GD26" s="3"/>
      <c r="GE26" s="3"/>
      <c r="GF26" s="3"/>
      <c r="GG26" s="437" t="s">
        <v>866</v>
      </c>
      <c r="GH26" s="1"/>
      <c r="GO26" s="1"/>
      <c r="GP26" s="3"/>
      <c r="GQ26" s="3"/>
      <c r="GR26" s="3"/>
      <c r="GS26" s="437" t="s">
        <v>869</v>
      </c>
      <c r="GT26" s="1"/>
      <c r="GU26" s="3"/>
      <c r="GV26" s="3"/>
      <c r="GW26" s="3"/>
      <c r="GX26" s="437" t="s">
        <v>872</v>
      </c>
      <c r="GY26" s="1"/>
      <c r="GZ26" s="3"/>
      <c r="HA26" s="3"/>
      <c r="HB26" s="3"/>
      <c r="HC26" s="437" t="s">
        <v>869</v>
      </c>
      <c r="HD26" s="1"/>
      <c r="HE26" s="3"/>
      <c r="HF26" s="3"/>
      <c r="HG26" s="3"/>
      <c r="HH26" s="437" t="s">
        <v>868</v>
      </c>
      <c r="HI26" s="1"/>
      <c r="HP26" s="1"/>
      <c r="HQ26" s="3"/>
      <c r="HR26" s="3"/>
      <c r="HS26" s="3"/>
      <c r="HT26" s="437" t="s">
        <v>871</v>
      </c>
      <c r="HU26" s="1"/>
      <c r="HV26" s="3"/>
      <c r="HW26" s="3"/>
      <c r="HX26" s="3"/>
      <c r="HY26" s="437" t="s">
        <v>868</v>
      </c>
      <c r="HZ26" s="1"/>
      <c r="IA26" s="3"/>
      <c r="IB26" s="3"/>
      <c r="IC26" s="3"/>
      <c r="ID26" s="437" t="s">
        <v>868</v>
      </c>
      <c r="IE26" s="1"/>
      <c r="IF26" s="3"/>
      <c r="IG26" s="3"/>
      <c r="IH26" s="3"/>
      <c r="II26" s="437" t="s">
        <v>868</v>
      </c>
      <c r="IJ26" s="1"/>
      <c r="IQ26" s="1"/>
      <c r="IR26" s="3"/>
      <c r="IS26" s="3"/>
      <c r="IT26" s="3"/>
      <c r="IU26" s="437" t="s">
        <v>866</v>
      </c>
      <c r="IV26" s="1"/>
      <c r="IW26" s="3"/>
      <c r="IX26" s="3"/>
      <c r="IY26" s="3"/>
      <c r="IZ26" s="437" t="s">
        <v>869</v>
      </c>
      <c r="JA26" s="1"/>
      <c r="JB26" s="3"/>
      <c r="JC26" s="3"/>
      <c r="JD26" s="3"/>
      <c r="JE26" s="549" t="s">
        <v>803</v>
      </c>
      <c r="JF26" s="1"/>
      <c r="JG26" s="3"/>
      <c r="JH26" s="3"/>
      <c r="JI26" s="3"/>
      <c r="JJ26" s="437" t="s">
        <v>870</v>
      </c>
      <c r="JK26" s="1"/>
      <c r="JR26" s="1"/>
      <c r="JS26" s="3"/>
      <c r="JT26" s="3"/>
      <c r="JU26" s="3"/>
      <c r="JV26" s="437" t="s">
        <v>879</v>
      </c>
      <c r="JW26" s="1"/>
      <c r="JX26" s="3"/>
      <c r="JY26" s="3"/>
      <c r="JZ26" s="3"/>
      <c r="KA26" s="437" t="s">
        <v>871</v>
      </c>
      <c r="KB26" s="1"/>
      <c r="KC26" s="3"/>
      <c r="KD26" s="3"/>
      <c r="KE26" s="3"/>
      <c r="KF26" s="437" t="s">
        <v>868</v>
      </c>
      <c r="KG26" s="1"/>
      <c r="KH26" s="3"/>
      <c r="KI26" s="3"/>
      <c r="KJ26" s="3"/>
      <c r="KK26" s="437" t="s">
        <v>868</v>
      </c>
      <c r="KL26" s="1"/>
      <c r="KS26" s="1"/>
      <c r="KT26" s="3"/>
      <c r="KU26" s="3"/>
      <c r="KV26" s="3"/>
      <c r="KW26" s="437" t="s">
        <v>870</v>
      </c>
      <c r="KX26" s="1"/>
      <c r="KY26" s="3"/>
      <c r="KZ26" s="3"/>
      <c r="LA26" s="3"/>
      <c r="LB26" s="437" t="s">
        <v>868</v>
      </c>
      <c r="LC26" s="1"/>
      <c r="LD26" s="3"/>
      <c r="LE26" s="3"/>
      <c r="LF26" s="3"/>
      <c r="LG26" s="437" t="s">
        <v>871</v>
      </c>
      <c r="LH26" s="1"/>
      <c r="LI26" s="3"/>
      <c r="LJ26" s="3"/>
      <c r="LK26" s="3"/>
      <c r="LL26" s="437" t="s">
        <v>869</v>
      </c>
      <c r="LM26" s="1"/>
      <c r="LT26" s="1"/>
      <c r="LU26" s="3"/>
      <c r="LV26" s="3"/>
      <c r="LW26" s="3"/>
      <c r="LX26" s="549" t="s">
        <v>803</v>
      </c>
      <c r="LY26" s="1"/>
      <c r="LZ26" s="3"/>
      <c r="MA26" s="3"/>
      <c r="MB26" s="3"/>
      <c r="MC26" s="437" t="s">
        <v>880</v>
      </c>
      <c r="MD26" s="1"/>
      <c r="ME26" s="3"/>
      <c r="MF26" s="3"/>
      <c r="MG26" s="3"/>
      <c r="MH26" s="549" t="s">
        <v>803</v>
      </c>
      <c r="MI26" s="1"/>
      <c r="MJ26" s="3"/>
      <c r="MK26" s="3"/>
      <c r="ML26" s="3"/>
      <c r="MM26" s="437" t="s">
        <v>871</v>
      </c>
      <c r="MN26" s="1"/>
      <c r="MU26" s="1"/>
      <c r="MV26" s="3"/>
      <c r="MW26" s="3"/>
      <c r="MX26" s="3"/>
      <c r="MY26" s="437" t="s">
        <v>879</v>
      </c>
      <c r="MZ26" s="1"/>
      <c r="NA26" s="3"/>
      <c r="NB26" s="3"/>
      <c r="NC26" s="3"/>
      <c r="ND26" s="549" t="s">
        <v>803</v>
      </c>
      <c r="NE26" s="1"/>
      <c r="NF26" s="3"/>
      <c r="NG26" s="3"/>
      <c r="NH26" s="3"/>
      <c r="NI26" s="437" t="s">
        <v>868</v>
      </c>
      <c r="NJ26" s="1"/>
      <c r="NK26" s="3"/>
      <c r="NL26" s="3"/>
      <c r="NM26" s="3"/>
      <c r="NN26" s="437" t="s">
        <v>869</v>
      </c>
      <c r="NO26" s="1"/>
      <c r="NV26" s="1"/>
      <c r="NW26" s="3"/>
      <c r="NX26" s="3"/>
      <c r="NY26" s="3"/>
      <c r="NZ26" s="549" t="s">
        <v>803</v>
      </c>
      <c r="OA26" s="1"/>
      <c r="OB26" s="3"/>
      <c r="OC26" s="3"/>
      <c r="OD26" s="3"/>
      <c r="OE26" s="437" t="s">
        <v>874</v>
      </c>
      <c r="OF26" s="1"/>
      <c r="OG26" s="3"/>
      <c r="OH26" s="3"/>
      <c r="OI26" s="3"/>
      <c r="OJ26" s="549" t="s">
        <v>803</v>
      </c>
      <c r="OK26" s="1"/>
      <c r="OL26" s="3"/>
      <c r="OM26" s="3"/>
      <c r="ON26" s="3"/>
      <c r="OO26" s="549" t="s">
        <v>803</v>
      </c>
      <c r="OP26" s="1"/>
      <c r="OW26" s="1"/>
      <c r="OX26" s="3"/>
      <c r="OY26" s="3"/>
      <c r="OZ26" s="3"/>
      <c r="PA26" s="549" t="s">
        <v>803</v>
      </c>
      <c r="PB26" s="1"/>
      <c r="PC26" s="3"/>
      <c r="PD26" s="3"/>
      <c r="PE26" s="3"/>
      <c r="PF26" s="437" t="s">
        <v>868</v>
      </c>
      <c r="PG26" s="1"/>
      <c r="PH26" s="3"/>
      <c r="PI26" s="3"/>
      <c r="PJ26" s="3"/>
      <c r="PK26" s="437" t="s">
        <v>867</v>
      </c>
      <c r="PL26" s="1"/>
      <c r="PM26" s="3"/>
      <c r="PN26" s="3"/>
      <c r="PO26" s="3"/>
      <c r="PP26" s="437" t="s">
        <v>874</v>
      </c>
      <c r="PQ26" s="1"/>
      <c r="PX26" s="1"/>
      <c r="PY26" s="3"/>
      <c r="PZ26" s="3"/>
      <c r="QA26" s="3"/>
      <c r="QB26" s="549" t="s">
        <v>803</v>
      </c>
      <c r="QC26" s="1"/>
      <c r="QD26" s="3"/>
      <c r="QE26" s="3"/>
      <c r="QF26" s="3"/>
      <c r="QG26" s="437" t="s">
        <v>877</v>
      </c>
      <c r="QH26" s="1"/>
      <c r="QI26" s="3"/>
      <c r="QJ26" s="3"/>
      <c r="QK26" s="3"/>
      <c r="QL26" s="549" t="s">
        <v>803</v>
      </c>
      <c r="QM26" s="1"/>
      <c r="QN26" s="3"/>
      <c r="QO26" s="3"/>
      <c r="QP26" s="3"/>
      <c r="QQ26" s="549" t="s">
        <v>803</v>
      </c>
      <c r="QR26" s="1"/>
      <c r="QY26" s="1"/>
      <c r="QZ26" s="3"/>
      <c r="RA26" s="3"/>
      <c r="RB26" s="3"/>
      <c r="RC26" s="549" t="s">
        <v>803</v>
      </c>
      <c r="RD26" s="1"/>
      <c r="RE26" s="3"/>
      <c r="RF26" s="3"/>
      <c r="RG26" s="3"/>
      <c r="RH26" s="549" t="s">
        <v>803</v>
      </c>
      <c r="RI26" s="1"/>
      <c r="RJ26" s="3"/>
      <c r="RK26" s="3"/>
      <c r="RL26" s="3"/>
      <c r="RM26" s="549" t="s">
        <v>803</v>
      </c>
      <c r="RN26" s="1"/>
      <c r="RO26" s="3"/>
      <c r="RP26" s="3"/>
      <c r="RQ26" s="3"/>
      <c r="RR26" s="549" t="s">
        <v>803</v>
      </c>
      <c r="RS26" s="1"/>
      <c r="RZ26" s="1"/>
      <c r="SA26" s="3"/>
      <c r="SB26" s="3"/>
      <c r="SC26" s="3"/>
      <c r="SD26" s="549" t="s">
        <v>803</v>
      </c>
      <c r="SE26" s="1"/>
      <c r="SF26" s="3"/>
      <c r="SG26" s="3"/>
      <c r="SH26" s="3"/>
      <c r="SI26" s="549" t="s">
        <v>803</v>
      </c>
      <c r="SJ26" s="1"/>
      <c r="SK26" s="3"/>
      <c r="SL26" s="3"/>
      <c r="SM26" s="3"/>
      <c r="SN26" s="549" t="s">
        <v>803</v>
      </c>
      <c r="SO26" s="1"/>
      <c r="SP26" s="3"/>
      <c r="SQ26" s="3"/>
      <c r="SR26" s="3"/>
      <c r="SS26" s="549" t="s">
        <v>803</v>
      </c>
      <c r="ST26" s="1"/>
      <c r="TA26" s="1"/>
      <c r="TB26" s="3"/>
      <c r="TC26" s="3"/>
      <c r="TD26" s="3"/>
      <c r="TE26" s="549" t="s">
        <v>803</v>
      </c>
      <c r="TF26" s="1"/>
      <c r="TG26" s="3"/>
      <c r="TH26" s="3"/>
      <c r="TI26" s="3"/>
      <c r="TJ26" s="549" t="s">
        <v>803</v>
      </c>
      <c r="TK26" s="1"/>
      <c r="TL26" s="3"/>
      <c r="TM26" s="3"/>
      <c r="TN26" s="3"/>
      <c r="TO26" s="549" t="s">
        <v>803</v>
      </c>
      <c r="TP26" s="1"/>
      <c r="TQ26" s="3"/>
      <c r="TR26" s="3"/>
      <c r="TS26" s="3"/>
      <c r="TT26" s="549" t="s">
        <v>803</v>
      </c>
      <c r="TU26" s="1"/>
      <c r="UB26" s="1"/>
      <c r="UC26" s="3"/>
      <c r="UD26" s="3"/>
      <c r="UE26" s="3"/>
      <c r="UF26" s="549" t="s">
        <v>803</v>
      </c>
      <c r="UG26" s="1"/>
      <c r="UH26" s="3"/>
      <c r="UI26" s="3"/>
      <c r="UJ26" s="3"/>
      <c r="UK26" s="549" t="s">
        <v>803</v>
      </c>
      <c r="UL26" s="1"/>
      <c r="UM26" s="3"/>
      <c r="UN26" s="3"/>
      <c r="UO26" s="3"/>
      <c r="UP26" s="549" t="s">
        <v>803</v>
      </c>
      <c r="UQ26" s="1"/>
      <c r="UR26" s="3"/>
      <c r="US26" s="3"/>
      <c r="UT26" s="3"/>
      <c r="UU26" s="437" t="s">
        <v>879</v>
      </c>
      <c r="UV26" s="1"/>
      <c r="VC26" s="1"/>
      <c r="VD26" s="3"/>
      <c r="VE26" s="3"/>
      <c r="VF26" s="3"/>
      <c r="VG26" s="549" t="s">
        <v>803</v>
      </c>
      <c r="VH26" s="1"/>
      <c r="VI26" s="3"/>
      <c r="VJ26" s="3"/>
      <c r="VK26" s="3"/>
      <c r="VL26" s="549" t="s">
        <v>803</v>
      </c>
      <c r="VM26" s="1"/>
      <c r="VN26" s="3"/>
      <c r="VO26" s="3"/>
      <c r="VP26" s="3"/>
      <c r="VQ26" s="549" t="s">
        <v>803</v>
      </c>
      <c r="VR26" s="1"/>
      <c r="VS26" s="3"/>
      <c r="VT26" s="3"/>
      <c r="VU26" s="3"/>
      <c r="VV26" s="549" t="s">
        <v>803</v>
      </c>
      <c r="VW26" s="1"/>
      <c r="WD26" s="1"/>
      <c r="WE26" s="3"/>
      <c r="WF26" s="3"/>
      <c r="WG26" s="3"/>
      <c r="WH26" s="549" t="s">
        <v>803</v>
      </c>
      <c r="WI26" s="1"/>
      <c r="WJ26" s="3"/>
      <c r="WK26" s="3"/>
      <c r="WL26" s="3"/>
      <c r="WM26" s="549" t="s">
        <v>803</v>
      </c>
      <c r="WN26" s="1"/>
      <c r="WO26" s="3"/>
      <c r="WP26" s="3"/>
      <c r="WQ26" s="3"/>
      <c r="WR26" s="549" t="s">
        <v>803</v>
      </c>
      <c r="WS26" s="1"/>
      <c r="WT26" s="3"/>
      <c r="WU26" s="3"/>
      <c r="WV26" s="3"/>
      <c r="WW26" s="437" t="s">
        <v>867</v>
      </c>
      <c r="WX26" s="1"/>
      <c r="XE26" s="1"/>
      <c r="XF26" s="3"/>
      <c r="XG26" s="3"/>
      <c r="XH26" s="3"/>
      <c r="XI26" s="549" t="s">
        <v>803</v>
      </c>
      <c r="XJ26" s="1"/>
      <c r="XK26" s="3"/>
      <c r="XL26" s="3"/>
      <c r="XM26" s="3"/>
      <c r="XN26" s="549" t="s">
        <v>803</v>
      </c>
      <c r="XO26" s="1"/>
      <c r="XP26" s="3"/>
      <c r="XQ26" s="3"/>
      <c r="XR26" s="3"/>
      <c r="XS26" s="437" t="s">
        <v>868</v>
      </c>
      <c r="XT26" s="1"/>
      <c r="XU26" s="3"/>
      <c r="XV26" s="3"/>
      <c r="XW26" s="3"/>
      <c r="XX26" s="437" t="s">
        <v>867</v>
      </c>
      <c r="XY26" s="1"/>
      <c r="YF26" s="1"/>
      <c r="YG26" s="3"/>
      <c r="YH26" s="3"/>
      <c r="YI26" s="3"/>
      <c r="YJ26" s="549" t="s">
        <v>803</v>
      </c>
      <c r="YK26" s="1"/>
      <c r="YL26" s="3"/>
      <c r="YM26" s="3"/>
      <c r="YN26" s="3"/>
      <c r="YO26" s="549" t="s">
        <v>803</v>
      </c>
      <c r="YP26" s="1"/>
      <c r="YQ26" s="3"/>
      <c r="YR26" s="3"/>
      <c r="YS26" s="3"/>
      <c r="YT26" s="437" t="s">
        <v>868</v>
      </c>
      <c r="YU26" s="1"/>
      <c r="YV26" s="3"/>
      <c r="YW26" s="3"/>
      <c r="YX26" s="3"/>
      <c r="YY26" s="437" t="s">
        <v>871</v>
      </c>
      <c r="YZ26" s="1"/>
      <c r="ZG26" s="1"/>
      <c r="ZH26" s="3"/>
      <c r="ZI26" s="3"/>
      <c r="ZJ26" s="3"/>
      <c r="ZK26" s="549" t="s">
        <v>803</v>
      </c>
      <c r="ZL26" s="1"/>
      <c r="ZM26" s="3"/>
      <c r="ZN26" s="3"/>
      <c r="ZO26" s="3"/>
      <c r="ZP26" s="549" t="s">
        <v>754</v>
      </c>
      <c r="ZQ26" s="1"/>
      <c r="ZR26" s="3"/>
      <c r="ZS26" s="3"/>
      <c r="ZT26" s="3"/>
      <c r="ZU26" s="437" t="s">
        <v>871</v>
      </c>
      <c r="ZV26" s="1"/>
      <c r="ZW26" s="3"/>
      <c r="ZX26" s="3"/>
      <c r="ZY26" s="3"/>
      <c r="ZZ26" s="437" t="s">
        <v>870</v>
      </c>
      <c r="AAA26" s="1"/>
      <c r="AAH26" s="1"/>
      <c r="AAI26" s="3"/>
      <c r="AAJ26" s="3"/>
      <c r="AAK26" s="3"/>
      <c r="AAL26" s="437" t="s">
        <v>868</v>
      </c>
      <c r="AAM26" s="1"/>
      <c r="AAN26" s="3"/>
      <c r="AAO26" s="3"/>
      <c r="AAP26" s="3"/>
      <c r="AAQ26" s="549" t="s">
        <v>803</v>
      </c>
      <c r="AAR26" s="1"/>
      <c r="AAS26" s="3"/>
      <c r="AAT26" s="3"/>
      <c r="AAU26" s="3"/>
      <c r="AAV26" s="549" t="s">
        <v>803</v>
      </c>
      <c r="AAW26" s="1"/>
      <c r="AAX26" s="3"/>
      <c r="AAY26" s="3"/>
      <c r="AAZ26" s="3"/>
      <c r="ABA26" s="549" t="s">
        <v>803</v>
      </c>
      <c r="ABB26" s="1"/>
      <c r="ABI26" s="1"/>
      <c r="ABJ26" s="3"/>
      <c r="ABK26" s="3"/>
      <c r="ABL26" s="3"/>
      <c r="ABM26" s="437" t="s">
        <v>869</v>
      </c>
      <c r="ABN26" s="1"/>
      <c r="ABO26" s="3"/>
      <c r="ABP26" s="3"/>
      <c r="ABQ26" s="3"/>
      <c r="ABR26" s="437" t="s">
        <v>868</v>
      </c>
      <c r="ABS26" s="1"/>
      <c r="ABT26" s="3"/>
      <c r="ABU26" s="3"/>
      <c r="ABV26" s="3"/>
      <c r="ABW26" s="549" t="s">
        <v>803</v>
      </c>
      <c r="ABX26" s="1"/>
      <c r="ABY26" s="3"/>
      <c r="ABZ26" s="3"/>
      <c r="ACA26" s="3"/>
      <c r="ACB26" s="437" t="s">
        <v>868</v>
      </c>
      <c r="ACC26" s="1"/>
      <c r="ACJ26" s="1"/>
      <c r="ACK26" s="3"/>
      <c r="ACL26" s="3"/>
      <c r="ACM26" s="3"/>
      <c r="ACN26" s="437" t="s">
        <v>868</v>
      </c>
      <c r="ACO26" s="1"/>
      <c r="ACP26" s="3"/>
      <c r="ACQ26" s="3"/>
      <c r="ACR26" s="3"/>
      <c r="ACS26" s="437" t="s">
        <v>868</v>
      </c>
      <c r="ACT26" s="1"/>
      <c r="ACU26" s="3"/>
      <c r="ACV26" s="3"/>
      <c r="ACW26" s="3"/>
      <c r="ACX26" s="437" t="s">
        <v>878</v>
      </c>
      <c r="ACY26" s="1"/>
      <c r="ACZ26" s="3"/>
      <c r="ADA26" s="3"/>
      <c r="ADB26" s="3"/>
      <c r="ADC26" s="549" t="s">
        <v>803</v>
      </c>
      <c r="ADD26" s="1"/>
      <c r="ADK26" s="1"/>
      <c r="ADL26" s="3"/>
      <c r="ADM26" s="3"/>
      <c r="ADN26" s="3"/>
      <c r="ADO26" s="437" t="s">
        <v>877</v>
      </c>
      <c r="ADP26" s="1"/>
      <c r="ADQ26" s="3"/>
      <c r="ADR26" s="3"/>
      <c r="ADS26" s="3"/>
      <c r="ADT26" s="437" t="s">
        <v>868</v>
      </c>
      <c r="ADU26" s="1"/>
      <c r="ADV26" s="3"/>
      <c r="ADW26" s="3"/>
      <c r="ADX26" s="3"/>
      <c r="ADY26" s="437" t="s">
        <v>868</v>
      </c>
      <c r="ADZ26" s="1"/>
      <c r="AEA26" s="3"/>
      <c r="AEB26" s="3"/>
      <c r="AEC26" s="3"/>
      <c r="AED26" s="437" t="s">
        <v>868</v>
      </c>
      <c r="AEE26" s="1"/>
      <c r="AEL26" s="1"/>
      <c r="AEM26" s="3"/>
      <c r="AEN26" s="3"/>
      <c r="AEO26" s="3"/>
      <c r="AEP26" s="437" t="s">
        <v>868</v>
      </c>
      <c r="AEQ26" s="1"/>
      <c r="AER26" s="3"/>
      <c r="AES26" s="3"/>
      <c r="AET26" s="3"/>
      <c r="AEU26" s="437" t="s">
        <v>876</v>
      </c>
      <c r="AEV26" s="1"/>
      <c r="AEW26" s="3"/>
      <c r="AEX26" s="3"/>
      <c r="AEY26" s="3"/>
      <c r="AEZ26" s="437" t="s">
        <v>869</v>
      </c>
      <c r="AFA26" s="1"/>
      <c r="AFB26" s="3"/>
      <c r="AFC26" s="3"/>
      <c r="AFD26" s="3"/>
      <c r="AFE26" s="437" t="s">
        <v>869</v>
      </c>
      <c r="AFF26" s="1"/>
      <c r="AFM26" s="1"/>
      <c r="AFN26" s="3"/>
      <c r="AFO26" s="3"/>
      <c r="AFP26" s="3"/>
      <c r="AFQ26" s="437" t="s">
        <v>868</v>
      </c>
      <c r="AFR26" s="1"/>
      <c r="AFS26" s="3"/>
      <c r="AFT26" s="3"/>
      <c r="AFU26" s="3"/>
      <c r="AFV26" s="437" t="s">
        <v>868</v>
      </c>
      <c r="AFW26" s="1"/>
      <c r="AFX26" s="3"/>
      <c r="AFY26" s="3"/>
      <c r="AFZ26" s="3"/>
      <c r="AGA26" s="437" t="s">
        <v>868</v>
      </c>
      <c r="AGB26" s="1"/>
      <c r="AGC26" s="3"/>
      <c r="AGD26" s="3"/>
      <c r="AGE26" s="3"/>
      <c r="AGF26" s="437" t="s">
        <v>869</v>
      </c>
      <c r="AGG26" s="1"/>
      <c r="AGN26" s="1"/>
      <c r="AGO26" s="3"/>
      <c r="AGP26" s="3"/>
      <c r="AGQ26" s="3"/>
      <c r="AGR26" s="437" t="s">
        <v>875</v>
      </c>
      <c r="AGS26" s="1"/>
      <c r="AGT26" s="3"/>
      <c r="AGU26" s="3"/>
      <c r="AGV26" s="3"/>
      <c r="AGW26" s="437" t="s">
        <v>868</v>
      </c>
      <c r="AGX26" s="1"/>
      <c r="AGY26" s="3"/>
      <c r="AGZ26" s="3"/>
      <c r="AHA26" s="3"/>
      <c r="AHB26" s="437" t="s">
        <v>868</v>
      </c>
      <c r="AHC26" s="1"/>
      <c r="AHD26" s="3"/>
      <c r="AHE26" s="3"/>
      <c r="AHF26" s="3"/>
      <c r="AHG26" s="437" t="s">
        <v>866</v>
      </c>
      <c r="AHH26" s="1"/>
      <c r="AHO26" s="1"/>
      <c r="AHP26" s="3"/>
      <c r="AHQ26" s="3"/>
      <c r="AHR26" s="3"/>
      <c r="AHS26" s="437" t="s">
        <v>869</v>
      </c>
      <c r="AHT26" s="1"/>
      <c r="AHU26" s="3"/>
      <c r="AHV26" s="3"/>
      <c r="AHW26" s="3"/>
      <c r="AHX26" s="437" t="s">
        <v>868</v>
      </c>
      <c r="AHY26" s="1"/>
      <c r="AHZ26" s="3"/>
      <c r="AIA26" s="3"/>
      <c r="AIB26" s="3"/>
      <c r="AIC26" s="437" t="s">
        <v>869</v>
      </c>
      <c r="AID26" s="1"/>
      <c r="AIE26" s="3"/>
      <c r="AIF26" s="3"/>
      <c r="AIG26" s="3"/>
      <c r="AIH26" s="437" t="s">
        <v>874</v>
      </c>
      <c r="AII26" s="1"/>
      <c r="AIP26" s="1"/>
      <c r="AIQ26" s="3"/>
      <c r="AIR26" s="3"/>
      <c r="AIS26" s="3"/>
      <c r="AIT26" s="437" t="s">
        <v>874</v>
      </c>
      <c r="AIU26" s="1"/>
      <c r="AIV26" s="3"/>
      <c r="AIW26" s="3"/>
      <c r="AIX26" s="3"/>
      <c r="AIY26" s="437" t="s">
        <v>868</v>
      </c>
      <c r="AIZ26" s="1"/>
      <c r="AJA26" s="3"/>
      <c r="AJB26" s="3"/>
      <c r="AJC26" s="3"/>
      <c r="AJD26" s="437" t="s">
        <v>868</v>
      </c>
      <c r="AJE26" s="1"/>
      <c r="AJF26" s="3"/>
      <c r="AJG26" s="3"/>
      <c r="AJH26" s="3"/>
      <c r="AJI26" s="549" t="s">
        <v>803</v>
      </c>
      <c r="AJJ26" s="1"/>
      <c r="AJQ26" s="1"/>
      <c r="AJR26" s="3"/>
      <c r="AJS26" s="3"/>
      <c r="AJT26" s="3"/>
      <c r="AJU26" s="437" t="s">
        <v>871</v>
      </c>
      <c r="AJV26" s="1"/>
      <c r="AJW26" s="3"/>
      <c r="AJX26" s="3"/>
      <c r="AJY26" s="3"/>
      <c r="AJZ26" s="549" t="s">
        <v>688</v>
      </c>
      <c r="AKA26" s="1"/>
      <c r="AKB26" s="3"/>
      <c r="AKC26" s="3"/>
      <c r="AKD26" s="3"/>
      <c r="AKE26" s="549" t="s">
        <v>688</v>
      </c>
      <c r="AKF26" s="1"/>
      <c r="AKG26" s="3"/>
      <c r="AKH26" s="3"/>
      <c r="AKI26" s="3"/>
      <c r="AKJ26" s="549" t="s">
        <v>688</v>
      </c>
      <c r="AKK26" s="1"/>
      <c r="AKR26" s="1"/>
      <c r="AKS26" s="3"/>
      <c r="AKT26" s="3"/>
      <c r="AKU26" s="3"/>
      <c r="AKV26" s="549" t="s">
        <v>688</v>
      </c>
      <c r="AKW26" s="1"/>
      <c r="AKX26" s="3"/>
      <c r="AKY26" s="3"/>
      <c r="AKZ26" s="3"/>
      <c r="ALA26" s="549" t="s">
        <v>688</v>
      </c>
      <c r="ALB26" s="1"/>
      <c r="ALC26" s="3"/>
      <c r="ALD26" s="3"/>
      <c r="ALE26" s="3"/>
      <c r="ALF26" s="437" t="s">
        <v>874</v>
      </c>
      <c r="ALG26" s="1"/>
      <c r="ALH26" s="3"/>
      <c r="ALI26" s="3"/>
      <c r="ALJ26" s="3"/>
      <c r="ALK26" s="437" t="s">
        <v>868</v>
      </c>
      <c r="ALL26" s="1"/>
      <c r="ALS26" s="1"/>
      <c r="ALT26" s="3"/>
      <c r="ALU26" s="3"/>
      <c r="ALV26" s="3"/>
      <c r="ALW26" s="437" t="s">
        <v>872</v>
      </c>
      <c r="ALX26" s="1"/>
      <c r="ALY26" s="3"/>
      <c r="ALZ26" s="3"/>
      <c r="AMA26" s="3"/>
      <c r="AMB26" s="437" t="s">
        <v>868</v>
      </c>
      <c r="AMC26" s="1"/>
      <c r="AMD26" s="3"/>
      <c r="AME26" s="3"/>
      <c r="AMF26" s="3"/>
      <c r="AMG26" s="437" t="s">
        <v>868</v>
      </c>
      <c r="AMH26" s="1"/>
      <c r="AMI26" s="3"/>
      <c r="AMJ26" s="3"/>
      <c r="AMK26" s="3"/>
      <c r="AML26" s="549" t="s">
        <v>688</v>
      </c>
      <c r="AMM26" s="1"/>
      <c r="AMT26" s="1"/>
      <c r="AMU26" s="3"/>
      <c r="AMV26" s="3"/>
      <c r="AMW26" s="3"/>
      <c r="AMX26" s="437" t="s">
        <v>869</v>
      </c>
      <c r="AMY26" s="1"/>
      <c r="AMZ26" s="3"/>
      <c r="ANA26" s="3"/>
      <c r="ANB26" s="3"/>
      <c r="ANC26" s="437" t="s">
        <v>871</v>
      </c>
      <c r="AND26" s="1"/>
      <c r="ANE26" s="3"/>
      <c r="ANF26" s="3"/>
      <c r="ANG26" s="3"/>
      <c r="ANH26" s="549" t="s">
        <v>688</v>
      </c>
      <c r="ANI26" s="1"/>
      <c r="ANJ26" s="3"/>
      <c r="ANK26" s="3"/>
      <c r="ANL26" s="3"/>
      <c r="ANM26" s="549" t="s">
        <v>688</v>
      </c>
      <c r="ANN26" s="1"/>
      <c r="ANU26" s="1"/>
      <c r="ANV26" s="3"/>
      <c r="ANW26" s="3"/>
      <c r="ANX26" s="3"/>
      <c r="ANY26" s="437" t="s">
        <v>868</v>
      </c>
      <c r="ANZ26" s="1"/>
      <c r="AOA26" s="3"/>
      <c r="AOB26" s="3"/>
      <c r="AOC26" s="3"/>
      <c r="AOD26" s="549" t="s">
        <v>688</v>
      </c>
      <c r="AOE26" s="1"/>
      <c r="AOF26" s="3"/>
      <c r="AOG26" s="3"/>
      <c r="AOH26" s="3"/>
      <c r="AOI26" s="461" t="s">
        <v>803</v>
      </c>
      <c r="AOJ26" s="461" t="s">
        <v>803</v>
      </c>
      <c r="AOK26" s="1"/>
      <c r="AOL26" s="3"/>
      <c r="AOM26" s="3"/>
      <c r="AON26" s="3"/>
      <c r="AOO26" s="549" t="s">
        <v>803</v>
      </c>
      <c r="AOP26" s="1"/>
      <c r="AOW26" s="1"/>
      <c r="AOX26" s="3"/>
      <c r="AOY26" s="3"/>
      <c r="AOZ26" s="3"/>
      <c r="APA26" s="549" t="s">
        <v>688</v>
      </c>
      <c r="APB26" s="1"/>
      <c r="APC26" s="3"/>
      <c r="APD26" s="3"/>
      <c r="APE26" s="3"/>
      <c r="APF26" s="549" t="s">
        <v>803</v>
      </c>
      <c r="APG26" s="1"/>
      <c r="APH26" s="3"/>
      <c r="API26" s="3"/>
      <c r="APJ26" s="3"/>
      <c r="APK26" s="549" t="s">
        <v>688</v>
      </c>
      <c r="APL26" s="1"/>
      <c r="APM26" s="3"/>
      <c r="APN26" s="3"/>
      <c r="APO26" s="3"/>
      <c r="APP26" s="437" t="s">
        <v>869</v>
      </c>
      <c r="APQ26" s="1"/>
      <c r="APX26" s="1"/>
      <c r="APY26" s="3"/>
      <c r="APZ26" s="3"/>
      <c r="AQA26" s="3"/>
      <c r="AQB26" s="437" t="s">
        <v>868</v>
      </c>
      <c r="AQC26" s="1"/>
      <c r="AQD26" s="3"/>
      <c r="AQE26" s="3"/>
      <c r="AQF26" s="3"/>
      <c r="AQG26" s="549" t="s">
        <v>688</v>
      </c>
      <c r="AQH26" s="1"/>
      <c r="AQI26" s="3"/>
      <c r="AQJ26" s="3"/>
      <c r="AQK26" s="3"/>
      <c r="AQL26" s="549" t="s">
        <v>688</v>
      </c>
      <c r="AQM26" s="1"/>
      <c r="AQN26" s="3"/>
      <c r="AQO26" s="3"/>
      <c r="AQP26" s="3"/>
      <c r="AQQ26" s="549" t="s">
        <v>803</v>
      </c>
      <c r="AQR26" s="1"/>
      <c r="AQY26" s="1"/>
      <c r="AQZ26" s="3"/>
      <c r="ARA26" s="3"/>
      <c r="ARB26" s="3"/>
      <c r="ARC26" s="549" t="s">
        <v>803</v>
      </c>
      <c r="ARD26" s="1"/>
      <c r="ARE26" s="3"/>
      <c r="ARF26" s="3"/>
      <c r="ARG26" s="3"/>
      <c r="ARH26" s="437" t="s">
        <v>868</v>
      </c>
      <c r="ARI26" s="1"/>
      <c r="ARJ26" s="3"/>
      <c r="ARK26" s="3"/>
      <c r="ARL26" s="3"/>
      <c r="ARM26" s="437" t="s">
        <v>868</v>
      </c>
      <c r="ARN26" s="1"/>
      <c r="ARO26" s="3"/>
      <c r="ARP26" s="3"/>
      <c r="ARQ26" s="3"/>
      <c r="ARR26" s="549" t="s">
        <v>803</v>
      </c>
      <c r="ARS26" s="1"/>
      <c r="ARZ26" s="1"/>
      <c r="ASA26" s="3"/>
      <c r="ASB26" s="3"/>
      <c r="ASC26" s="3"/>
      <c r="ASD26" s="549" t="s">
        <v>803</v>
      </c>
      <c r="ASE26" s="1"/>
      <c r="ASF26" s="3"/>
      <c r="ASG26" s="3"/>
      <c r="ASH26" s="3"/>
      <c r="ASI26" s="549" t="s">
        <v>803</v>
      </c>
      <c r="ASJ26" s="1"/>
      <c r="ASK26" s="3"/>
      <c r="ASL26" s="3"/>
      <c r="ASM26" s="3"/>
      <c r="ASN26" s="549" t="s">
        <v>803</v>
      </c>
      <c r="ASO26" s="1"/>
      <c r="ASP26" s="3"/>
      <c r="ASQ26" s="3"/>
      <c r="ASR26" s="3"/>
      <c r="ASS26" s="549" t="s">
        <v>803</v>
      </c>
      <c r="AST26" s="1"/>
      <c r="ATA26" s="1"/>
      <c r="ATB26" s="3"/>
      <c r="ATC26" s="3"/>
      <c r="ATD26" s="3"/>
      <c r="ATE26" s="549" t="s">
        <v>803</v>
      </c>
      <c r="ATF26" s="1"/>
      <c r="ATG26" s="3"/>
      <c r="ATH26" s="3"/>
      <c r="ATI26" s="3"/>
      <c r="ATJ26" s="437" t="s">
        <v>870</v>
      </c>
      <c r="ATK26" s="1"/>
      <c r="ATL26" s="3"/>
      <c r="ATM26" s="3"/>
      <c r="ATN26" s="3"/>
      <c r="ATO26" s="437" t="s">
        <v>870</v>
      </c>
      <c r="ATP26" s="1"/>
      <c r="ATQ26" s="3"/>
      <c r="ATR26" s="3"/>
      <c r="ATS26" s="3"/>
      <c r="ATT26" s="549" t="s">
        <v>688</v>
      </c>
      <c r="ATU26" s="1"/>
      <c r="AUB26" s="1"/>
      <c r="AUC26" s="3"/>
      <c r="AUD26" s="3"/>
      <c r="AUE26" s="3"/>
      <c r="AUF26" s="549" t="s">
        <v>688</v>
      </c>
      <c r="AUG26" s="1"/>
      <c r="AUH26" s="3"/>
      <c r="AUI26" s="3"/>
      <c r="AUJ26" s="3"/>
      <c r="AUK26" s="549" t="s">
        <v>688</v>
      </c>
      <c r="AUL26" s="1"/>
      <c r="AUM26" s="3"/>
      <c r="AUN26" s="3"/>
      <c r="AUO26" s="3"/>
      <c r="AUP26" s="549" t="s">
        <v>688</v>
      </c>
      <c r="AUQ26" s="1"/>
      <c r="AUR26" s="3"/>
      <c r="AUS26" s="3"/>
      <c r="AUT26" s="3"/>
      <c r="AUU26" s="549" t="s">
        <v>688</v>
      </c>
      <c r="AUV26" s="1"/>
      <c r="AVC26" s="1"/>
      <c r="AVD26" s="3"/>
      <c r="AVE26" s="3"/>
      <c r="AVF26" s="3"/>
      <c r="AVG26" s="549" t="s">
        <v>688</v>
      </c>
      <c r="AVH26" s="1"/>
      <c r="AVI26" s="3"/>
      <c r="AVJ26" s="3"/>
      <c r="AVK26" s="3"/>
      <c r="AVL26" s="549" t="s">
        <v>688</v>
      </c>
      <c r="AVM26" s="1"/>
      <c r="AVN26" s="3"/>
      <c r="AVO26" s="3"/>
      <c r="AVP26" s="3"/>
      <c r="AVQ26" s="549" t="s">
        <v>803</v>
      </c>
      <c r="AVR26" s="1"/>
      <c r="AVS26" s="3"/>
      <c r="AVT26" s="3"/>
      <c r="AVU26" s="3"/>
      <c r="AVV26" s="437" t="s">
        <v>873</v>
      </c>
      <c r="AVW26" s="1"/>
      <c r="AWD26" s="1"/>
      <c r="AWE26" s="3"/>
      <c r="AWF26" s="3"/>
      <c r="AWG26" s="3"/>
      <c r="AWH26" s="437" t="s">
        <v>870</v>
      </c>
      <c r="AWI26" s="1"/>
      <c r="AWJ26" s="3"/>
      <c r="AWK26" s="3"/>
      <c r="AWL26" s="3"/>
      <c r="AWM26" s="437" t="s">
        <v>870</v>
      </c>
      <c r="AWN26" s="1"/>
      <c r="AWO26" s="3"/>
      <c r="AWP26" s="3"/>
      <c r="AWQ26" s="3"/>
      <c r="AWR26" s="437" t="s">
        <v>868</v>
      </c>
      <c r="AWS26" s="1"/>
      <c r="AWT26" s="3"/>
      <c r="AWU26" s="3"/>
      <c r="AWV26" s="3"/>
      <c r="AWW26" s="549" t="s">
        <v>803</v>
      </c>
      <c r="AWX26" s="1"/>
      <c r="AXE26" s="1"/>
      <c r="AXF26" s="3"/>
      <c r="AXG26" s="3"/>
      <c r="AXH26" s="3"/>
      <c r="AXI26" s="549" t="s">
        <v>803</v>
      </c>
      <c r="AXJ26" s="1"/>
      <c r="AXK26" s="3"/>
      <c r="AXL26" s="3"/>
      <c r="AXM26" s="3"/>
      <c r="AXN26" s="549" t="s">
        <v>803</v>
      </c>
      <c r="AXO26" s="1"/>
      <c r="AXP26" s="3"/>
      <c r="AXQ26" s="3"/>
      <c r="AXR26" s="3"/>
      <c r="AXS26" s="437" t="s">
        <v>868</v>
      </c>
      <c r="AXT26" s="1"/>
      <c r="AXU26" s="3"/>
      <c r="AXV26" s="3"/>
      <c r="AXW26" s="3"/>
      <c r="AXX26" s="437" t="s">
        <v>878</v>
      </c>
      <c r="AXY26" s="1"/>
      <c r="AYF26" s="1"/>
      <c r="AYG26" s="3"/>
      <c r="AYH26" s="3"/>
      <c r="AYI26" s="3"/>
      <c r="AYJ26" s="549" t="s">
        <v>803</v>
      </c>
      <c r="AYK26" s="1"/>
      <c r="AYL26" s="3"/>
      <c r="AYM26" s="3"/>
      <c r="AYN26" s="3"/>
      <c r="AYO26" s="549" t="s">
        <v>803</v>
      </c>
      <c r="AYP26" s="1"/>
      <c r="AYQ26" s="3"/>
      <c r="AYR26" s="3"/>
      <c r="AYS26" s="3"/>
      <c r="AYT26" s="437" t="s">
        <v>870</v>
      </c>
      <c r="AYU26" s="1"/>
      <c r="AYV26" s="3"/>
      <c r="AYW26" s="3"/>
      <c r="AYX26" s="3"/>
      <c r="AYY26" s="549" t="s">
        <v>803</v>
      </c>
      <c r="AYZ26" s="1"/>
      <c r="AZG26" s="1"/>
      <c r="AZH26" s="3"/>
      <c r="AZI26" s="3"/>
      <c r="AZJ26" s="3"/>
      <c r="AZK26" s="549" t="s">
        <v>688</v>
      </c>
      <c r="AZL26" s="1"/>
      <c r="AZM26" s="3"/>
      <c r="AZN26" s="3"/>
      <c r="AZO26" s="3"/>
      <c r="AZP26" s="437" t="s">
        <v>866</v>
      </c>
      <c r="AZQ26" s="1"/>
      <c r="AZR26" s="3"/>
      <c r="AZS26" s="3"/>
      <c r="AZT26" s="3"/>
      <c r="AZU26" s="437" t="s">
        <v>868</v>
      </c>
      <c r="AZV26" s="1"/>
      <c r="AZW26" s="3"/>
      <c r="AZX26" s="3"/>
      <c r="AZY26" s="3"/>
      <c r="AZZ26" s="437" t="s">
        <v>870</v>
      </c>
      <c r="BAA26" s="1"/>
      <c r="BAH26" s="1"/>
      <c r="BAI26" s="3"/>
      <c r="BAJ26" s="3"/>
      <c r="BAK26" s="3"/>
      <c r="BAL26" s="437" t="s">
        <v>869</v>
      </c>
      <c r="BAM26" s="1"/>
      <c r="BAN26" s="3"/>
      <c r="BAO26" s="3"/>
      <c r="BAP26" s="3"/>
      <c r="BAQ26" s="437" t="s">
        <v>868</v>
      </c>
      <c r="BAR26" s="1"/>
      <c r="BAS26" s="3"/>
      <c r="BAT26" s="3"/>
      <c r="BAU26" s="3"/>
      <c r="BAV26" s="549" t="s">
        <v>688</v>
      </c>
      <c r="BAW26" s="1"/>
      <c r="BAX26" s="3"/>
      <c r="BAY26" s="3"/>
      <c r="BAZ26" s="3"/>
      <c r="BBA26" s="437" t="s">
        <v>868</v>
      </c>
      <c r="BBB26" s="1"/>
      <c r="BBI26" s="1"/>
      <c r="BBJ26" s="3"/>
      <c r="BBK26" s="3"/>
      <c r="BBL26" s="3"/>
      <c r="BBM26" s="437" t="s">
        <v>868</v>
      </c>
      <c r="BBN26" s="1"/>
      <c r="BBO26" s="3"/>
      <c r="BBP26" s="3"/>
      <c r="BBQ26" s="3"/>
      <c r="BBR26" s="437" t="s">
        <v>866</v>
      </c>
      <c r="BBS26" s="1"/>
      <c r="BBT26" s="3"/>
      <c r="BBU26" s="3"/>
      <c r="BBV26" s="3"/>
      <c r="BBW26" s="437" t="s">
        <v>869</v>
      </c>
      <c r="BBX26" s="1"/>
      <c r="BBY26" s="3"/>
      <c r="BBZ26" s="3"/>
      <c r="BCA26" s="3"/>
      <c r="BCB26" s="437" t="s">
        <v>871</v>
      </c>
      <c r="BCC26" s="1"/>
      <c r="BCJ26" s="1"/>
      <c r="BCK26" s="3"/>
      <c r="BCL26" s="3"/>
      <c r="BCM26" s="3"/>
      <c r="BCN26" s="437" t="s">
        <v>868</v>
      </c>
      <c r="BCO26" s="1"/>
      <c r="BCP26" s="3"/>
      <c r="BCQ26" s="3"/>
      <c r="BCR26" s="3"/>
      <c r="BCS26" s="437" t="s">
        <v>868</v>
      </c>
      <c r="BCT26" s="1"/>
      <c r="BCU26" s="3"/>
      <c r="BCV26" s="3"/>
      <c r="BCW26" s="3"/>
      <c r="BCX26" s="437" t="s">
        <v>870</v>
      </c>
      <c r="BCY26" s="1"/>
      <c r="BCZ26" s="3"/>
      <c r="BDA26" s="3"/>
      <c r="BDB26" s="3"/>
      <c r="BDC26" s="437" t="s">
        <v>868</v>
      </c>
      <c r="BDD26" s="1"/>
      <c r="BDK26" s="1"/>
      <c r="BDL26" s="3"/>
      <c r="BDM26" s="3"/>
      <c r="BDN26" s="3"/>
      <c r="BDO26" s="437" t="s">
        <v>868</v>
      </c>
      <c r="BDP26" s="1"/>
      <c r="BDQ26" s="3"/>
      <c r="BDR26" s="3"/>
      <c r="BDS26" s="3"/>
      <c r="BDT26" s="437" t="s">
        <v>868</v>
      </c>
      <c r="BDU26" s="1"/>
      <c r="BDV26" s="3"/>
      <c r="BDW26" s="3"/>
      <c r="BDX26" s="3"/>
      <c r="BDY26" s="437" t="s">
        <v>869</v>
      </c>
      <c r="BDZ26" s="1"/>
      <c r="BEA26" s="3"/>
      <c r="BEB26" s="3"/>
      <c r="BEC26" s="3"/>
      <c r="BED26" s="437" t="s">
        <v>869</v>
      </c>
      <c r="BEE26" s="1"/>
      <c r="BEL26" s="1"/>
      <c r="BEM26" s="3"/>
      <c r="BEN26" s="3"/>
      <c r="BEO26" s="3"/>
      <c r="BEP26" s="437" t="s">
        <v>868</v>
      </c>
      <c r="BEQ26" s="1"/>
      <c r="BER26" s="3"/>
      <c r="BES26" s="3"/>
      <c r="BET26" s="3"/>
      <c r="BEU26" s="549" t="s">
        <v>688</v>
      </c>
      <c r="BEV26" s="1"/>
      <c r="BEW26" s="3"/>
      <c r="BEX26" s="3"/>
      <c r="BEY26" s="3"/>
      <c r="BEZ26" s="437" t="s">
        <v>868</v>
      </c>
      <c r="BFA26" s="1"/>
      <c r="BFB26" s="3"/>
      <c r="BFC26" s="3"/>
      <c r="BFD26" s="3"/>
      <c r="BFE26" s="437" t="s">
        <v>868</v>
      </c>
      <c r="BFF26" s="1"/>
      <c r="BFM26" s="1"/>
      <c r="BFN26" s="3"/>
      <c r="BFO26" s="3"/>
      <c r="BFP26" s="3"/>
      <c r="BFQ26" s="437" t="s">
        <v>866</v>
      </c>
      <c r="BFR26" s="1"/>
      <c r="BFS26" s="3"/>
      <c r="BFT26" s="3"/>
      <c r="BFU26" s="3"/>
      <c r="BFV26" s="437" t="s">
        <v>867</v>
      </c>
      <c r="BFW26" s="1"/>
      <c r="BFX26" s="3"/>
      <c r="BFY26" s="3"/>
      <c r="BFZ26" s="3"/>
      <c r="BGA26" s="437"/>
      <c r="BGB26" s="1"/>
      <c r="BGC26" s="3"/>
      <c r="BGD26" s="3"/>
      <c r="BGE26" s="3"/>
      <c r="BGF26" s="437"/>
    </row>
    <row r="27" spans="1:1540" ht="45" customHeight="1" x14ac:dyDescent="0.4">
      <c r="A27" s="1"/>
      <c r="H27" s="1"/>
      <c r="I27" s="3"/>
      <c r="J27" s="3"/>
      <c r="K27" s="3"/>
      <c r="L27" s="437">
        <v>410</v>
      </c>
      <c r="M27" s="1"/>
      <c r="N27" s="3"/>
      <c r="O27" s="3"/>
      <c r="P27" s="3"/>
      <c r="Q27" s="437">
        <v>402</v>
      </c>
      <c r="R27" s="1"/>
      <c r="S27" s="3"/>
      <c r="T27" s="3"/>
      <c r="U27" s="3"/>
      <c r="V27" s="437">
        <v>339</v>
      </c>
      <c r="W27" s="1"/>
      <c r="X27" s="3"/>
      <c r="Y27" s="3"/>
      <c r="Z27" s="3"/>
      <c r="AA27" s="450">
        <v>166</v>
      </c>
      <c r="AB27" s="1"/>
      <c r="AI27" s="1"/>
      <c r="AJ27" s="3"/>
      <c r="AK27" s="3"/>
      <c r="AL27" s="3"/>
      <c r="AM27" s="550"/>
      <c r="AN27" s="1"/>
      <c r="AO27" s="3"/>
      <c r="AP27" s="3"/>
      <c r="AQ27" s="3"/>
      <c r="AR27" s="437">
        <v>573</v>
      </c>
      <c r="AS27" s="1"/>
      <c r="AT27" s="3"/>
      <c r="AU27" s="3"/>
      <c r="AV27" s="3"/>
      <c r="AW27" s="437">
        <v>588</v>
      </c>
      <c r="AX27" s="1"/>
      <c r="AY27" s="3"/>
      <c r="AZ27" s="3"/>
      <c r="BA27" s="3"/>
      <c r="BB27" s="450">
        <v>306</v>
      </c>
      <c r="BC27" s="1"/>
      <c r="BJ27" s="1"/>
      <c r="BK27" s="3"/>
      <c r="BL27" s="3"/>
      <c r="BM27" s="3"/>
      <c r="BN27" s="450">
        <v>213</v>
      </c>
      <c r="BO27" s="1"/>
      <c r="BP27" s="3"/>
      <c r="BQ27" s="3"/>
      <c r="BR27" s="3"/>
      <c r="BS27" s="450">
        <v>183</v>
      </c>
      <c r="BT27" s="1"/>
      <c r="BU27" s="3"/>
      <c r="BV27" s="3"/>
      <c r="BW27" s="3"/>
      <c r="BX27" s="450">
        <v>352</v>
      </c>
      <c r="BY27" s="1"/>
      <c r="BZ27" s="3"/>
      <c r="CA27" s="3"/>
      <c r="CB27" s="3"/>
      <c r="CC27" s="437">
        <v>462</v>
      </c>
      <c r="CD27" s="1"/>
      <c r="CK27" s="1"/>
      <c r="CL27" s="3"/>
      <c r="CM27" s="3"/>
      <c r="CN27" s="3"/>
      <c r="CO27" s="450">
        <v>387</v>
      </c>
      <c r="CP27" s="1"/>
      <c r="CQ27" s="3"/>
      <c r="CR27" s="3"/>
      <c r="CS27" s="3"/>
      <c r="CT27" s="437">
        <v>289</v>
      </c>
      <c r="CU27" s="1"/>
      <c r="CV27" s="3"/>
      <c r="CW27" s="3"/>
      <c r="CX27" s="3"/>
      <c r="CY27" s="550"/>
      <c r="CZ27" s="1"/>
      <c r="DA27" s="3"/>
      <c r="DB27" s="3"/>
      <c r="DC27" s="3"/>
      <c r="DD27" s="437">
        <v>228</v>
      </c>
      <c r="DE27" s="1"/>
      <c r="DL27" s="1"/>
      <c r="DM27" s="3"/>
      <c r="DN27" s="3"/>
      <c r="DO27" s="3"/>
      <c r="DP27" s="550"/>
      <c r="DQ27" s="1"/>
      <c r="DR27" s="3"/>
      <c r="DS27" s="3"/>
      <c r="DT27" s="3"/>
      <c r="DU27" s="437">
        <v>497</v>
      </c>
      <c r="DV27" s="1"/>
      <c r="DW27" s="3"/>
      <c r="DX27" s="3"/>
      <c r="DY27" s="3"/>
      <c r="DZ27" s="437">
        <v>505</v>
      </c>
      <c r="EA27" s="1"/>
      <c r="EB27" s="3"/>
      <c r="EC27" s="3"/>
      <c r="ED27" s="3"/>
      <c r="EE27" s="450">
        <v>536</v>
      </c>
      <c r="EF27" s="1"/>
      <c r="EM27" s="1"/>
      <c r="EN27" s="3"/>
      <c r="EO27" s="3"/>
      <c r="EP27" s="3"/>
      <c r="EQ27" s="450">
        <v>420</v>
      </c>
      <c r="ER27" s="1"/>
      <c r="ES27" s="3"/>
      <c r="ET27" s="3"/>
      <c r="EU27" s="3"/>
      <c r="EV27" s="450">
        <v>413</v>
      </c>
      <c r="EW27" s="1"/>
      <c r="EX27" s="3"/>
      <c r="EY27" s="3"/>
      <c r="EZ27" s="3"/>
      <c r="FA27" s="550"/>
      <c r="FB27" s="1"/>
      <c r="FC27" s="3"/>
      <c r="FD27" s="3"/>
      <c r="FE27" s="3"/>
      <c r="FF27" s="450">
        <v>338</v>
      </c>
      <c r="FG27" s="1"/>
      <c r="FN27" s="1"/>
      <c r="FO27" s="3"/>
      <c r="FP27" s="3"/>
      <c r="FQ27" s="3"/>
      <c r="FR27" s="450">
        <v>566</v>
      </c>
      <c r="FS27" s="1"/>
      <c r="FT27" s="3"/>
      <c r="FU27" s="3"/>
      <c r="FV27" s="3"/>
      <c r="FW27" s="437">
        <v>513</v>
      </c>
      <c r="FX27" s="1"/>
      <c r="FY27" s="3"/>
      <c r="FZ27" s="3"/>
      <c r="GA27" s="3"/>
      <c r="GB27" s="450">
        <v>583</v>
      </c>
      <c r="GC27" s="1"/>
      <c r="GD27" s="3"/>
      <c r="GE27" s="3"/>
      <c r="GF27" s="3"/>
      <c r="GG27" s="437">
        <v>152</v>
      </c>
      <c r="GH27" s="1"/>
      <c r="GO27" s="1"/>
      <c r="GP27" s="3"/>
      <c r="GQ27" s="3"/>
      <c r="GR27" s="3"/>
      <c r="GS27" s="450">
        <v>275</v>
      </c>
      <c r="GT27" s="1"/>
      <c r="GU27" s="3"/>
      <c r="GV27" s="3"/>
      <c r="GW27" s="3"/>
      <c r="GX27" s="450">
        <v>488</v>
      </c>
      <c r="GY27" s="1"/>
      <c r="GZ27" s="3"/>
      <c r="HA27" s="3"/>
      <c r="HB27" s="3"/>
      <c r="HC27" s="450">
        <v>564</v>
      </c>
      <c r="HD27" s="1"/>
      <c r="HE27" s="3"/>
      <c r="HF27" s="3"/>
      <c r="HG27" s="3"/>
      <c r="HH27" s="450">
        <v>471</v>
      </c>
      <c r="HI27" s="1"/>
      <c r="HP27" s="1"/>
      <c r="HQ27" s="3"/>
      <c r="HR27" s="3"/>
      <c r="HS27" s="3"/>
      <c r="HT27" s="450">
        <v>430</v>
      </c>
      <c r="HU27" s="1"/>
      <c r="HV27" s="3"/>
      <c r="HW27" s="3"/>
      <c r="HX27" s="3"/>
      <c r="HY27" s="450">
        <v>318</v>
      </c>
      <c r="HZ27" s="1"/>
      <c r="IA27" s="3"/>
      <c r="IB27" s="3"/>
      <c r="IC27" s="3"/>
      <c r="ID27" s="450">
        <v>464</v>
      </c>
      <c r="IE27" s="1"/>
      <c r="IF27" s="3"/>
      <c r="IG27" s="3"/>
      <c r="IH27" s="3"/>
      <c r="II27" s="450">
        <v>345</v>
      </c>
      <c r="IJ27" s="1"/>
      <c r="IQ27" s="1"/>
      <c r="IR27" s="3"/>
      <c r="IS27" s="3"/>
      <c r="IT27" s="3"/>
      <c r="IU27" s="437">
        <v>285</v>
      </c>
      <c r="IV27" s="1"/>
      <c r="IW27" s="3"/>
      <c r="IX27" s="3"/>
      <c r="IY27" s="3"/>
      <c r="IZ27" s="450">
        <v>207</v>
      </c>
      <c r="JA27" s="1"/>
      <c r="JB27" s="3"/>
      <c r="JC27" s="3"/>
      <c r="JD27" s="3"/>
      <c r="JE27" s="550"/>
      <c r="JF27" s="1"/>
      <c r="JG27" s="3"/>
      <c r="JH27" s="3"/>
      <c r="JI27" s="3"/>
      <c r="JJ27" s="450">
        <v>229</v>
      </c>
      <c r="JK27" s="1"/>
      <c r="JR27" s="1"/>
      <c r="JS27" s="3"/>
      <c r="JT27" s="3"/>
      <c r="JU27" s="3"/>
      <c r="JV27" s="450">
        <v>433</v>
      </c>
      <c r="JW27" s="1"/>
      <c r="JX27" s="3"/>
      <c r="JY27" s="3"/>
      <c r="JZ27" s="3"/>
      <c r="KA27" s="437">
        <v>140</v>
      </c>
      <c r="KB27" s="1"/>
      <c r="KC27" s="3"/>
      <c r="KD27" s="3"/>
      <c r="KE27" s="3"/>
      <c r="KF27" s="450">
        <v>231</v>
      </c>
      <c r="KG27" s="1"/>
      <c r="KH27" s="3"/>
      <c r="KI27" s="3"/>
      <c r="KJ27" s="3"/>
      <c r="KK27" s="450">
        <v>340</v>
      </c>
      <c r="KL27" s="1"/>
      <c r="KS27" s="1"/>
      <c r="KT27" s="3"/>
      <c r="KU27" s="3"/>
      <c r="KV27" s="3"/>
      <c r="KW27" s="450">
        <v>119</v>
      </c>
      <c r="KX27" s="1"/>
      <c r="KY27" s="3"/>
      <c r="KZ27" s="3"/>
      <c r="LA27" s="3"/>
      <c r="LB27" s="450">
        <v>93</v>
      </c>
      <c r="LC27" s="1"/>
      <c r="LD27" s="3"/>
      <c r="LE27" s="3"/>
      <c r="LF27" s="3"/>
      <c r="LG27" s="450">
        <v>212</v>
      </c>
      <c r="LH27" s="1"/>
      <c r="LI27" s="3"/>
      <c r="LJ27" s="3"/>
      <c r="LK27" s="3"/>
      <c r="LL27" s="450">
        <v>101</v>
      </c>
      <c r="LM27" s="1"/>
      <c r="LT27" s="1"/>
      <c r="LU27" s="3"/>
      <c r="LV27" s="3"/>
      <c r="LW27" s="3"/>
      <c r="LX27" s="550"/>
      <c r="LY27" s="1"/>
      <c r="LZ27" s="3"/>
      <c r="MA27" s="3"/>
      <c r="MB27" s="3"/>
      <c r="MC27" s="450">
        <v>58</v>
      </c>
      <c r="MD27" s="1"/>
      <c r="ME27" s="3"/>
      <c r="MF27" s="3"/>
      <c r="MG27" s="3"/>
      <c r="MH27" s="550"/>
      <c r="MI27" s="1"/>
      <c r="MJ27" s="3"/>
      <c r="MK27" s="3"/>
      <c r="ML27" s="3"/>
      <c r="MM27" s="450">
        <v>389</v>
      </c>
      <c r="MN27" s="1"/>
      <c r="MU27" s="1"/>
      <c r="MV27" s="3"/>
      <c r="MW27" s="3"/>
      <c r="MX27" s="3"/>
      <c r="MY27" s="450">
        <v>360</v>
      </c>
      <c r="MZ27" s="1"/>
      <c r="NA27" s="3"/>
      <c r="NB27" s="3"/>
      <c r="NC27" s="3"/>
      <c r="ND27" s="550"/>
      <c r="NE27" s="1"/>
      <c r="NF27" s="3"/>
      <c r="NG27" s="3"/>
      <c r="NH27" s="3"/>
      <c r="NI27" s="450">
        <v>152</v>
      </c>
      <c r="NJ27" s="1"/>
      <c r="NK27" s="3"/>
      <c r="NL27" s="3"/>
      <c r="NM27" s="3"/>
      <c r="NN27" s="450">
        <v>76</v>
      </c>
      <c r="NO27" s="1"/>
      <c r="NV27" s="1"/>
      <c r="NW27" s="3"/>
      <c r="NX27" s="3"/>
      <c r="NY27" s="3"/>
      <c r="NZ27" s="550"/>
      <c r="OA27" s="1"/>
      <c r="OB27" s="3"/>
      <c r="OC27" s="3"/>
      <c r="OD27" s="3"/>
      <c r="OE27" s="450">
        <v>48</v>
      </c>
      <c r="OF27" s="1"/>
      <c r="OG27" s="3"/>
      <c r="OH27" s="3"/>
      <c r="OI27" s="3"/>
      <c r="OJ27" s="550"/>
      <c r="OK27" s="1"/>
      <c r="OL27" s="3"/>
      <c r="OM27" s="3"/>
      <c r="ON27" s="3"/>
      <c r="OO27" s="550"/>
      <c r="OP27" s="1"/>
      <c r="OW27" s="1"/>
      <c r="OX27" s="3"/>
      <c r="OY27" s="3"/>
      <c r="OZ27" s="3"/>
      <c r="PA27" s="550"/>
      <c r="PB27" s="1"/>
      <c r="PC27" s="3"/>
      <c r="PD27" s="3"/>
      <c r="PE27" s="3"/>
      <c r="PF27" s="450">
        <v>111</v>
      </c>
      <c r="PG27" s="1"/>
      <c r="PH27" s="3"/>
      <c r="PI27" s="3"/>
      <c r="PJ27" s="3"/>
      <c r="PK27" s="450">
        <v>48</v>
      </c>
      <c r="PL27" s="1"/>
      <c r="PM27" s="3"/>
      <c r="PN27" s="3"/>
      <c r="PO27" s="3"/>
      <c r="PP27" s="450">
        <v>89</v>
      </c>
      <c r="PQ27" s="1"/>
      <c r="PX27" s="1"/>
      <c r="PY27" s="3"/>
      <c r="PZ27" s="3"/>
      <c r="QA27" s="3"/>
      <c r="QB27" s="550"/>
      <c r="QC27" s="1"/>
      <c r="QD27" s="3"/>
      <c r="QE27" s="3"/>
      <c r="QF27" s="3"/>
      <c r="QG27" s="450">
        <v>37</v>
      </c>
      <c r="QH27" s="1"/>
      <c r="QI27" s="3"/>
      <c r="QJ27" s="3"/>
      <c r="QK27" s="3"/>
      <c r="QL27" s="550"/>
      <c r="QM27" s="1"/>
      <c r="QN27" s="3"/>
      <c r="QO27" s="3"/>
      <c r="QP27" s="3"/>
      <c r="QQ27" s="550"/>
      <c r="QR27" s="1"/>
      <c r="QY27" s="1"/>
      <c r="QZ27" s="3"/>
      <c r="RA27" s="3"/>
      <c r="RB27" s="3"/>
      <c r="RC27" s="550"/>
      <c r="RD27" s="1"/>
      <c r="RE27" s="3"/>
      <c r="RF27" s="3"/>
      <c r="RG27" s="3"/>
      <c r="RH27" s="550"/>
      <c r="RI27" s="1"/>
      <c r="RJ27" s="3"/>
      <c r="RK27" s="3"/>
      <c r="RL27" s="3"/>
      <c r="RM27" s="550"/>
      <c r="RN27" s="1"/>
      <c r="RO27" s="3"/>
      <c r="RP27" s="3"/>
      <c r="RQ27" s="3"/>
      <c r="RR27" s="550"/>
      <c r="RS27" s="1"/>
      <c r="RZ27" s="1"/>
      <c r="SA27" s="3"/>
      <c r="SB27" s="3"/>
      <c r="SC27" s="3"/>
      <c r="SD27" s="550"/>
      <c r="SE27" s="1"/>
      <c r="SF27" s="3"/>
      <c r="SG27" s="3"/>
      <c r="SH27" s="3"/>
      <c r="SI27" s="550"/>
      <c r="SJ27" s="1"/>
      <c r="SK27" s="3"/>
      <c r="SL27" s="3"/>
      <c r="SM27" s="3"/>
      <c r="SN27" s="550"/>
      <c r="SO27" s="1"/>
      <c r="SP27" s="3"/>
      <c r="SQ27" s="3"/>
      <c r="SR27" s="3"/>
      <c r="SS27" s="550"/>
      <c r="ST27" s="1"/>
      <c r="TA27" s="1"/>
      <c r="TB27" s="3"/>
      <c r="TC27" s="3"/>
      <c r="TD27" s="3"/>
      <c r="TE27" s="550"/>
      <c r="TF27" s="1"/>
      <c r="TG27" s="3"/>
      <c r="TH27" s="3"/>
      <c r="TI27" s="3"/>
      <c r="TJ27" s="550"/>
      <c r="TK27" s="1"/>
      <c r="TL27" s="3"/>
      <c r="TM27" s="3"/>
      <c r="TN27" s="3"/>
      <c r="TO27" s="550"/>
      <c r="TP27" s="1"/>
      <c r="TQ27" s="3"/>
      <c r="TR27" s="3"/>
      <c r="TS27" s="3"/>
      <c r="TT27" s="550"/>
      <c r="TU27" s="1"/>
      <c r="UB27" s="1"/>
      <c r="UC27" s="3"/>
      <c r="UD27" s="3"/>
      <c r="UE27" s="3"/>
      <c r="UF27" s="550"/>
      <c r="UG27" s="1"/>
      <c r="UH27" s="3"/>
      <c r="UI27" s="3"/>
      <c r="UJ27" s="3"/>
      <c r="UK27" s="550"/>
      <c r="UL27" s="1"/>
      <c r="UM27" s="3"/>
      <c r="UN27" s="3"/>
      <c r="UO27" s="3"/>
      <c r="UP27" s="550"/>
      <c r="UQ27" s="1"/>
      <c r="UR27" s="3"/>
      <c r="US27" s="3"/>
      <c r="UT27" s="3"/>
      <c r="UU27" s="450">
        <v>132</v>
      </c>
      <c r="UV27" s="1"/>
      <c r="VC27" s="1"/>
      <c r="VD27" s="3"/>
      <c r="VE27" s="3"/>
      <c r="VF27" s="3"/>
      <c r="VG27" s="550"/>
      <c r="VH27" s="1"/>
      <c r="VI27" s="3"/>
      <c r="VJ27" s="3"/>
      <c r="VK27" s="3"/>
      <c r="VL27" s="552" t="e">
        <v>#N/A</v>
      </c>
      <c r="VM27" s="1"/>
      <c r="VN27" s="3"/>
      <c r="VO27" s="3"/>
      <c r="VP27" s="3"/>
      <c r="VQ27" s="550"/>
      <c r="VR27" s="1"/>
      <c r="VS27" s="3"/>
      <c r="VT27" s="3"/>
      <c r="VU27" s="3"/>
      <c r="VV27" s="550"/>
      <c r="VW27" s="1"/>
      <c r="WD27" s="1"/>
      <c r="WE27" s="3"/>
      <c r="WF27" s="3"/>
      <c r="WG27" s="3"/>
      <c r="WH27" s="550"/>
      <c r="WI27" s="1"/>
      <c r="WJ27" s="3"/>
      <c r="WK27" s="3"/>
      <c r="WL27" s="3"/>
      <c r="WM27" s="550"/>
      <c r="WN27" s="1"/>
      <c r="WO27" s="3"/>
      <c r="WP27" s="3"/>
      <c r="WQ27" s="3"/>
      <c r="WR27" s="550"/>
      <c r="WS27" s="1"/>
      <c r="WT27" s="3"/>
      <c r="WU27" s="3"/>
      <c r="WV27" s="3"/>
      <c r="WW27" s="450">
        <v>94</v>
      </c>
      <c r="WX27" s="1"/>
      <c r="XE27" s="1"/>
      <c r="XF27" s="3"/>
      <c r="XG27" s="3"/>
      <c r="XH27" s="3"/>
      <c r="XI27" s="550"/>
      <c r="XJ27" s="1"/>
      <c r="XK27" s="3"/>
      <c r="XL27" s="3"/>
      <c r="XM27" s="3"/>
      <c r="XN27" s="550"/>
      <c r="XO27" s="1"/>
      <c r="XP27" s="3"/>
      <c r="XQ27" s="3"/>
      <c r="XR27" s="3"/>
      <c r="XS27" s="437">
        <v>19</v>
      </c>
      <c r="XT27" s="1"/>
      <c r="XU27" s="3"/>
      <c r="XV27" s="3"/>
      <c r="XW27" s="3"/>
      <c r="XX27" s="450">
        <v>64</v>
      </c>
      <c r="XY27" s="1"/>
      <c r="YF27" s="1"/>
      <c r="YG27" s="3"/>
      <c r="YH27" s="3"/>
      <c r="YI27" s="3"/>
      <c r="YJ27" s="550"/>
      <c r="YK27" s="1"/>
      <c r="YL27" s="3"/>
      <c r="YM27" s="3"/>
      <c r="YN27" s="3"/>
      <c r="YO27" s="550"/>
      <c r="YP27" s="1"/>
      <c r="YQ27" s="3"/>
      <c r="YR27" s="3"/>
      <c r="YS27" s="3"/>
      <c r="YT27" s="450">
        <v>27</v>
      </c>
      <c r="YU27" s="1"/>
      <c r="YV27" s="3"/>
      <c r="YW27" s="3"/>
      <c r="YX27" s="3"/>
      <c r="YY27" s="450">
        <v>319</v>
      </c>
      <c r="YZ27" s="1"/>
      <c r="ZG27" s="1"/>
      <c r="ZH27" s="3"/>
      <c r="ZI27" s="3"/>
      <c r="ZJ27" s="3"/>
      <c r="ZK27" s="550"/>
      <c r="ZL27" s="1"/>
      <c r="ZM27" s="3"/>
      <c r="ZN27" s="3"/>
      <c r="ZO27" s="3"/>
      <c r="ZP27" s="550"/>
      <c r="ZQ27" s="1"/>
      <c r="ZR27" s="3"/>
      <c r="ZS27" s="3"/>
      <c r="ZT27" s="3"/>
      <c r="ZU27" s="450">
        <v>14</v>
      </c>
      <c r="ZV27" s="1"/>
      <c r="ZW27" s="3"/>
      <c r="ZX27" s="3"/>
      <c r="ZY27" s="3"/>
      <c r="ZZ27" s="450">
        <v>100</v>
      </c>
      <c r="AAA27" s="1"/>
      <c r="AAH27" s="1"/>
      <c r="AAI27" s="3"/>
      <c r="AAJ27" s="3"/>
      <c r="AAK27" s="3"/>
      <c r="AAL27" s="450">
        <v>134</v>
      </c>
      <c r="AAM27" s="1"/>
      <c r="AAN27" s="3"/>
      <c r="AAO27" s="3"/>
      <c r="AAP27" s="3"/>
      <c r="AAQ27" s="550"/>
      <c r="AAR27" s="1"/>
      <c r="AAS27" s="3"/>
      <c r="AAT27" s="3"/>
      <c r="AAU27" s="3"/>
      <c r="AAV27" s="550"/>
      <c r="AAW27" s="1"/>
      <c r="AAX27" s="3"/>
      <c r="AAY27" s="3"/>
      <c r="AAZ27" s="3"/>
      <c r="ABA27" s="550"/>
      <c r="ABB27" s="1"/>
      <c r="ABI27" s="1"/>
      <c r="ABJ27" s="3"/>
      <c r="ABK27" s="3"/>
      <c r="ABL27" s="3"/>
      <c r="ABM27" s="450">
        <v>257</v>
      </c>
      <c r="ABN27" s="1"/>
      <c r="ABO27" s="3"/>
      <c r="ABP27" s="3"/>
      <c r="ABQ27" s="3"/>
      <c r="ABR27" s="450">
        <v>51</v>
      </c>
      <c r="ABS27" s="1"/>
      <c r="ABT27" s="3"/>
      <c r="ABU27" s="3"/>
      <c r="ABV27" s="3"/>
      <c r="ABW27" s="550"/>
      <c r="ABX27" s="1"/>
      <c r="ABY27" s="3"/>
      <c r="ABZ27" s="3"/>
      <c r="ACA27" s="3"/>
      <c r="ACB27" s="450">
        <v>145</v>
      </c>
      <c r="ACC27" s="1"/>
      <c r="ACJ27" s="1"/>
      <c r="ACK27" s="3"/>
      <c r="ACL27" s="3"/>
      <c r="ACM27" s="3"/>
      <c r="ACN27" s="450">
        <v>143</v>
      </c>
      <c r="ACO27" s="1"/>
      <c r="ACP27" s="3"/>
      <c r="ACQ27" s="3"/>
      <c r="ACR27" s="3"/>
      <c r="ACS27" s="450">
        <v>185</v>
      </c>
      <c r="ACT27" s="1"/>
      <c r="ACU27" s="3"/>
      <c r="ACV27" s="3"/>
      <c r="ACW27" s="3"/>
      <c r="ACX27" s="437">
        <v>34</v>
      </c>
      <c r="ACY27" s="1"/>
      <c r="ACZ27" s="3"/>
      <c r="ADA27" s="3"/>
      <c r="ADB27" s="3"/>
      <c r="ADC27" s="550"/>
      <c r="ADD27" s="1"/>
      <c r="ADK27" s="1"/>
      <c r="ADL27" s="3"/>
      <c r="ADM27" s="3"/>
      <c r="ADN27" s="3"/>
      <c r="ADO27" s="450">
        <v>273</v>
      </c>
      <c r="ADP27" s="1"/>
      <c r="ADQ27" s="3"/>
      <c r="ADR27" s="3"/>
      <c r="ADS27" s="3"/>
      <c r="ADT27" s="450">
        <v>152</v>
      </c>
      <c r="ADU27" s="1"/>
      <c r="ADV27" s="3"/>
      <c r="ADW27" s="3"/>
      <c r="ADX27" s="3"/>
      <c r="ADY27" s="450">
        <v>117</v>
      </c>
      <c r="ADZ27" s="1"/>
      <c r="AEA27" s="3"/>
      <c r="AEB27" s="3"/>
      <c r="AEC27" s="3"/>
      <c r="AED27" s="437">
        <v>146</v>
      </c>
      <c r="AEE27" s="1"/>
      <c r="AEL27" s="1"/>
      <c r="AEM27" s="3"/>
      <c r="AEN27" s="3"/>
      <c r="AEO27" s="3"/>
      <c r="AEP27" s="450">
        <v>121</v>
      </c>
      <c r="AEQ27" s="1"/>
      <c r="AER27" s="3"/>
      <c r="AES27" s="3"/>
      <c r="AET27" s="3"/>
      <c r="AEU27" s="450">
        <v>316</v>
      </c>
      <c r="AEV27" s="1"/>
      <c r="AEW27" s="3"/>
      <c r="AEX27" s="3"/>
      <c r="AEY27" s="3"/>
      <c r="AEZ27" s="450">
        <v>370</v>
      </c>
      <c r="AFA27" s="1"/>
      <c r="AFB27" s="3"/>
      <c r="AFC27" s="3"/>
      <c r="AFD27" s="3"/>
      <c r="AFE27" s="450">
        <v>207</v>
      </c>
      <c r="AFF27" s="1"/>
      <c r="AFM27" s="1"/>
      <c r="AFN27" s="3"/>
      <c r="AFO27" s="3"/>
      <c r="AFP27" s="3"/>
      <c r="AFQ27" s="450">
        <v>137</v>
      </c>
      <c r="AFR27" s="1"/>
      <c r="AFS27" s="3"/>
      <c r="AFT27" s="3"/>
      <c r="AFU27" s="3"/>
      <c r="AFV27" s="450">
        <v>148</v>
      </c>
      <c r="AFW27" s="1"/>
      <c r="AFX27" s="3"/>
      <c r="AFY27" s="3"/>
      <c r="AFZ27" s="3"/>
      <c r="AGA27" s="450">
        <v>99</v>
      </c>
      <c r="AGB27" s="1"/>
      <c r="AGC27" s="3"/>
      <c r="AGD27" s="3"/>
      <c r="AGE27" s="3"/>
      <c r="AGF27" s="450">
        <v>8</v>
      </c>
      <c r="AGG27" s="1"/>
      <c r="AGN27" s="1"/>
      <c r="AGO27" s="3"/>
      <c r="AGP27" s="3"/>
      <c r="AGQ27" s="3"/>
      <c r="AGR27" s="450">
        <v>190</v>
      </c>
      <c r="AGS27" s="1"/>
      <c r="AGT27" s="3"/>
      <c r="AGU27" s="3"/>
      <c r="AGV27" s="3"/>
      <c r="AGW27" s="450">
        <v>288</v>
      </c>
      <c r="AGX27" s="1"/>
      <c r="AGY27" s="3"/>
      <c r="AGZ27" s="3"/>
      <c r="AHA27" s="3"/>
      <c r="AHB27" s="450">
        <v>164</v>
      </c>
      <c r="AHC27" s="1"/>
      <c r="AHD27" s="3"/>
      <c r="AHE27" s="3"/>
      <c r="AHF27" s="3"/>
      <c r="AHG27" s="437">
        <v>225</v>
      </c>
      <c r="AHH27" s="1"/>
      <c r="AHO27" s="1"/>
      <c r="AHP27" s="3"/>
      <c r="AHQ27" s="3"/>
      <c r="AHR27" s="3"/>
      <c r="AHS27" s="437">
        <v>228</v>
      </c>
      <c r="AHT27" s="1"/>
      <c r="AHU27" s="3"/>
      <c r="AHV27" s="3"/>
      <c r="AHW27" s="3"/>
      <c r="AHX27" s="450">
        <v>184</v>
      </c>
      <c r="AHY27" s="1"/>
      <c r="AHZ27" s="3"/>
      <c r="AIA27" s="3"/>
      <c r="AIB27" s="3"/>
      <c r="AIC27" s="450">
        <v>249</v>
      </c>
      <c r="AID27" s="1"/>
      <c r="AIE27" s="3"/>
      <c r="AIF27" s="3"/>
      <c r="AIG27" s="3"/>
      <c r="AIH27" s="450">
        <v>142</v>
      </c>
      <c r="AII27" s="1"/>
      <c r="AIP27" s="1"/>
      <c r="AIQ27" s="3"/>
      <c r="AIR27" s="3"/>
      <c r="AIS27" s="3"/>
      <c r="AIT27" s="450">
        <v>206</v>
      </c>
      <c r="AIU27" s="1"/>
      <c r="AIV27" s="3"/>
      <c r="AIW27" s="3"/>
      <c r="AIX27" s="3"/>
      <c r="AIY27" s="450">
        <v>133</v>
      </c>
      <c r="AIZ27" s="1"/>
      <c r="AJA27" s="3"/>
      <c r="AJB27" s="3"/>
      <c r="AJC27" s="3"/>
      <c r="AJD27" s="450">
        <v>128</v>
      </c>
      <c r="AJE27" s="1"/>
      <c r="AJF27" s="3"/>
      <c r="AJG27" s="3"/>
      <c r="AJH27" s="3"/>
      <c r="AJI27" s="550"/>
      <c r="AJJ27" s="1"/>
      <c r="AJQ27" s="1"/>
      <c r="AJR27" s="3"/>
      <c r="AJS27" s="3"/>
      <c r="AJT27" s="3"/>
      <c r="AJU27" s="450">
        <v>18</v>
      </c>
      <c r="AJV27" s="1"/>
      <c r="AJW27" s="3"/>
      <c r="AJX27" s="3"/>
      <c r="AJY27" s="3"/>
      <c r="AJZ27" s="550"/>
      <c r="AKA27" s="1"/>
      <c r="AKB27" s="3"/>
      <c r="AKC27" s="3"/>
      <c r="AKD27" s="3"/>
      <c r="AKE27" s="550"/>
      <c r="AKF27" s="1"/>
      <c r="AKG27" s="3"/>
      <c r="AKH27" s="3"/>
      <c r="AKI27" s="3"/>
      <c r="AKJ27" s="550"/>
      <c r="AKK27" s="1"/>
      <c r="AKR27" s="1"/>
      <c r="AKS27" s="3"/>
      <c r="AKT27" s="3"/>
      <c r="AKU27" s="3"/>
      <c r="AKV27" s="550"/>
      <c r="AKW27" s="1"/>
      <c r="AKX27" s="3"/>
      <c r="AKY27" s="3"/>
      <c r="AKZ27" s="3"/>
      <c r="ALA27" s="550"/>
      <c r="ALB27" s="1"/>
      <c r="ALC27" s="3"/>
      <c r="ALD27" s="3"/>
      <c r="ALE27" s="3"/>
      <c r="ALF27" s="450">
        <v>57</v>
      </c>
      <c r="ALG27" s="1"/>
      <c r="ALH27" s="3"/>
      <c r="ALI27" s="3"/>
      <c r="ALJ27" s="3"/>
      <c r="ALK27" s="450">
        <v>151</v>
      </c>
      <c r="ALL27" s="1"/>
      <c r="ALS27" s="1"/>
      <c r="ALT27" s="3"/>
      <c r="ALU27" s="3"/>
      <c r="ALV27" s="3"/>
      <c r="ALW27" s="450">
        <v>156</v>
      </c>
      <c r="ALX27" s="1"/>
      <c r="ALY27" s="3"/>
      <c r="ALZ27" s="3"/>
      <c r="AMA27" s="3"/>
      <c r="AMB27" s="437">
        <v>182</v>
      </c>
      <c r="AMC27" s="1"/>
      <c r="AMD27" s="3"/>
      <c r="AME27" s="3"/>
      <c r="AMF27" s="3"/>
      <c r="AMG27" s="450">
        <v>121</v>
      </c>
      <c r="AMH27" s="1"/>
      <c r="AMI27" s="3"/>
      <c r="AMJ27" s="3"/>
      <c r="AMK27" s="3"/>
      <c r="AML27" s="550"/>
      <c r="AMM27" s="1"/>
      <c r="AMT27" s="1"/>
      <c r="AMU27" s="3"/>
      <c r="AMV27" s="3"/>
      <c r="AMW27" s="3"/>
      <c r="AMX27" s="450">
        <v>26</v>
      </c>
      <c r="AMY27" s="1"/>
      <c r="AMZ27" s="3"/>
      <c r="ANA27" s="3"/>
      <c r="ANB27" s="3"/>
      <c r="ANC27" s="450">
        <v>76</v>
      </c>
      <c r="AND27" s="1"/>
      <c r="ANE27" s="3"/>
      <c r="ANF27" s="3"/>
      <c r="ANG27" s="3"/>
      <c r="ANH27" s="550"/>
      <c r="ANI27" s="1"/>
      <c r="ANJ27" s="3"/>
      <c r="ANK27" s="3"/>
      <c r="ANL27" s="3"/>
      <c r="ANM27" s="550"/>
      <c r="ANN27" s="1"/>
      <c r="ANU27" s="1"/>
      <c r="ANV27" s="3"/>
      <c r="ANW27" s="3"/>
      <c r="ANX27" s="3"/>
      <c r="ANY27" s="450">
        <v>7</v>
      </c>
      <c r="ANZ27" s="1"/>
      <c r="AOA27" s="3"/>
      <c r="AOB27" s="3"/>
      <c r="AOC27" s="3"/>
      <c r="AOD27" s="550"/>
      <c r="AOE27" s="1"/>
      <c r="AOF27" s="3"/>
      <c r="AOG27" s="3"/>
      <c r="AOH27" s="3"/>
      <c r="AOI27" s="461"/>
      <c r="AOJ27" s="461"/>
      <c r="AOK27" s="1"/>
      <c r="AOL27" s="3"/>
      <c r="AOM27" s="3"/>
      <c r="AON27" s="3"/>
      <c r="AOO27" s="550"/>
      <c r="AOP27" s="1"/>
      <c r="AOW27" s="1"/>
      <c r="AOX27" s="3"/>
      <c r="AOY27" s="3"/>
      <c r="AOZ27" s="3"/>
      <c r="APA27" s="552" t="e">
        <v>#N/A</v>
      </c>
      <c r="APB27" s="1"/>
      <c r="APC27" s="3"/>
      <c r="APD27" s="3"/>
      <c r="APE27" s="3"/>
      <c r="APF27" s="550"/>
      <c r="APG27" s="1"/>
      <c r="APH27" s="3"/>
      <c r="API27" s="3"/>
      <c r="APJ27" s="3"/>
      <c r="APK27" s="550"/>
      <c r="APL27" s="1"/>
      <c r="APM27" s="3"/>
      <c r="APN27" s="3"/>
      <c r="APO27" s="3"/>
      <c r="APP27" s="450">
        <v>128</v>
      </c>
      <c r="APQ27" s="1"/>
      <c r="APX27" s="1"/>
      <c r="APY27" s="3"/>
      <c r="APZ27" s="3"/>
      <c r="AQA27" s="3"/>
      <c r="AQB27" s="437">
        <v>23</v>
      </c>
      <c r="AQC27" s="1"/>
      <c r="AQD27" s="3"/>
      <c r="AQE27" s="3"/>
      <c r="AQF27" s="3"/>
      <c r="AQG27" s="552" t="e">
        <v>#N/A</v>
      </c>
      <c r="AQH27" s="1"/>
      <c r="AQI27" s="3"/>
      <c r="AQJ27" s="3"/>
      <c r="AQK27" s="3"/>
      <c r="AQL27" s="550"/>
      <c r="AQM27" s="1"/>
      <c r="AQN27" s="3"/>
      <c r="AQO27" s="3"/>
      <c r="AQP27" s="3"/>
      <c r="AQQ27" s="550"/>
      <c r="AQR27" s="1"/>
      <c r="AQY27" s="1"/>
      <c r="AQZ27" s="3"/>
      <c r="ARA27" s="3"/>
      <c r="ARB27" s="3"/>
      <c r="ARC27" s="550"/>
      <c r="ARD27" s="1"/>
      <c r="ARE27" s="3"/>
      <c r="ARF27" s="3"/>
      <c r="ARG27" s="3"/>
      <c r="ARH27" s="450">
        <v>63</v>
      </c>
      <c r="ARI27" s="1"/>
      <c r="ARJ27" s="3"/>
      <c r="ARK27" s="3"/>
      <c r="ARL27" s="3"/>
      <c r="ARM27" s="450">
        <v>144</v>
      </c>
      <c r="ARN27" s="1"/>
      <c r="ARO27" s="3"/>
      <c r="ARP27" s="3"/>
      <c r="ARQ27" s="3"/>
      <c r="ARR27" s="550"/>
      <c r="ARS27" s="1"/>
      <c r="ARZ27" s="1"/>
      <c r="ASA27" s="3"/>
      <c r="ASB27" s="3"/>
      <c r="ASC27" s="3"/>
      <c r="ASD27" s="550"/>
      <c r="ASE27" s="1"/>
      <c r="ASF27" s="3"/>
      <c r="ASG27" s="3"/>
      <c r="ASH27" s="3"/>
      <c r="ASI27" s="550"/>
      <c r="ASJ27" s="1"/>
      <c r="ASK27" s="3"/>
      <c r="ASL27" s="3"/>
      <c r="ASM27" s="3"/>
      <c r="ASN27" s="550"/>
      <c r="ASO27" s="1"/>
      <c r="ASP27" s="3"/>
      <c r="ASQ27" s="3"/>
      <c r="ASR27" s="3"/>
      <c r="ASS27" s="550"/>
      <c r="AST27" s="1"/>
      <c r="ATA27" s="1"/>
      <c r="ATB27" s="3"/>
      <c r="ATC27" s="3"/>
      <c r="ATD27" s="3"/>
      <c r="ATE27" s="550"/>
      <c r="ATF27" s="1"/>
      <c r="ATG27" s="3"/>
      <c r="ATH27" s="3"/>
      <c r="ATI27" s="3"/>
      <c r="ATJ27" s="450">
        <v>40</v>
      </c>
      <c r="ATK27" s="1"/>
      <c r="ATL27" s="3"/>
      <c r="ATM27" s="3"/>
      <c r="ATN27" s="3"/>
      <c r="ATO27" s="437">
        <v>104</v>
      </c>
      <c r="ATP27" s="1"/>
      <c r="ATQ27" s="3"/>
      <c r="ATR27" s="3"/>
      <c r="ATS27" s="3"/>
      <c r="ATT27" s="550"/>
      <c r="ATU27" s="1"/>
      <c r="AUB27" s="1"/>
      <c r="AUC27" s="3"/>
      <c r="AUD27" s="3"/>
      <c r="AUE27" s="3"/>
      <c r="AUF27" s="550"/>
      <c r="AUG27" s="1"/>
      <c r="AUH27" s="3"/>
      <c r="AUI27" s="3"/>
      <c r="AUJ27" s="3"/>
      <c r="AUK27" s="550"/>
      <c r="AUL27" s="1"/>
      <c r="AUM27" s="3"/>
      <c r="AUN27" s="3"/>
      <c r="AUO27" s="3"/>
      <c r="AUP27" s="550"/>
      <c r="AUQ27" s="1"/>
      <c r="AUR27" s="3"/>
      <c r="AUS27" s="3"/>
      <c r="AUT27" s="3"/>
      <c r="AUU27" s="550"/>
      <c r="AUV27" s="1"/>
      <c r="AVC27" s="1"/>
      <c r="AVD27" s="3"/>
      <c r="AVE27" s="3"/>
      <c r="AVF27" s="3"/>
      <c r="AVG27" s="550"/>
      <c r="AVH27" s="1"/>
      <c r="AVI27" s="3"/>
      <c r="AVJ27" s="3"/>
      <c r="AVK27" s="3"/>
      <c r="AVL27" s="550"/>
      <c r="AVM27" s="1"/>
      <c r="AVN27" s="3"/>
      <c r="AVO27" s="3"/>
      <c r="AVP27" s="3"/>
      <c r="AVQ27" s="550"/>
      <c r="AVR27" s="1"/>
      <c r="AVS27" s="3"/>
      <c r="AVT27" s="3"/>
      <c r="AVU27" s="3"/>
      <c r="AVV27" s="437">
        <v>106</v>
      </c>
      <c r="AVW27" s="1"/>
      <c r="AWD27" s="1"/>
      <c r="AWE27" s="3"/>
      <c r="AWF27" s="3"/>
      <c r="AWG27" s="3"/>
      <c r="AWH27" s="450">
        <v>106</v>
      </c>
      <c r="AWI27" s="1"/>
      <c r="AWJ27" s="3"/>
      <c r="AWK27" s="3"/>
      <c r="AWL27" s="3"/>
      <c r="AWM27" s="450">
        <v>236</v>
      </c>
      <c r="AWN27" s="1"/>
      <c r="AWO27" s="3"/>
      <c r="AWP27" s="3"/>
      <c r="AWQ27" s="3"/>
      <c r="AWR27" s="450">
        <v>33</v>
      </c>
      <c r="AWS27" s="1"/>
      <c r="AWT27" s="3"/>
      <c r="AWU27" s="3"/>
      <c r="AWV27" s="3"/>
      <c r="AWW27" s="550"/>
      <c r="AWX27" s="1"/>
      <c r="AXE27" s="1"/>
      <c r="AXF27" s="3"/>
      <c r="AXG27" s="3"/>
      <c r="AXH27" s="3"/>
      <c r="AXI27" s="550"/>
      <c r="AXJ27" s="1"/>
      <c r="AXK27" s="3"/>
      <c r="AXL27" s="3"/>
      <c r="AXM27" s="3"/>
      <c r="AXN27" s="550"/>
      <c r="AXO27" s="1"/>
      <c r="AXP27" s="3"/>
      <c r="AXQ27" s="3"/>
      <c r="AXR27" s="3"/>
      <c r="AXS27" s="450">
        <v>223</v>
      </c>
      <c r="AXT27" s="1"/>
      <c r="AXU27" s="3"/>
      <c r="AXV27" s="3"/>
      <c r="AXW27" s="3"/>
      <c r="AXX27" s="450">
        <v>328</v>
      </c>
      <c r="AXY27" s="1"/>
      <c r="AYF27" s="1"/>
      <c r="AYG27" s="3"/>
      <c r="AYH27" s="3"/>
      <c r="AYI27" s="3"/>
      <c r="AYJ27" s="550"/>
      <c r="AYK27" s="1"/>
      <c r="AYL27" s="3"/>
      <c r="AYM27" s="3"/>
      <c r="AYN27" s="3"/>
      <c r="AYO27" s="550"/>
      <c r="AYP27" s="1"/>
      <c r="AYQ27" s="3"/>
      <c r="AYR27" s="3"/>
      <c r="AYS27" s="3"/>
      <c r="AYT27" s="450">
        <v>13</v>
      </c>
      <c r="AYU27" s="1"/>
      <c r="AYV27" s="3"/>
      <c r="AYW27" s="3"/>
      <c r="AYX27" s="3"/>
      <c r="AYY27" s="550"/>
      <c r="AYZ27" s="1"/>
      <c r="AZG27" s="1"/>
      <c r="AZH27" s="3"/>
      <c r="AZI27" s="3"/>
      <c r="AZJ27" s="3"/>
      <c r="AZK27" s="550"/>
      <c r="AZL27" s="1"/>
      <c r="AZM27" s="3"/>
      <c r="AZN27" s="3"/>
      <c r="AZO27" s="3"/>
      <c r="AZP27" s="450">
        <v>25</v>
      </c>
      <c r="AZQ27" s="1"/>
      <c r="AZR27" s="3"/>
      <c r="AZS27" s="3"/>
      <c r="AZT27" s="3"/>
      <c r="AZU27" s="450">
        <v>106</v>
      </c>
      <c r="AZV27" s="1"/>
      <c r="AZW27" s="3"/>
      <c r="AZX27" s="3"/>
      <c r="AZY27" s="3"/>
      <c r="AZZ27" s="450">
        <v>152</v>
      </c>
      <c r="BAA27" s="1"/>
      <c r="BAH27" s="1"/>
      <c r="BAI27" s="3"/>
      <c r="BAJ27" s="3"/>
      <c r="BAK27" s="3"/>
      <c r="BAL27" s="450">
        <v>44</v>
      </c>
      <c r="BAM27" s="1"/>
      <c r="BAN27" s="3"/>
      <c r="BAO27" s="3"/>
      <c r="BAP27" s="3"/>
      <c r="BAQ27" s="450">
        <v>95</v>
      </c>
      <c r="BAR27" s="1"/>
      <c r="BAS27" s="3"/>
      <c r="BAT27" s="3"/>
      <c r="BAU27" s="3"/>
      <c r="BAV27" s="550"/>
      <c r="BAW27" s="1"/>
      <c r="BAX27" s="3"/>
      <c r="BAY27" s="3"/>
      <c r="BAZ27" s="3"/>
      <c r="BBA27" s="450">
        <v>189</v>
      </c>
      <c r="BBB27" s="1"/>
      <c r="BBI27" s="1"/>
      <c r="BBJ27" s="3"/>
      <c r="BBK27" s="3"/>
      <c r="BBL27" s="3"/>
      <c r="BBM27" s="450">
        <v>244</v>
      </c>
      <c r="BBN27" s="1"/>
      <c r="BBO27" s="3"/>
      <c r="BBP27" s="3"/>
      <c r="BBQ27" s="3"/>
      <c r="BBR27" s="450">
        <v>242</v>
      </c>
      <c r="BBS27" s="1"/>
      <c r="BBT27" s="3"/>
      <c r="BBU27" s="3"/>
      <c r="BBV27" s="3"/>
      <c r="BBW27" s="450">
        <v>366</v>
      </c>
      <c r="BBX27" s="1"/>
      <c r="BBY27" s="3"/>
      <c r="BBZ27" s="3"/>
      <c r="BCA27" s="3"/>
      <c r="BCB27" s="450">
        <v>87</v>
      </c>
      <c r="BCC27" s="1"/>
      <c r="BCJ27" s="1"/>
      <c r="BCK27" s="3"/>
      <c r="BCL27" s="3"/>
      <c r="BCM27" s="3"/>
      <c r="BCN27" s="450">
        <v>85</v>
      </c>
      <c r="BCO27" s="1"/>
      <c r="BCP27" s="3"/>
      <c r="BCQ27" s="3"/>
      <c r="BCR27" s="3"/>
      <c r="BCS27" s="450">
        <v>242</v>
      </c>
      <c r="BCT27" s="1"/>
      <c r="BCU27" s="3"/>
      <c r="BCV27" s="3"/>
      <c r="BCW27" s="3"/>
      <c r="BCX27" s="450">
        <v>213</v>
      </c>
      <c r="BCY27" s="1"/>
      <c r="BCZ27" s="3"/>
      <c r="BDA27" s="3"/>
      <c r="BDB27" s="3"/>
      <c r="BDC27" s="450">
        <v>297</v>
      </c>
      <c r="BDD27" s="1"/>
      <c r="BDK27" s="1"/>
      <c r="BDL27" s="3"/>
      <c r="BDM27" s="3"/>
      <c r="BDN27" s="3"/>
      <c r="BDO27" s="450">
        <v>409</v>
      </c>
      <c r="BDP27" s="1"/>
      <c r="BDQ27" s="3"/>
      <c r="BDR27" s="3"/>
      <c r="BDS27" s="3"/>
      <c r="BDT27" s="450">
        <v>308</v>
      </c>
      <c r="BDU27" s="1"/>
      <c r="BDV27" s="3"/>
      <c r="BDW27" s="3"/>
      <c r="BDX27" s="3"/>
      <c r="BDY27" s="450">
        <v>219</v>
      </c>
      <c r="BDZ27" s="1"/>
      <c r="BEA27" s="3"/>
      <c r="BEB27" s="3"/>
      <c r="BEC27" s="3"/>
      <c r="BED27" s="450">
        <v>105</v>
      </c>
      <c r="BEE27" s="1"/>
      <c r="BEL27" s="1"/>
      <c r="BEM27" s="3"/>
      <c r="BEN27" s="3"/>
      <c r="BEO27" s="3"/>
      <c r="BEP27" s="437">
        <v>273</v>
      </c>
      <c r="BEQ27" s="1"/>
      <c r="BER27" s="3"/>
      <c r="BES27" s="3"/>
      <c r="BET27" s="3"/>
      <c r="BEU27" s="550"/>
      <c r="BEV27" s="1"/>
      <c r="BEW27" s="3"/>
      <c r="BEX27" s="3"/>
      <c r="BEY27" s="3"/>
      <c r="BEZ27" s="450">
        <v>298</v>
      </c>
      <c r="BFA27" s="1"/>
      <c r="BFB27" s="3"/>
      <c r="BFC27" s="3"/>
      <c r="BFD27" s="3"/>
      <c r="BFE27" s="450">
        <v>347</v>
      </c>
      <c r="BFF27" s="1"/>
      <c r="BFM27" s="1"/>
      <c r="BFN27" s="3"/>
      <c r="BFO27" s="3"/>
      <c r="BFP27" s="3"/>
      <c r="BFQ27" s="450">
        <v>298</v>
      </c>
      <c r="BFR27" s="1"/>
      <c r="BFS27" s="3"/>
      <c r="BFT27" s="3"/>
      <c r="BFU27" s="3"/>
      <c r="BFV27" s="450">
        <v>79</v>
      </c>
      <c r="BFW27" s="1"/>
      <c r="BFX27" s="3"/>
      <c r="BFY27" s="3"/>
      <c r="BFZ27" s="3"/>
      <c r="BGA27" s="450"/>
      <c r="BGB27" s="1"/>
      <c r="BGC27" s="3"/>
      <c r="BGD27" s="3"/>
      <c r="BGE27" s="3"/>
      <c r="BGF27" s="450"/>
    </row>
    <row r="28" spans="1:1540" ht="28.35" customHeight="1" x14ac:dyDescent="0.4">
      <c r="A28" s="1"/>
      <c r="H28" s="1"/>
      <c r="I28" s="3"/>
      <c r="J28" s="3"/>
      <c r="K28" s="3"/>
      <c r="L28" s="3"/>
      <c r="M28" s="1"/>
      <c r="N28" s="3"/>
      <c r="O28" s="3"/>
      <c r="P28" s="3"/>
      <c r="Q28" s="3"/>
      <c r="R28" s="1"/>
      <c r="S28" s="3"/>
      <c r="T28" s="3"/>
      <c r="U28" s="3"/>
      <c r="V28" s="3"/>
      <c r="W28" s="1"/>
      <c r="X28" s="3"/>
      <c r="Y28" s="3"/>
      <c r="Z28" s="3"/>
      <c r="AA28" s="3"/>
      <c r="AB28" s="1"/>
      <c r="AI28" s="1"/>
      <c r="AJ28" s="3"/>
      <c r="AK28" s="3"/>
      <c r="AL28" s="3"/>
      <c r="AM28" s="3"/>
      <c r="AN28" s="1"/>
      <c r="AO28" s="3"/>
      <c r="AP28" s="3"/>
      <c r="AQ28" s="3"/>
      <c r="AR28" s="3"/>
      <c r="AS28" s="1"/>
      <c r="AT28" s="3"/>
      <c r="AU28" s="3"/>
      <c r="AV28" s="3"/>
      <c r="AW28" s="3"/>
      <c r="AX28" s="1"/>
      <c r="AY28" s="3"/>
      <c r="AZ28" s="3"/>
      <c r="BA28" s="3"/>
      <c r="BB28" s="3"/>
      <c r="BC28" s="1"/>
      <c r="BJ28" s="1"/>
      <c r="BK28" s="3"/>
      <c r="BL28" s="3"/>
      <c r="BM28" s="3"/>
      <c r="BN28" s="3"/>
      <c r="BO28" s="1"/>
      <c r="BP28" s="3"/>
      <c r="BQ28" s="3"/>
      <c r="BR28" s="3"/>
      <c r="BS28" s="3"/>
      <c r="BT28" s="1"/>
      <c r="BU28" s="3"/>
      <c r="BV28" s="3"/>
      <c r="BW28" s="3"/>
      <c r="BX28" s="3"/>
      <c r="BY28" s="1"/>
      <c r="BZ28" s="3"/>
      <c r="CA28" s="3"/>
      <c r="CB28" s="3"/>
      <c r="CC28" s="3"/>
      <c r="CD28" s="1"/>
      <c r="CK28" s="1"/>
      <c r="CL28" s="3"/>
      <c r="CM28" s="3"/>
      <c r="CN28" s="3"/>
      <c r="CO28" s="3"/>
      <c r="CP28" s="1"/>
      <c r="CQ28" s="3"/>
      <c r="CR28" s="3"/>
      <c r="CS28" s="3"/>
      <c r="CT28" s="3"/>
      <c r="CU28" s="1"/>
      <c r="CV28" s="3"/>
      <c r="CW28" s="3"/>
      <c r="CX28" s="3"/>
      <c r="CY28" s="3"/>
      <c r="CZ28" s="1"/>
      <c r="DA28" s="3"/>
      <c r="DB28" s="3"/>
      <c r="DC28" s="3"/>
      <c r="DD28" s="3"/>
      <c r="DE28" s="1"/>
      <c r="DL28" s="1"/>
      <c r="DM28" s="3"/>
      <c r="DN28" s="3"/>
      <c r="DO28" s="3"/>
      <c r="DP28" s="3"/>
      <c r="DQ28" s="1"/>
      <c r="DR28" s="3"/>
      <c r="DS28" s="3"/>
      <c r="DT28" s="3"/>
      <c r="DU28" s="3"/>
      <c r="DV28" s="1"/>
      <c r="DW28" s="3"/>
      <c r="DX28" s="3"/>
      <c r="DY28" s="3"/>
      <c r="DZ28" s="3"/>
      <c r="EA28" s="1"/>
      <c r="EB28" s="3"/>
      <c r="EC28" s="3"/>
      <c r="ED28" s="3"/>
      <c r="EE28" s="3"/>
      <c r="EF28" s="1"/>
      <c r="EM28" s="1"/>
      <c r="EN28" s="3"/>
      <c r="EO28" s="3"/>
      <c r="EP28" s="3"/>
      <c r="EQ28" s="3"/>
      <c r="ER28" s="1"/>
      <c r="ES28" s="3"/>
      <c r="ET28" s="3"/>
      <c r="EU28" s="3"/>
      <c r="EV28" s="3"/>
      <c r="EW28" s="1"/>
      <c r="EX28" s="3"/>
      <c r="EY28" s="3"/>
      <c r="EZ28" s="3"/>
      <c r="FA28" s="3"/>
      <c r="FB28" s="1"/>
      <c r="FC28" s="3"/>
      <c r="FD28" s="3"/>
      <c r="FE28" s="3"/>
      <c r="FF28" s="3"/>
      <c r="FG28" s="1"/>
      <c r="FN28" s="1"/>
      <c r="FO28" s="3"/>
      <c r="FP28" s="3"/>
      <c r="FQ28" s="3"/>
      <c r="FR28" s="3"/>
      <c r="FS28" s="1"/>
      <c r="FT28" s="3"/>
      <c r="FU28" s="3"/>
      <c r="FV28" s="3"/>
      <c r="FW28" s="3"/>
      <c r="FX28" s="1"/>
      <c r="FY28" s="3"/>
      <c r="FZ28" s="3"/>
      <c r="GA28" s="3"/>
      <c r="GB28" s="3"/>
      <c r="GC28" s="1"/>
      <c r="GD28" s="3"/>
      <c r="GE28" s="3"/>
      <c r="GF28" s="3"/>
      <c r="GG28" s="3"/>
      <c r="GH28" s="1"/>
      <c r="GO28" s="1"/>
      <c r="GP28" s="3"/>
      <c r="GQ28" s="3"/>
      <c r="GR28" s="3"/>
      <c r="GS28" s="3"/>
      <c r="GT28" s="1"/>
      <c r="GU28" s="3"/>
      <c r="GV28" s="3"/>
      <c r="GW28" s="3"/>
      <c r="GX28" s="3"/>
      <c r="GY28" s="1"/>
      <c r="GZ28" s="3"/>
      <c r="HA28" s="3"/>
      <c r="HB28" s="3"/>
      <c r="HC28" s="3"/>
      <c r="HD28" s="1"/>
      <c r="HE28" s="3"/>
      <c r="HF28" s="3"/>
      <c r="HG28" s="3"/>
      <c r="HH28" s="3"/>
      <c r="HI28" s="1"/>
      <c r="HP28" s="1"/>
      <c r="HQ28" s="3"/>
      <c r="HR28" s="3"/>
      <c r="HS28" s="3"/>
      <c r="HT28" s="3"/>
      <c r="HU28" s="1"/>
      <c r="HV28" s="3"/>
      <c r="HW28" s="3"/>
      <c r="HX28" s="3"/>
      <c r="HY28" s="3"/>
      <c r="HZ28" s="1"/>
      <c r="IA28" s="3"/>
      <c r="IB28" s="3"/>
      <c r="IC28" s="3"/>
      <c r="ID28" s="3"/>
      <c r="IE28" s="1"/>
      <c r="IF28" s="3"/>
      <c r="IG28" s="3"/>
      <c r="IH28" s="3"/>
      <c r="II28" s="3"/>
      <c r="IJ28" s="1"/>
      <c r="IQ28" s="1"/>
      <c r="IR28" s="3"/>
      <c r="IS28" s="3"/>
      <c r="IT28" s="3"/>
      <c r="IU28" s="3"/>
      <c r="IV28" s="1"/>
      <c r="IW28" s="3"/>
      <c r="IX28" s="3"/>
      <c r="IY28" s="3"/>
      <c r="IZ28" s="3"/>
      <c r="JA28" s="1"/>
      <c r="JB28" s="3"/>
      <c r="JC28" s="3"/>
      <c r="JD28" s="3"/>
      <c r="JE28" s="3"/>
      <c r="JF28" s="1"/>
      <c r="JG28" s="3"/>
      <c r="JH28" s="3"/>
      <c r="JI28" s="3"/>
      <c r="JJ28" s="3"/>
      <c r="JK28" s="1"/>
      <c r="JR28" s="1"/>
      <c r="JS28" s="3"/>
      <c r="JT28" s="3"/>
      <c r="JU28" s="3"/>
      <c r="JV28" s="3"/>
      <c r="JW28" s="1"/>
      <c r="JX28" s="3"/>
      <c r="JY28" s="3"/>
      <c r="JZ28" s="3"/>
      <c r="KA28" s="3"/>
      <c r="KB28" s="1"/>
      <c r="KC28" s="3"/>
      <c r="KD28" s="3"/>
      <c r="KE28" s="3"/>
      <c r="KF28" s="3"/>
      <c r="KG28" s="1"/>
      <c r="KH28" s="3"/>
      <c r="KI28" s="3"/>
      <c r="KJ28" s="3"/>
      <c r="KK28" s="3"/>
      <c r="KL28" s="1"/>
      <c r="KS28" s="1"/>
      <c r="KT28" s="3"/>
      <c r="KU28" s="3"/>
      <c r="KV28" s="3"/>
      <c r="KW28" s="3"/>
      <c r="KX28" s="1"/>
      <c r="KY28" s="3"/>
      <c r="KZ28" s="3"/>
      <c r="LA28" s="3"/>
      <c r="LB28" s="3"/>
      <c r="LC28" s="1"/>
      <c r="LD28" s="3"/>
      <c r="LE28" s="3"/>
      <c r="LF28" s="3"/>
      <c r="LG28" s="3"/>
      <c r="LH28" s="1"/>
      <c r="LI28" s="3"/>
      <c r="LJ28" s="3"/>
      <c r="LK28" s="3"/>
      <c r="LL28" s="3"/>
      <c r="LM28" s="1"/>
      <c r="LT28" s="1"/>
      <c r="LU28" s="3"/>
      <c r="LV28" s="3"/>
      <c r="LW28" s="3"/>
      <c r="LX28" s="3"/>
      <c r="LY28" s="1"/>
      <c r="LZ28" s="3"/>
      <c r="MA28" s="3"/>
      <c r="MB28" s="3"/>
      <c r="MC28" s="3"/>
      <c r="MD28" s="1"/>
      <c r="ME28" s="3"/>
      <c r="MF28" s="3"/>
      <c r="MG28" s="3"/>
      <c r="MH28" s="3"/>
      <c r="MI28" s="1"/>
      <c r="MJ28" s="3"/>
      <c r="MK28" s="3"/>
      <c r="ML28" s="3"/>
      <c r="MM28" s="3"/>
      <c r="MN28" s="1"/>
      <c r="MU28" s="1"/>
      <c r="MV28" s="3"/>
      <c r="MW28" s="3"/>
      <c r="MX28" s="3"/>
      <c r="MY28" s="3"/>
      <c r="MZ28" s="1"/>
      <c r="NA28" s="3"/>
      <c r="NB28" s="3"/>
      <c r="NC28" s="3"/>
      <c r="ND28" s="3"/>
      <c r="NE28" s="1"/>
      <c r="NF28" s="3"/>
      <c r="NG28" s="3"/>
      <c r="NH28" s="3"/>
      <c r="NI28" s="3"/>
      <c r="NJ28" s="1"/>
      <c r="NK28" s="3"/>
      <c r="NL28" s="3"/>
      <c r="NM28" s="3"/>
      <c r="NN28" s="3"/>
      <c r="NO28" s="1"/>
      <c r="NV28" s="1"/>
      <c r="NW28" s="3"/>
      <c r="NX28" s="3"/>
      <c r="NY28" s="3"/>
      <c r="NZ28" s="3"/>
      <c r="OA28" s="1"/>
      <c r="OB28" s="3"/>
      <c r="OC28" s="3"/>
      <c r="OD28" s="3"/>
      <c r="OE28" s="3"/>
      <c r="OF28" s="1"/>
      <c r="OG28" s="3"/>
      <c r="OH28" s="3"/>
      <c r="OI28" s="3"/>
      <c r="OJ28" s="3"/>
      <c r="OK28" s="1"/>
      <c r="OL28" s="3"/>
      <c r="OM28" s="3"/>
      <c r="ON28" s="3"/>
      <c r="OO28" s="3"/>
      <c r="OP28" s="1"/>
      <c r="OW28" s="1"/>
      <c r="OX28" s="3"/>
      <c r="OY28" s="3"/>
      <c r="OZ28" s="3"/>
      <c r="PA28" s="3"/>
      <c r="PB28" s="1"/>
      <c r="PC28" s="3"/>
      <c r="PD28" s="3"/>
      <c r="PE28" s="3"/>
      <c r="PF28" s="3"/>
      <c r="PG28" s="1"/>
      <c r="PH28" s="3"/>
      <c r="PI28" s="3"/>
      <c r="PJ28" s="3"/>
      <c r="PK28" s="3"/>
      <c r="PL28" s="1"/>
      <c r="PM28" s="3"/>
      <c r="PN28" s="3"/>
      <c r="PO28" s="3"/>
      <c r="PP28" s="3"/>
      <c r="PQ28" s="1"/>
      <c r="PX28" s="1"/>
      <c r="PY28" s="3"/>
      <c r="PZ28" s="3"/>
      <c r="QA28" s="3"/>
      <c r="QB28" s="3"/>
      <c r="QC28" s="1"/>
      <c r="QD28" s="3"/>
      <c r="QE28" s="3"/>
      <c r="QF28" s="3"/>
      <c r="QG28" s="3"/>
      <c r="QH28" s="1"/>
      <c r="QI28" s="3"/>
      <c r="QJ28" s="3"/>
      <c r="QK28" s="3"/>
      <c r="QL28" s="3"/>
      <c r="QM28" s="1"/>
      <c r="QN28" s="3"/>
      <c r="QO28" s="3"/>
      <c r="QP28" s="3"/>
      <c r="QQ28" s="3"/>
      <c r="QR28" s="1"/>
      <c r="QY28" s="1"/>
      <c r="QZ28" s="3"/>
      <c r="RA28" s="3"/>
      <c r="RB28" s="3"/>
      <c r="RC28" s="3"/>
      <c r="RD28" s="1"/>
      <c r="RE28" s="3"/>
      <c r="RF28" s="3"/>
      <c r="RG28" s="3"/>
      <c r="RH28" s="3"/>
      <c r="RI28" s="1"/>
      <c r="RJ28" s="3"/>
      <c r="RK28" s="3"/>
      <c r="RL28" s="3"/>
      <c r="RM28" s="3"/>
      <c r="RN28" s="1"/>
      <c r="RO28" s="3"/>
      <c r="RP28" s="3"/>
      <c r="RQ28" s="3"/>
      <c r="RR28" s="3"/>
      <c r="RS28" s="1"/>
      <c r="RZ28" s="1"/>
      <c r="SA28" s="3"/>
      <c r="SB28" s="3"/>
      <c r="SC28" s="3"/>
      <c r="SD28" s="3"/>
      <c r="SE28" s="1"/>
      <c r="SF28" s="3"/>
      <c r="SG28" s="3"/>
      <c r="SH28" s="3"/>
      <c r="SI28" s="3"/>
      <c r="SJ28" s="1"/>
      <c r="SK28" s="3"/>
      <c r="SL28" s="3"/>
      <c r="SM28" s="3"/>
      <c r="SN28" s="3"/>
      <c r="SO28" s="1"/>
      <c r="SP28" s="3"/>
      <c r="SQ28" s="3"/>
      <c r="SR28" s="3"/>
      <c r="SS28" s="3"/>
      <c r="ST28" s="1"/>
      <c r="TA28" s="1"/>
      <c r="TB28" s="3"/>
      <c r="TC28" s="3"/>
      <c r="TD28" s="3"/>
      <c r="TE28" s="3"/>
      <c r="TF28" s="1"/>
      <c r="TG28" s="3"/>
      <c r="TH28" s="3"/>
      <c r="TI28" s="3"/>
      <c r="TJ28" s="3"/>
      <c r="TK28" s="1"/>
      <c r="TL28" s="3"/>
      <c r="TM28" s="3"/>
      <c r="TN28" s="3"/>
      <c r="TO28" s="3"/>
      <c r="TP28" s="1"/>
      <c r="TQ28" s="3"/>
      <c r="TR28" s="3"/>
      <c r="TS28" s="3"/>
      <c r="TT28" s="3"/>
      <c r="TU28" s="1"/>
      <c r="UB28" s="1"/>
      <c r="UC28" s="3"/>
      <c r="UD28" s="3"/>
      <c r="UE28" s="3"/>
      <c r="UF28" s="3"/>
      <c r="UG28" s="1"/>
      <c r="UH28" s="3"/>
      <c r="UI28" s="3"/>
      <c r="UJ28" s="3"/>
      <c r="UK28" s="3"/>
      <c r="UL28" s="1"/>
      <c r="UM28" s="3"/>
      <c r="UN28" s="3"/>
      <c r="UO28" s="3"/>
      <c r="UP28" s="3"/>
      <c r="UQ28" s="1"/>
      <c r="UR28" s="3"/>
      <c r="US28" s="3"/>
      <c r="UT28" s="3"/>
      <c r="UU28" s="3"/>
      <c r="UV28" s="1"/>
      <c r="VC28" s="1"/>
      <c r="VD28" s="3"/>
      <c r="VE28" s="3"/>
      <c r="VF28" s="3"/>
      <c r="VG28" s="3"/>
      <c r="VH28" s="1"/>
      <c r="VI28" s="3"/>
      <c r="VJ28" s="3"/>
      <c r="VK28" s="3"/>
      <c r="VL28" s="3"/>
      <c r="VM28" s="1"/>
      <c r="VN28" s="3"/>
      <c r="VO28" s="3"/>
      <c r="VP28" s="3"/>
      <c r="VQ28" s="3"/>
      <c r="VR28" s="1"/>
      <c r="VS28" s="3"/>
      <c r="VT28" s="3"/>
      <c r="VU28" s="3"/>
      <c r="VV28" s="3"/>
      <c r="VW28" s="1"/>
      <c r="WD28" s="1"/>
      <c r="WE28" s="3"/>
      <c r="WF28" s="3"/>
      <c r="WG28" s="3"/>
      <c r="WH28" s="3"/>
      <c r="WI28" s="1"/>
      <c r="WJ28" s="3"/>
      <c r="WK28" s="3"/>
      <c r="WL28" s="3"/>
      <c r="WM28" s="3"/>
      <c r="WN28" s="1"/>
      <c r="WO28" s="3"/>
      <c r="WP28" s="3"/>
      <c r="WQ28" s="3"/>
      <c r="WR28" s="3"/>
      <c r="WS28" s="1"/>
      <c r="WT28" s="3"/>
      <c r="WU28" s="3"/>
      <c r="WV28" s="3"/>
      <c r="WW28" s="3"/>
      <c r="WX28" s="1"/>
      <c r="XE28" s="1"/>
      <c r="XF28" s="3"/>
      <c r="XG28" s="3"/>
      <c r="XH28" s="3"/>
      <c r="XI28" s="3"/>
      <c r="XJ28" s="1"/>
      <c r="XK28" s="3"/>
      <c r="XL28" s="3"/>
      <c r="XM28" s="3"/>
      <c r="XN28" s="3"/>
      <c r="XO28" s="1"/>
      <c r="XP28" s="3"/>
      <c r="XQ28" s="3"/>
      <c r="XR28" s="3"/>
      <c r="XS28" s="3"/>
      <c r="XT28" s="1"/>
      <c r="XU28" s="3"/>
      <c r="XV28" s="3"/>
      <c r="XW28" s="3"/>
      <c r="XX28" s="3"/>
      <c r="XY28" s="1"/>
      <c r="YF28" s="1"/>
      <c r="YG28" s="3"/>
      <c r="YH28" s="3"/>
      <c r="YI28" s="3"/>
      <c r="YJ28" s="3"/>
      <c r="YK28" s="1"/>
      <c r="YL28" s="3"/>
      <c r="YM28" s="3"/>
      <c r="YN28" s="3"/>
      <c r="YO28" s="3"/>
      <c r="YP28" s="1"/>
      <c r="YQ28" s="3"/>
      <c r="YR28" s="3"/>
      <c r="YS28" s="3"/>
      <c r="YT28" s="3"/>
      <c r="YU28" s="1"/>
      <c r="YV28" s="3"/>
      <c r="YW28" s="3"/>
      <c r="YX28" s="3"/>
      <c r="YY28" s="3"/>
      <c r="YZ28" s="1"/>
      <c r="ZG28" s="1"/>
      <c r="ZH28" s="3"/>
      <c r="ZI28" s="3"/>
      <c r="ZJ28" s="3"/>
      <c r="ZK28" s="3"/>
      <c r="ZL28" s="1"/>
      <c r="ZM28" s="3"/>
      <c r="ZN28" s="3"/>
      <c r="ZO28" s="3"/>
      <c r="ZP28" s="3"/>
      <c r="ZQ28" s="1"/>
      <c r="ZR28" s="3"/>
      <c r="ZS28" s="3"/>
      <c r="ZT28" s="3"/>
      <c r="ZU28" s="3"/>
      <c r="ZV28" s="1"/>
      <c r="ZW28" s="3"/>
      <c r="ZX28" s="3"/>
      <c r="ZY28" s="3"/>
      <c r="ZZ28" s="3"/>
      <c r="AAA28" s="1"/>
      <c r="AAH28" s="1"/>
      <c r="AAI28" s="3"/>
      <c r="AAJ28" s="3"/>
      <c r="AAK28" s="3"/>
      <c r="AAL28" s="3"/>
      <c r="AAM28" s="1"/>
      <c r="AAN28" s="3"/>
      <c r="AAO28" s="3"/>
      <c r="AAP28" s="3"/>
      <c r="AAQ28" s="3"/>
      <c r="AAR28" s="1"/>
      <c r="AAS28" s="3"/>
      <c r="AAT28" s="3"/>
      <c r="AAU28" s="3"/>
      <c r="AAV28" s="3"/>
      <c r="AAW28" s="1"/>
      <c r="AAX28" s="3"/>
      <c r="AAY28" s="3"/>
      <c r="AAZ28" s="3"/>
      <c r="ABA28" s="3"/>
      <c r="ABB28" s="1"/>
      <c r="ABI28" s="1"/>
      <c r="ABJ28" s="3"/>
      <c r="ABK28" s="3"/>
      <c r="ABL28" s="3"/>
      <c r="ABM28" s="3"/>
      <c r="ABN28" s="1"/>
      <c r="ABO28" s="3"/>
      <c r="ABP28" s="3"/>
      <c r="ABQ28" s="3"/>
      <c r="ABR28" s="3"/>
      <c r="ABS28" s="1"/>
      <c r="ABT28" s="3"/>
      <c r="ABU28" s="3"/>
      <c r="ABV28" s="3"/>
      <c r="ABW28" s="3"/>
      <c r="ABX28" s="1"/>
      <c r="ABY28" s="3"/>
      <c r="ABZ28" s="3"/>
      <c r="ACA28" s="3"/>
      <c r="ACB28" s="3"/>
      <c r="ACC28" s="1"/>
      <c r="ACJ28" s="1"/>
      <c r="ACK28" s="3"/>
      <c r="ACL28" s="3"/>
      <c r="ACM28" s="3"/>
      <c r="ACN28" s="3"/>
      <c r="ACO28" s="1"/>
      <c r="ACP28" s="3"/>
      <c r="ACQ28" s="3"/>
      <c r="ACR28" s="3"/>
      <c r="ACS28" s="3"/>
      <c r="ACT28" s="1"/>
      <c r="ACU28" s="3"/>
      <c r="ACV28" s="3"/>
      <c r="ACW28" s="3"/>
      <c r="ACX28" s="3"/>
      <c r="ACY28" s="1"/>
      <c r="ACZ28" s="3"/>
      <c r="ADA28" s="3"/>
      <c r="ADB28" s="3"/>
      <c r="ADC28" s="3"/>
      <c r="ADD28" s="1"/>
      <c r="ADK28" s="1"/>
      <c r="ADL28" s="3"/>
      <c r="ADM28" s="3"/>
      <c r="ADN28" s="3"/>
      <c r="ADO28" s="3"/>
      <c r="ADP28" s="1"/>
      <c r="ADQ28" s="3"/>
      <c r="ADR28" s="3"/>
      <c r="ADS28" s="3"/>
      <c r="ADT28" s="3"/>
      <c r="ADU28" s="1"/>
      <c r="ADV28" s="3"/>
      <c r="ADW28" s="3"/>
      <c r="ADX28" s="3"/>
      <c r="ADY28" s="3"/>
      <c r="ADZ28" s="1"/>
      <c r="AEA28" s="3"/>
      <c r="AEB28" s="3"/>
      <c r="AEC28" s="3"/>
      <c r="AED28" s="3"/>
      <c r="AEE28" s="1"/>
      <c r="AEL28" s="1"/>
      <c r="AEM28" s="3"/>
      <c r="AEN28" s="3"/>
      <c r="AEO28" s="3"/>
      <c r="AEP28" s="3"/>
      <c r="AEQ28" s="1"/>
      <c r="AER28" s="3"/>
      <c r="AES28" s="3"/>
      <c r="AET28" s="3"/>
      <c r="AEU28" s="3"/>
      <c r="AEV28" s="1"/>
      <c r="AEW28" s="3"/>
      <c r="AEX28" s="3"/>
      <c r="AEY28" s="3"/>
      <c r="AEZ28" s="3"/>
      <c r="AFA28" s="1"/>
      <c r="AFB28" s="3"/>
      <c r="AFC28" s="3"/>
      <c r="AFD28" s="3"/>
      <c r="AFE28" s="3"/>
      <c r="AFF28" s="1"/>
      <c r="AFM28" s="1"/>
      <c r="AFN28" s="3"/>
      <c r="AFO28" s="3"/>
      <c r="AFP28" s="3"/>
      <c r="AFQ28" s="3"/>
      <c r="AFR28" s="1"/>
      <c r="AFS28" s="3"/>
      <c r="AFT28" s="3"/>
      <c r="AFU28" s="3"/>
      <c r="AFV28" s="3"/>
      <c r="AFW28" s="1"/>
      <c r="AFX28" s="3"/>
      <c r="AFY28" s="3"/>
      <c r="AFZ28" s="3"/>
      <c r="AGA28" s="3"/>
      <c r="AGB28" s="1"/>
      <c r="AGC28" s="3"/>
      <c r="AGD28" s="3"/>
      <c r="AGE28" s="3"/>
      <c r="AGF28" s="3"/>
      <c r="AGG28" s="1"/>
      <c r="AGN28" s="1"/>
      <c r="AGO28" s="3"/>
      <c r="AGP28" s="3"/>
      <c r="AGQ28" s="3"/>
      <c r="AGR28" s="3"/>
      <c r="AGS28" s="1"/>
      <c r="AGT28" s="3"/>
      <c r="AGU28" s="3"/>
      <c r="AGV28" s="3"/>
      <c r="AGW28" s="3"/>
      <c r="AGX28" s="1"/>
      <c r="AGY28" s="3"/>
      <c r="AGZ28" s="3"/>
      <c r="AHA28" s="3"/>
      <c r="AHB28" s="3"/>
      <c r="AHC28" s="1"/>
      <c r="AHD28" s="3"/>
      <c r="AHE28" s="3"/>
      <c r="AHF28" s="3"/>
      <c r="AHG28" s="3"/>
      <c r="AHH28" s="1"/>
      <c r="AHO28" s="1"/>
      <c r="AHP28" s="3"/>
      <c r="AHQ28" s="3"/>
      <c r="AHR28" s="3"/>
      <c r="AHS28" s="3"/>
      <c r="AHT28" s="1"/>
      <c r="AHU28" s="3"/>
      <c r="AHV28" s="3"/>
      <c r="AHW28" s="3"/>
      <c r="AHX28" s="3"/>
      <c r="AHY28" s="1"/>
      <c r="AHZ28" s="3"/>
      <c r="AIA28" s="3"/>
      <c r="AIB28" s="3"/>
      <c r="AIC28" s="3"/>
      <c r="AID28" s="1"/>
      <c r="AIE28" s="3"/>
      <c r="AIF28" s="3"/>
      <c r="AIG28" s="3"/>
      <c r="AIH28" s="3"/>
      <c r="AII28" s="1"/>
      <c r="AIP28" s="1"/>
      <c r="AIQ28" s="3"/>
      <c r="AIR28" s="3"/>
      <c r="AIS28" s="3"/>
      <c r="AIT28" s="3"/>
      <c r="AIU28" s="1"/>
      <c r="AIV28" s="3"/>
      <c r="AIW28" s="3"/>
      <c r="AIX28" s="3"/>
      <c r="AIY28" s="3"/>
      <c r="AIZ28" s="1"/>
      <c r="AJA28" s="3"/>
      <c r="AJB28" s="3"/>
      <c r="AJC28" s="3"/>
      <c r="AJD28" s="3"/>
      <c r="AJE28" s="1"/>
      <c r="AJF28" s="3"/>
      <c r="AJG28" s="3"/>
      <c r="AJH28" s="3"/>
      <c r="AJI28" s="3"/>
      <c r="AJJ28" s="1"/>
      <c r="AJQ28" s="1"/>
      <c r="AJR28" s="3"/>
      <c r="AJS28" s="3"/>
      <c r="AJT28" s="3"/>
      <c r="AJU28" s="3"/>
      <c r="AJV28" s="1"/>
      <c r="AJW28" s="3"/>
      <c r="AJX28" s="3"/>
      <c r="AJY28" s="3"/>
      <c r="AJZ28" s="3"/>
      <c r="AKA28" s="1"/>
      <c r="AKB28" s="3"/>
      <c r="AKC28" s="3"/>
      <c r="AKD28" s="3"/>
      <c r="AKE28" s="3"/>
      <c r="AKF28" s="1"/>
      <c r="AKG28" s="3"/>
      <c r="AKH28" s="3"/>
      <c r="AKI28" s="3"/>
      <c r="AKJ28" s="3"/>
      <c r="AKK28" s="1"/>
      <c r="AKR28" s="1"/>
      <c r="AKS28" s="3"/>
      <c r="AKT28" s="3"/>
      <c r="AKU28" s="3"/>
      <c r="AKV28" s="3"/>
      <c r="AKW28" s="1"/>
      <c r="AKX28" s="3"/>
      <c r="AKY28" s="3"/>
      <c r="AKZ28" s="3"/>
      <c r="ALA28" s="3"/>
      <c r="ALB28" s="1"/>
      <c r="ALC28" s="3"/>
      <c r="ALD28" s="3"/>
      <c r="ALE28" s="3"/>
      <c r="ALF28" s="3"/>
      <c r="ALG28" s="1"/>
      <c r="ALH28" s="3"/>
      <c r="ALI28" s="3"/>
      <c r="ALJ28" s="3"/>
      <c r="ALK28" s="3"/>
      <c r="ALL28" s="1"/>
      <c r="ALS28" s="1"/>
      <c r="ALT28" s="3"/>
      <c r="ALU28" s="3"/>
      <c r="ALV28" s="3"/>
      <c r="ALW28" s="3"/>
      <c r="ALX28" s="1"/>
      <c r="ALY28" s="3"/>
      <c r="ALZ28" s="3"/>
      <c r="AMA28" s="3"/>
      <c r="AMB28" s="3"/>
      <c r="AMC28" s="1"/>
      <c r="AMD28" s="3"/>
      <c r="AME28" s="3"/>
      <c r="AMF28" s="3"/>
      <c r="AMG28" s="3"/>
      <c r="AMH28" s="1"/>
      <c r="AMI28" s="3"/>
      <c r="AMJ28" s="3"/>
      <c r="AMK28" s="3"/>
      <c r="AML28" s="3"/>
      <c r="AMM28" s="1"/>
      <c r="AMT28" s="1"/>
      <c r="AMU28" s="3"/>
      <c r="AMV28" s="3"/>
      <c r="AMW28" s="3"/>
      <c r="AMX28" s="3"/>
      <c r="AMY28" s="1"/>
      <c r="AMZ28" s="3"/>
      <c r="ANA28" s="3"/>
      <c r="ANB28" s="3"/>
      <c r="ANC28" s="3"/>
      <c r="AND28" s="1"/>
      <c r="ANE28" s="3"/>
      <c r="ANF28" s="3"/>
      <c r="ANG28" s="3"/>
      <c r="ANH28" s="3"/>
      <c r="ANI28" s="1"/>
      <c r="ANJ28" s="3"/>
      <c r="ANK28" s="3"/>
      <c r="ANL28" s="3"/>
      <c r="ANM28" s="3"/>
      <c r="ANN28" s="1"/>
      <c r="ANU28" s="1"/>
      <c r="ANV28" s="3"/>
      <c r="ANW28" s="3"/>
      <c r="ANX28" s="3"/>
      <c r="ANY28" s="3"/>
      <c r="ANZ28" s="1"/>
      <c r="AOA28" s="3"/>
      <c r="AOB28" s="3"/>
      <c r="AOC28" s="3"/>
      <c r="AOD28" s="3"/>
      <c r="AOE28" s="1"/>
      <c r="AOF28" s="3"/>
      <c r="AOG28" s="3"/>
      <c r="AOH28" s="3"/>
      <c r="AOI28" s="1"/>
      <c r="AOJ28" s="3"/>
      <c r="AOK28" s="1"/>
      <c r="AOL28" s="3"/>
      <c r="AOM28" s="3"/>
      <c r="AON28" s="3"/>
      <c r="AOO28" s="3"/>
      <c r="AOP28" s="1"/>
      <c r="AOW28" s="1"/>
      <c r="AOX28" s="3"/>
      <c r="AOY28" s="3"/>
      <c r="AOZ28" s="3"/>
      <c r="APA28" s="3"/>
      <c r="APB28" s="1"/>
      <c r="APC28" s="3"/>
      <c r="APD28" s="3"/>
      <c r="APE28" s="3"/>
      <c r="APF28" s="3"/>
      <c r="APG28" s="1"/>
      <c r="APH28" s="3"/>
      <c r="API28" s="3"/>
      <c r="APJ28" s="3"/>
      <c r="APK28" s="3"/>
      <c r="APL28" s="1"/>
      <c r="APM28" s="3"/>
      <c r="APN28" s="3"/>
      <c r="APO28" s="3"/>
      <c r="APP28" s="3"/>
      <c r="APQ28" s="1"/>
      <c r="APX28" s="1"/>
      <c r="APY28" s="3"/>
      <c r="APZ28" s="3"/>
      <c r="AQA28" s="3"/>
      <c r="AQB28" s="3"/>
      <c r="AQC28" s="1"/>
      <c r="AQD28" s="3"/>
      <c r="AQE28" s="3"/>
      <c r="AQF28" s="3"/>
      <c r="AQG28" s="3"/>
      <c r="AQH28" s="1"/>
      <c r="AQI28" s="3"/>
      <c r="AQJ28" s="3"/>
      <c r="AQK28" s="3"/>
      <c r="AQL28" s="3"/>
      <c r="AQM28" s="1"/>
      <c r="AQN28" s="3"/>
      <c r="AQO28" s="3"/>
      <c r="AQP28" s="3"/>
      <c r="AQQ28" s="3"/>
      <c r="AQR28" s="1"/>
      <c r="AQY28" s="1"/>
      <c r="AQZ28" s="3"/>
      <c r="ARA28" s="3"/>
      <c r="ARB28" s="3"/>
      <c r="ARC28" s="3"/>
      <c r="ARD28" s="1"/>
      <c r="ARE28" s="3"/>
      <c r="ARF28" s="3"/>
      <c r="ARG28" s="3"/>
      <c r="ARH28" s="3"/>
      <c r="ARI28" s="1"/>
      <c r="ARJ28" s="3"/>
      <c r="ARK28" s="3"/>
      <c r="ARL28" s="3"/>
      <c r="ARM28" s="3"/>
      <c r="ARN28" s="1"/>
      <c r="ARO28" s="3"/>
      <c r="ARP28" s="3"/>
      <c r="ARQ28" s="3"/>
      <c r="ARR28" s="3"/>
      <c r="ARS28" s="1"/>
      <c r="ARZ28" s="1"/>
      <c r="ASA28" s="3"/>
      <c r="ASB28" s="3"/>
      <c r="ASC28" s="3"/>
      <c r="ASD28" s="3"/>
      <c r="ASE28" s="1"/>
      <c r="ASF28" s="3"/>
      <c r="ASG28" s="3"/>
      <c r="ASH28" s="3"/>
      <c r="ASI28" s="3"/>
      <c r="ASJ28" s="1"/>
      <c r="ASK28" s="3"/>
      <c r="ASL28" s="3"/>
      <c r="ASM28" s="3"/>
      <c r="ASN28" s="3"/>
      <c r="ASO28" s="1"/>
      <c r="ASP28" s="3"/>
      <c r="ASQ28" s="3"/>
      <c r="ASR28" s="3"/>
      <c r="ASS28" s="3"/>
      <c r="AST28" s="1"/>
      <c r="ATA28" s="1"/>
      <c r="ATB28" s="3"/>
      <c r="ATC28" s="3"/>
      <c r="ATD28" s="3"/>
      <c r="ATE28" s="3"/>
      <c r="ATF28" s="1"/>
      <c r="ATG28" s="3"/>
      <c r="ATH28" s="3"/>
      <c r="ATI28" s="3"/>
      <c r="ATJ28" s="3"/>
      <c r="ATK28" s="1"/>
      <c r="ATL28" s="3"/>
      <c r="ATM28" s="3"/>
      <c r="ATN28" s="3"/>
      <c r="ATO28" s="3"/>
      <c r="ATP28" s="1"/>
      <c r="ATQ28" s="3"/>
      <c r="ATR28" s="3"/>
      <c r="ATS28" s="3"/>
      <c r="ATT28" s="3"/>
      <c r="ATU28" s="1"/>
      <c r="AUB28" s="1"/>
      <c r="AUC28" s="3"/>
      <c r="AUD28" s="3"/>
      <c r="AUE28" s="3"/>
      <c r="AUF28" s="3"/>
      <c r="AUG28" s="1"/>
      <c r="AUH28" s="3"/>
      <c r="AUI28" s="3"/>
      <c r="AUJ28" s="3"/>
      <c r="AUK28" s="3"/>
      <c r="AUL28" s="1"/>
      <c r="AUM28" s="3"/>
      <c r="AUN28" s="3"/>
      <c r="AUO28" s="3"/>
      <c r="AUP28" s="3"/>
      <c r="AUQ28" s="1"/>
      <c r="AUR28" s="3"/>
      <c r="AUS28" s="3"/>
      <c r="AUT28" s="3"/>
      <c r="AUU28" s="3"/>
      <c r="AUV28" s="1"/>
      <c r="AVC28" s="1"/>
      <c r="AVD28" s="3"/>
      <c r="AVE28" s="3"/>
      <c r="AVF28" s="3"/>
      <c r="AVG28" s="3"/>
      <c r="AVH28" s="1"/>
      <c r="AVI28" s="3"/>
      <c r="AVJ28" s="3"/>
      <c r="AVK28" s="3"/>
      <c r="AVL28" s="3"/>
      <c r="AVM28" s="1"/>
      <c r="AVN28" s="3"/>
      <c r="AVO28" s="3"/>
      <c r="AVP28" s="3"/>
      <c r="AVQ28" s="3"/>
      <c r="AVR28" s="1"/>
      <c r="AVS28" s="3"/>
      <c r="AVT28" s="3"/>
      <c r="AVU28" s="3"/>
      <c r="AVV28" s="3"/>
      <c r="AVW28" s="1"/>
      <c r="AWD28" s="1"/>
      <c r="AWE28" s="3"/>
      <c r="AWF28" s="3"/>
      <c r="AWG28" s="3"/>
      <c r="AWH28" s="3"/>
      <c r="AWI28" s="1"/>
      <c r="AWJ28" s="3"/>
      <c r="AWK28" s="3"/>
      <c r="AWL28" s="3"/>
      <c r="AWM28" s="3"/>
      <c r="AWN28" s="1"/>
      <c r="AWO28" s="3"/>
      <c r="AWP28" s="3"/>
      <c r="AWQ28" s="3"/>
      <c r="AWR28" s="3"/>
      <c r="AWS28" s="1"/>
      <c r="AWT28" s="3"/>
      <c r="AWU28" s="3"/>
      <c r="AWV28" s="3"/>
      <c r="AWW28" s="3"/>
      <c r="AWX28" s="1"/>
      <c r="AXE28" s="1"/>
      <c r="AXF28" s="3"/>
      <c r="AXG28" s="3"/>
      <c r="AXH28" s="3"/>
      <c r="AXI28" s="3"/>
      <c r="AXJ28" s="1"/>
      <c r="AXK28" s="3"/>
      <c r="AXL28" s="3"/>
      <c r="AXM28" s="3"/>
      <c r="AXN28" s="3"/>
      <c r="AXO28" s="1"/>
      <c r="AXP28" s="3"/>
      <c r="AXQ28" s="3"/>
      <c r="AXR28" s="3"/>
      <c r="AXS28" s="3"/>
      <c r="AXT28" s="1"/>
      <c r="AXU28" s="3"/>
      <c r="AXV28" s="3"/>
      <c r="AXW28" s="3"/>
      <c r="AXX28" s="3"/>
      <c r="AXY28" s="1"/>
      <c r="AYF28" s="1"/>
      <c r="AYG28" s="3"/>
      <c r="AYH28" s="3"/>
      <c r="AYI28" s="3"/>
      <c r="AYJ28" s="3"/>
      <c r="AYK28" s="1"/>
      <c r="AYL28" s="3"/>
      <c r="AYM28" s="3"/>
      <c r="AYN28" s="3"/>
      <c r="AYO28" s="3"/>
      <c r="AYP28" s="1"/>
      <c r="AYQ28" s="3"/>
      <c r="AYR28" s="3"/>
      <c r="AYS28" s="3"/>
      <c r="AYT28" s="3"/>
      <c r="AYU28" s="1"/>
      <c r="AYV28" s="3"/>
      <c r="AYW28" s="3"/>
      <c r="AYX28" s="3"/>
      <c r="AYY28" s="3"/>
      <c r="AYZ28" s="1"/>
      <c r="AZG28" s="1"/>
      <c r="AZH28" s="3"/>
      <c r="AZI28" s="3"/>
      <c r="AZJ28" s="3"/>
      <c r="AZK28" s="3"/>
      <c r="AZL28" s="1"/>
      <c r="AZM28" s="3"/>
      <c r="AZN28" s="3"/>
      <c r="AZO28" s="3"/>
      <c r="AZP28" s="3"/>
      <c r="AZQ28" s="1"/>
      <c r="AZR28" s="3"/>
      <c r="AZS28" s="3"/>
      <c r="AZT28" s="3"/>
      <c r="AZU28" s="3"/>
      <c r="AZV28" s="1"/>
      <c r="AZW28" s="3"/>
      <c r="AZX28" s="3"/>
      <c r="AZY28" s="3"/>
      <c r="AZZ28" s="3"/>
      <c r="BAA28" s="1"/>
      <c r="BAH28" s="1"/>
      <c r="BAI28" s="3"/>
      <c r="BAJ28" s="3"/>
      <c r="BAK28" s="3"/>
      <c r="BAL28" s="3"/>
      <c r="BAM28" s="1"/>
      <c r="BAN28" s="3"/>
      <c r="BAO28" s="3"/>
      <c r="BAP28" s="3"/>
      <c r="BAQ28" s="3"/>
      <c r="BAR28" s="1"/>
      <c r="BAS28" s="3"/>
      <c r="BAT28" s="3"/>
      <c r="BAU28" s="3"/>
      <c r="BAV28" s="3"/>
      <c r="BAW28" s="1"/>
      <c r="BAX28" s="3"/>
      <c r="BAY28" s="3"/>
      <c r="BAZ28" s="3"/>
      <c r="BBA28" s="3"/>
      <c r="BBB28" s="1"/>
      <c r="BBI28" s="1"/>
      <c r="BBJ28" s="3"/>
      <c r="BBK28" s="3"/>
      <c r="BBL28" s="3"/>
      <c r="BBM28" s="3"/>
      <c r="BBN28" s="1"/>
      <c r="BBO28" s="3"/>
      <c r="BBP28" s="3"/>
      <c r="BBQ28" s="3"/>
      <c r="BBR28" s="3"/>
      <c r="BBS28" s="1"/>
      <c r="BBT28" s="3"/>
      <c r="BBU28" s="3"/>
      <c r="BBV28" s="3"/>
      <c r="BBW28" s="3"/>
      <c r="BBX28" s="1"/>
      <c r="BBY28" s="3"/>
      <c r="BBZ28" s="3"/>
      <c r="BCA28" s="3"/>
      <c r="BCB28" s="3"/>
      <c r="BCC28" s="1"/>
      <c r="BCJ28" s="1"/>
      <c r="BCK28" s="3"/>
      <c r="BCL28" s="3"/>
      <c r="BCM28" s="3"/>
      <c r="BCN28" s="3"/>
      <c r="BCO28" s="1"/>
      <c r="BCP28" s="3"/>
      <c r="BCQ28" s="3"/>
      <c r="BCR28" s="3"/>
      <c r="BCS28" s="3"/>
      <c r="BCT28" s="1"/>
      <c r="BCU28" s="3"/>
      <c r="BCV28" s="3"/>
      <c r="BCW28" s="3"/>
      <c r="BCX28" s="3"/>
      <c r="BCY28" s="1"/>
      <c r="BCZ28" s="3"/>
      <c r="BDA28" s="3"/>
      <c r="BDB28" s="3"/>
      <c r="BDC28" s="3"/>
      <c r="BDD28" s="1"/>
      <c r="BDK28" s="1"/>
      <c r="BDL28" s="3"/>
      <c r="BDM28" s="3"/>
      <c r="BDN28" s="3"/>
      <c r="BDO28" s="3"/>
      <c r="BDP28" s="1"/>
      <c r="BDQ28" s="3"/>
      <c r="BDR28" s="3"/>
      <c r="BDS28" s="3"/>
      <c r="BDT28" s="3"/>
      <c r="BDU28" s="1"/>
      <c r="BDV28" s="3"/>
      <c r="BDW28" s="3"/>
      <c r="BDX28" s="3"/>
      <c r="BDY28" s="3"/>
      <c r="BDZ28" s="1"/>
      <c r="BEA28" s="3"/>
      <c r="BEB28" s="3"/>
      <c r="BEC28" s="3"/>
      <c r="BED28" s="3"/>
      <c r="BEE28" s="1"/>
      <c r="BEL28" s="1"/>
      <c r="BEM28" s="3"/>
      <c r="BEN28" s="3"/>
      <c r="BEO28" s="3"/>
      <c r="BEP28" s="3"/>
      <c r="BEQ28" s="1"/>
      <c r="BER28" s="3"/>
      <c r="BES28" s="3"/>
      <c r="BET28" s="3"/>
      <c r="BEU28" s="3"/>
      <c r="BEV28" s="1"/>
      <c r="BEW28" s="3"/>
      <c r="BEX28" s="3"/>
      <c r="BEY28" s="3"/>
      <c r="BEZ28" s="3"/>
      <c r="BFA28" s="1"/>
      <c r="BFB28" s="3"/>
      <c r="BFC28" s="3"/>
      <c r="BFD28" s="3"/>
      <c r="BFE28" s="3"/>
      <c r="BFF28" s="1"/>
      <c r="BFM28" s="1"/>
      <c r="BFN28" s="3"/>
      <c r="BFO28" s="3"/>
      <c r="BFP28" s="3"/>
      <c r="BFQ28" s="3"/>
      <c r="BFR28" s="1"/>
      <c r="BFS28" s="3"/>
      <c r="BFT28" s="3"/>
      <c r="BFU28" s="3"/>
      <c r="BFV28" s="3"/>
      <c r="BFW28" s="1"/>
      <c r="BFX28" s="3"/>
      <c r="BFY28" s="3"/>
      <c r="BFZ28" s="3"/>
      <c r="BGA28" s="3"/>
      <c r="BGB28" s="1"/>
      <c r="BGC28" s="3"/>
      <c r="BGD28" s="3"/>
      <c r="BGE28" s="3"/>
      <c r="BGF28" s="3"/>
    </row>
    <row r="29" spans="1:1540" ht="28.35" customHeight="1" x14ac:dyDescent="0.4">
      <c r="C29" s="1" t="s">
        <v>882</v>
      </c>
      <c r="H29" s="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D29" s="1" t="s">
        <v>882</v>
      </c>
      <c r="AI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E29" s="1" t="s">
        <v>882</v>
      </c>
      <c r="BJ29" s="1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F29" s="1" t="s">
        <v>882</v>
      </c>
      <c r="CK29" s="1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G29" s="1" t="s">
        <v>882</v>
      </c>
      <c r="DL29" s="1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H29" s="1" t="s">
        <v>882</v>
      </c>
      <c r="EM29" s="1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I29" s="1" t="s">
        <v>882</v>
      </c>
      <c r="FN29" s="1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J29" s="1" t="s">
        <v>882</v>
      </c>
      <c r="GO29" s="1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K29" s="1" t="s">
        <v>882</v>
      </c>
      <c r="HP29" s="1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L29" s="1" t="s">
        <v>882</v>
      </c>
      <c r="IQ29" s="1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M29" s="1" t="s">
        <v>882</v>
      </c>
      <c r="JR29" s="1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N29" s="1" t="s">
        <v>882</v>
      </c>
      <c r="KS29" s="1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O29" s="1" t="s">
        <v>882</v>
      </c>
      <c r="LT29" s="1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P29" s="1" t="s">
        <v>882</v>
      </c>
      <c r="MU29" s="1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Q29" s="1" t="s">
        <v>882</v>
      </c>
      <c r="NV29" s="1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R29" s="1" t="s">
        <v>882</v>
      </c>
      <c r="OW29" s="1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S29" s="1" t="s">
        <v>882</v>
      </c>
      <c r="PX29" s="1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T29" s="1" t="s">
        <v>882</v>
      </c>
      <c r="QY29" s="1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U29" s="1" t="s">
        <v>882</v>
      </c>
      <c r="RZ29" s="1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V29" s="1" t="s">
        <v>882</v>
      </c>
      <c r="TA29" s="1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W29" s="1" t="s">
        <v>882</v>
      </c>
      <c r="UB29" s="1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X29" s="1" t="s">
        <v>882</v>
      </c>
      <c r="VC29" s="1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Y29" s="1" t="s">
        <v>882</v>
      </c>
      <c r="WD29" s="1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Z29" s="1" t="s">
        <v>882</v>
      </c>
      <c r="XE29" s="1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YA29" s="1" t="s">
        <v>882</v>
      </c>
      <c r="YF29" s="1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ZB29" s="1" t="s">
        <v>882</v>
      </c>
      <c r="ZG29" s="1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C29" s="1" t="s">
        <v>882</v>
      </c>
      <c r="AAH29" s="1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D29" s="1" t="s">
        <v>882</v>
      </c>
      <c r="ABI29" s="1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E29" s="1" t="s">
        <v>882</v>
      </c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F29" s="1" t="s">
        <v>882</v>
      </c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G29" s="1" t="s">
        <v>882</v>
      </c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H29" s="1" t="s">
        <v>882</v>
      </c>
      <c r="AFM29" s="1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I29" s="1" t="s">
        <v>882</v>
      </c>
      <c r="AGN29" s="1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J29" s="1" t="s">
        <v>882</v>
      </c>
      <c r="AHO29" s="1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K29" s="1" t="s">
        <v>882</v>
      </c>
      <c r="AIP29" s="1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L29" s="1" t="s">
        <v>882</v>
      </c>
      <c r="AJQ29" s="1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M29" s="1" t="s">
        <v>882</v>
      </c>
      <c r="AKR29" s="1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N29" s="1" t="s">
        <v>882</v>
      </c>
      <c r="ALS29" s="1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O29" s="1" t="s">
        <v>882</v>
      </c>
      <c r="AMT29" s="1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P29" s="1" t="s">
        <v>882</v>
      </c>
      <c r="ANU29" s="1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R29" s="1" t="s">
        <v>882</v>
      </c>
      <c r="AOW29" s="1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S29" s="1" t="s">
        <v>882</v>
      </c>
      <c r="APX29" s="1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T29" s="1" t="s">
        <v>882</v>
      </c>
      <c r="AQY29" s="1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U29" s="1" t="s">
        <v>883</v>
      </c>
      <c r="ARZ29" s="1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V29" s="1" t="s">
        <v>882</v>
      </c>
      <c r="ATA29" s="1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W29" s="1" t="s">
        <v>882</v>
      </c>
      <c r="AUB29" s="1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X29" s="1" t="s">
        <v>882</v>
      </c>
      <c r="AVC29" s="1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Y29" s="1" t="s">
        <v>882</v>
      </c>
      <c r="AWD29" s="1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Z29" s="1" t="s">
        <v>882</v>
      </c>
      <c r="AXE29" s="1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YA29" s="1" t="s">
        <v>882</v>
      </c>
      <c r="AYF29" s="1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ZB29" s="1" t="s">
        <v>882</v>
      </c>
      <c r="AZG29" s="1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C29" s="1" t="s">
        <v>882</v>
      </c>
      <c r="BAH29" s="1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D29" s="1" t="s">
        <v>882</v>
      </c>
      <c r="BBI29" s="1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E29" s="1" t="s">
        <v>882</v>
      </c>
      <c r="BCJ29" s="1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F29" s="1" t="s">
        <v>882</v>
      </c>
      <c r="BDK29" s="1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G29" s="1" t="s">
        <v>882</v>
      </c>
      <c r="BEL29" s="1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H29" s="1" t="s">
        <v>882</v>
      </c>
      <c r="BFM29" s="1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</row>
    <row r="30" spans="1:1540" ht="28.35" customHeight="1" x14ac:dyDescent="0.4">
      <c r="C30" s="2" t="s">
        <v>884</v>
      </c>
      <c r="I30" s="3"/>
      <c r="J30" s="3"/>
      <c r="K30" s="3"/>
      <c r="M30" s="3"/>
      <c r="N30" s="3"/>
      <c r="O30" s="3"/>
      <c r="P30" s="3"/>
      <c r="S30" s="3"/>
      <c r="T30" s="3"/>
      <c r="U30" s="3"/>
      <c r="X30" s="3"/>
      <c r="Y30" s="3"/>
      <c r="Z30" s="3"/>
      <c r="AD30" s="2" t="s">
        <v>884</v>
      </c>
      <c r="AJ30" s="3"/>
      <c r="AK30" s="3"/>
      <c r="AL30" s="3"/>
      <c r="AN30" s="3"/>
      <c r="AO30" s="3"/>
      <c r="AP30" s="3"/>
      <c r="AQ30" s="3"/>
      <c r="AT30" s="3"/>
      <c r="AU30" s="3"/>
      <c r="AV30" s="3"/>
      <c r="AY30" s="3"/>
      <c r="AZ30" s="3"/>
      <c r="BA30" s="3"/>
      <c r="BE30" s="2" t="s">
        <v>884</v>
      </c>
      <c r="BK30" s="3"/>
      <c r="BL30" s="3"/>
      <c r="BM30" s="3"/>
      <c r="BO30" s="3"/>
      <c r="BP30" s="3"/>
      <c r="BQ30" s="3"/>
      <c r="BR30" s="3"/>
      <c r="BU30" s="3"/>
      <c r="BV30" s="3"/>
      <c r="BW30" s="3"/>
      <c r="BZ30" s="3"/>
      <c r="CA30" s="3"/>
      <c r="CB30" s="3"/>
      <c r="CF30" s="2" t="s">
        <v>884</v>
      </c>
      <c r="CL30" s="3"/>
      <c r="CM30" s="3"/>
      <c r="CN30" s="3"/>
      <c r="CP30" s="3"/>
      <c r="CQ30" s="3"/>
      <c r="CR30" s="3"/>
      <c r="CS30" s="3"/>
      <c r="CV30" s="3"/>
      <c r="CW30" s="3"/>
      <c r="CX30" s="3"/>
      <c r="DA30" s="3"/>
      <c r="DB30" s="3"/>
      <c r="DC30" s="3"/>
      <c r="DG30" s="2" t="s">
        <v>884</v>
      </c>
      <c r="DM30" s="3"/>
      <c r="DN30" s="3"/>
      <c r="DO30" s="3"/>
      <c r="DQ30" s="3"/>
      <c r="DR30" s="3"/>
      <c r="DS30" s="3"/>
      <c r="DT30" s="3"/>
      <c r="DV30" s="3"/>
      <c r="DW30" s="3"/>
      <c r="DX30" s="3"/>
      <c r="DY30" s="3"/>
      <c r="EB30" s="3"/>
      <c r="EC30" s="3"/>
      <c r="ED30" s="3"/>
      <c r="EH30" s="2" t="s">
        <v>884</v>
      </c>
      <c r="EN30" s="3"/>
      <c r="EO30" s="3"/>
      <c r="EP30" s="3"/>
      <c r="ER30" s="3"/>
      <c r="ES30" s="3"/>
      <c r="ET30" s="3"/>
      <c r="EU30" s="3"/>
      <c r="EW30" s="3"/>
      <c r="EX30" s="3"/>
      <c r="EY30" s="3"/>
      <c r="EZ30" s="3"/>
      <c r="FC30" s="3"/>
      <c r="FD30" s="3"/>
      <c r="FE30" s="3"/>
      <c r="FI30" s="2" t="s">
        <v>884</v>
      </c>
      <c r="FO30" s="3"/>
      <c r="FP30" s="3"/>
      <c r="FQ30" s="3"/>
      <c r="FS30" s="3"/>
      <c r="FT30" s="3"/>
      <c r="FU30" s="3"/>
      <c r="FV30" s="3"/>
      <c r="FX30" s="3"/>
      <c r="FY30" s="3"/>
      <c r="FZ30" s="3"/>
      <c r="GA30" s="3"/>
      <c r="GD30" s="3"/>
      <c r="GE30" s="3"/>
      <c r="GF30" s="3"/>
      <c r="GJ30" s="2" t="s">
        <v>884</v>
      </c>
      <c r="GP30" s="3"/>
      <c r="GQ30" s="3"/>
      <c r="GR30" s="3"/>
      <c r="GT30" s="3"/>
      <c r="GU30" s="3"/>
      <c r="GV30" s="3"/>
      <c r="GW30" s="3"/>
      <c r="GY30" s="3"/>
      <c r="GZ30" s="3"/>
      <c r="HA30" s="3"/>
      <c r="HB30" s="3"/>
      <c r="HE30" s="3"/>
      <c r="HF30" s="3"/>
      <c r="HG30" s="3"/>
      <c r="HK30" s="2" t="s">
        <v>884</v>
      </c>
      <c r="HQ30" s="3"/>
      <c r="HR30" s="3"/>
      <c r="HS30" s="3"/>
      <c r="HU30" s="3"/>
      <c r="HV30" s="3"/>
      <c r="HW30" s="3"/>
      <c r="HX30" s="3"/>
      <c r="HZ30" s="3"/>
      <c r="IA30" s="3"/>
      <c r="IB30" s="3"/>
      <c r="IC30" s="3"/>
      <c r="IE30" s="3"/>
      <c r="IF30" s="3"/>
      <c r="IG30" s="3"/>
      <c r="IH30" s="3"/>
      <c r="IL30" s="2" t="s">
        <v>884</v>
      </c>
      <c r="IR30" s="3"/>
      <c r="IS30" s="3"/>
      <c r="IT30" s="3"/>
      <c r="IV30" s="3"/>
      <c r="IW30" s="3"/>
      <c r="IX30" s="3"/>
      <c r="IY30" s="3"/>
      <c r="JA30" s="3"/>
      <c r="JB30" s="3"/>
      <c r="JC30" s="3"/>
      <c r="JD30" s="3"/>
      <c r="JG30" s="3"/>
      <c r="JH30" s="3"/>
      <c r="JI30" s="3"/>
      <c r="JM30" s="2" t="s">
        <v>884</v>
      </c>
      <c r="JS30" s="3"/>
      <c r="JT30" s="3"/>
      <c r="JU30" s="3"/>
      <c r="JW30" s="3"/>
      <c r="JX30" s="3"/>
      <c r="JY30" s="3"/>
      <c r="JZ30" s="3"/>
      <c r="KC30" s="3"/>
      <c r="KD30" s="3"/>
      <c r="KE30" s="3"/>
      <c r="KH30" s="3"/>
      <c r="KI30" s="3"/>
      <c r="KJ30" s="3"/>
      <c r="KN30" s="2" t="s">
        <v>884</v>
      </c>
      <c r="KT30" s="3"/>
      <c r="KU30" s="3"/>
      <c r="KV30" s="3"/>
      <c r="KX30" s="3"/>
      <c r="KY30" s="3"/>
      <c r="KZ30" s="3"/>
      <c r="LA30" s="3"/>
      <c r="LC30" s="3"/>
      <c r="LD30" s="3"/>
      <c r="LE30" s="3"/>
      <c r="LF30" s="3"/>
      <c r="LI30" s="3"/>
      <c r="LJ30" s="3"/>
      <c r="LK30" s="3"/>
      <c r="LO30" s="2" t="s">
        <v>884</v>
      </c>
      <c r="LU30" s="3"/>
      <c r="LV30" s="3"/>
      <c r="LW30" s="3"/>
      <c r="LY30" s="3"/>
      <c r="LZ30" s="3"/>
      <c r="MA30" s="3"/>
      <c r="MB30" s="3"/>
      <c r="ME30" s="3"/>
      <c r="MF30" s="3"/>
      <c r="MG30" s="3"/>
      <c r="MJ30" s="3"/>
      <c r="MK30" s="3"/>
      <c r="ML30" s="3"/>
      <c r="MP30" s="2" t="s">
        <v>884</v>
      </c>
      <c r="MV30" s="3"/>
      <c r="MW30" s="3"/>
      <c r="MX30" s="3"/>
      <c r="MZ30" s="3"/>
      <c r="NA30" s="3"/>
      <c r="NB30" s="3"/>
      <c r="NC30" s="3"/>
      <c r="NF30" s="3"/>
      <c r="NG30" s="3"/>
      <c r="NH30" s="3"/>
      <c r="NK30" s="3"/>
      <c r="NL30" s="3"/>
      <c r="NM30" s="3"/>
      <c r="NQ30" s="2" t="s">
        <v>884</v>
      </c>
      <c r="NW30" s="3"/>
      <c r="NX30" s="3"/>
      <c r="NY30" s="3"/>
      <c r="OA30" s="3"/>
      <c r="OB30" s="3"/>
      <c r="OC30" s="3"/>
      <c r="OD30" s="3"/>
      <c r="OG30" s="3"/>
      <c r="OH30" s="3"/>
      <c r="OI30" s="3"/>
      <c r="OL30" s="3"/>
      <c r="OM30" s="3"/>
      <c r="ON30" s="3"/>
      <c r="OR30" s="2" t="s">
        <v>884</v>
      </c>
      <c r="OX30" s="3"/>
      <c r="OY30" s="3"/>
      <c r="OZ30" s="3"/>
      <c r="PB30" s="3"/>
      <c r="PC30" s="3"/>
      <c r="PD30" s="3"/>
      <c r="PE30" s="3"/>
      <c r="PH30" s="3"/>
      <c r="PI30" s="3"/>
      <c r="PJ30" s="3"/>
      <c r="PM30" s="3"/>
      <c r="PN30" s="3"/>
      <c r="PO30" s="3"/>
      <c r="PS30" s="2" t="s">
        <v>884</v>
      </c>
      <c r="PY30" s="3"/>
      <c r="PZ30" s="3"/>
      <c r="QA30" s="3"/>
      <c r="QC30" s="3"/>
      <c r="QD30" s="3"/>
      <c r="QE30" s="3"/>
      <c r="QF30" s="3"/>
      <c r="QI30" s="3"/>
      <c r="QJ30" s="3"/>
      <c r="QK30" s="3"/>
      <c r="QN30" s="3"/>
      <c r="QO30" s="3"/>
      <c r="QP30" s="3"/>
      <c r="QT30" s="2" t="s">
        <v>884</v>
      </c>
      <c r="QZ30" s="3"/>
      <c r="RA30" s="3"/>
      <c r="RB30" s="3"/>
      <c r="RD30" s="3"/>
      <c r="RE30" s="3"/>
      <c r="RF30" s="3"/>
      <c r="RG30" s="3"/>
      <c r="RI30" s="3"/>
      <c r="RJ30" s="3"/>
      <c r="RK30" s="3"/>
      <c r="RL30" s="3"/>
      <c r="RO30" s="3"/>
      <c r="RP30" s="3"/>
      <c r="RQ30" s="3"/>
      <c r="RU30" s="2" t="s">
        <v>884</v>
      </c>
      <c r="SA30" s="3"/>
      <c r="SB30" s="3"/>
      <c r="SC30" s="3"/>
      <c r="SE30" s="3"/>
      <c r="SF30" s="3"/>
      <c r="SG30" s="3"/>
      <c r="SH30" s="3"/>
      <c r="SJ30" s="3"/>
      <c r="SK30" s="3"/>
      <c r="SL30" s="3"/>
      <c r="SM30" s="3"/>
      <c r="SP30" s="3"/>
      <c r="SQ30" s="3"/>
      <c r="SR30" s="3"/>
      <c r="SV30" s="2" t="s">
        <v>884</v>
      </c>
      <c r="TB30" s="3"/>
      <c r="TC30" s="3"/>
      <c r="TD30" s="3"/>
      <c r="TF30" s="3"/>
      <c r="TG30" s="3"/>
      <c r="TH30" s="3"/>
      <c r="TI30" s="3"/>
      <c r="TL30" s="3"/>
      <c r="TM30" s="3"/>
      <c r="TN30" s="3"/>
      <c r="TQ30" s="3"/>
      <c r="TR30" s="3"/>
      <c r="TS30" s="3"/>
      <c r="TW30" s="2" t="s">
        <v>884</v>
      </c>
      <c r="UC30" s="3"/>
      <c r="UD30" s="3"/>
      <c r="UE30" s="3"/>
      <c r="UG30" s="3"/>
      <c r="UH30" s="3"/>
      <c r="UI30" s="3"/>
      <c r="UJ30" s="3"/>
      <c r="UM30" s="3"/>
      <c r="UN30" s="3"/>
      <c r="UO30" s="3"/>
      <c r="UR30" s="3"/>
      <c r="US30" s="3"/>
      <c r="UT30" s="3"/>
      <c r="UX30" s="2" t="s">
        <v>884</v>
      </c>
      <c r="VD30" s="3"/>
      <c r="VE30" s="3"/>
      <c r="VF30" s="3"/>
      <c r="VH30" s="3"/>
      <c r="VI30" s="3"/>
      <c r="VJ30" s="3"/>
      <c r="VK30" s="3"/>
      <c r="VN30" s="3"/>
      <c r="VO30" s="3"/>
      <c r="VP30" s="3"/>
      <c r="VS30" s="3"/>
      <c r="VT30" s="3"/>
      <c r="VU30" s="3"/>
      <c r="VY30" s="2" t="s">
        <v>884</v>
      </c>
      <c r="WE30" s="3"/>
      <c r="WF30" s="3"/>
      <c r="WG30" s="3"/>
      <c r="WI30" s="3"/>
      <c r="WJ30" s="3"/>
      <c r="WK30" s="3"/>
      <c r="WL30" s="3"/>
      <c r="WO30" s="3"/>
      <c r="WP30" s="3"/>
      <c r="WQ30" s="3"/>
      <c r="WT30" s="3"/>
      <c r="WU30" s="3"/>
      <c r="WV30" s="3"/>
      <c r="WZ30" s="2" t="s">
        <v>884</v>
      </c>
      <c r="XF30" s="3"/>
      <c r="XG30" s="3"/>
      <c r="XH30" s="3"/>
      <c r="XJ30" s="3"/>
      <c r="XK30" s="3"/>
      <c r="XL30" s="3"/>
      <c r="XM30" s="3"/>
      <c r="XP30" s="3"/>
      <c r="XQ30" s="3"/>
      <c r="XR30" s="3"/>
      <c r="XU30" s="3"/>
      <c r="XV30" s="3"/>
      <c r="XW30" s="3"/>
      <c r="YA30" s="2" t="s">
        <v>884</v>
      </c>
      <c r="YG30" s="3"/>
      <c r="YH30" s="3"/>
      <c r="YI30" s="3"/>
      <c r="YK30" s="3"/>
      <c r="YL30" s="3"/>
      <c r="YM30" s="3"/>
      <c r="YN30" s="3"/>
      <c r="YQ30" s="3"/>
      <c r="YR30" s="3"/>
      <c r="YS30" s="3"/>
      <c r="YV30" s="3"/>
      <c r="YW30" s="3"/>
      <c r="YX30" s="3"/>
      <c r="ZB30" s="2" t="s">
        <v>884</v>
      </c>
      <c r="ZH30" s="3"/>
      <c r="ZI30" s="3"/>
      <c r="ZJ30" s="3"/>
      <c r="ZL30" s="3"/>
      <c r="ZM30" s="3"/>
      <c r="ZN30" s="3"/>
      <c r="ZO30" s="3"/>
      <c r="ZR30" s="3"/>
      <c r="ZS30" s="3"/>
      <c r="ZT30" s="3"/>
      <c r="ZW30" s="3"/>
      <c r="ZX30" s="3"/>
      <c r="ZY30" s="3"/>
      <c r="AAC30" s="2" t="s">
        <v>884</v>
      </c>
      <c r="AAI30" s="3"/>
      <c r="AAJ30" s="3"/>
      <c r="AAK30" s="3"/>
      <c r="AAM30" s="3"/>
      <c r="AAN30" s="3"/>
      <c r="AAO30" s="3"/>
      <c r="AAP30" s="3"/>
      <c r="AAS30" s="3"/>
      <c r="AAT30" s="3"/>
      <c r="AAU30" s="3"/>
      <c r="AAX30" s="3"/>
      <c r="AAY30" s="3"/>
      <c r="AAZ30" s="3"/>
      <c r="ABD30" s="2" t="s">
        <v>884</v>
      </c>
      <c r="ABJ30" s="3"/>
      <c r="ABK30" s="3"/>
      <c r="ABL30" s="3"/>
      <c r="ABN30" s="3"/>
      <c r="ABO30" s="3"/>
      <c r="ABP30" s="3"/>
      <c r="ABQ30" s="3"/>
      <c r="ABT30" s="3"/>
      <c r="ABU30" s="3"/>
      <c r="ABV30" s="3"/>
      <c r="ABY30" s="3"/>
      <c r="ABZ30" s="3"/>
      <c r="ACA30" s="3"/>
      <c r="ACE30" s="2" t="s">
        <v>884</v>
      </c>
      <c r="ACK30" s="3"/>
      <c r="ACL30" s="3"/>
      <c r="ACM30" s="3"/>
      <c r="ACO30" s="3"/>
      <c r="ACP30" s="3"/>
      <c r="ACQ30" s="3"/>
      <c r="ACR30" s="3"/>
      <c r="ACU30" s="3"/>
      <c r="ACV30" s="3"/>
      <c r="ACW30" s="3"/>
      <c r="ACZ30" s="3"/>
      <c r="ADA30" s="3"/>
      <c r="ADB30" s="3"/>
      <c r="ADF30" s="2" t="s">
        <v>884</v>
      </c>
      <c r="ADL30" s="3"/>
      <c r="ADM30" s="3"/>
      <c r="ADN30" s="3"/>
      <c r="ADP30" s="3"/>
      <c r="ADQ30" s="3"/>
      <c r="ADR30" s="3"/>
      <c r="ADS30" s="3"/>
      <c r="ADV30" s="3"/>
      <c r="ADW30" s="3"/>
      <c r="ADX30" s="3"/>
      <c r="AEA30" s="3"/>
      <c r="AEB30" s="3"/>
      <c r="AEC30" s="3"/>
      <c r="AEG30" s="2" t="s">
        <v>884</v>
      </c>
      <c r="AEM30" s="3"/>
      <c r="AEN30" s="3"/>
      <c r="AEO30" s="3"/>
      <c r="AEQ30" s="3"/>
      <c r="AER30" s="3"/>
      <c r="AES30" s="3"/>
      <c r="AET30" s="3"/>
      <c r="AEW30" s="3"/>
      <c r="AEX30" s="3"/>
      <c r="AEY30" s="3"/>
      <c r="AFB30" s="3"/>
      <c r="AFC30" s="3"/>
      <c r="AFD30" s="3"/>
      <c r="AFH30" s="2" t="s">
        <v>884</v>
      </c>
      <c r="AFN30" s="3"/>
      <c r="AFO30" s="3"/>
      <c r="AFP30" s="3"/>
      <c r="AFR30" s="3"/>
      <c r="AFS30" s="3"/>
      <c r="AFT30" s="3"/>
      <c r="AFU30" s="3"/>
      <c r="AFX30" s="3"/>
      <c r="AFY30" s="3"/>
      <c r="AFZ30" s="3"/>
      <c r="AGC30" s="3"/>
      <c r="AGD30" s="3"/>
      <c r="AGE30" s="3"/>
      <c r="AGI30" s="2" t="s">
        <v>884</v>
      </c>
      <c r="AGO30" s="3"/>
      <c r="AGP30" s="3"/>
      <c r="AGQ30" s="3"/>
      <c r="AGS30" s="3"/>
      <c r="AGT30" s="3"/>
      <c r="AGU30" s="3"/>
      <c r="AGV30" s="3"/>
      <c r="AGY30" s="3"/>
      <c r="AGZ30" s="3"/>
      <c r="AHA30" s="3"/>
      <c r="AHD30" s="3"/>
      <c r="AHE30" s="3"/>
      <c r="AHF30" s="3"/>
      <c r="AHJ30" s="2" t="s">
        <v>884</v>
      </c>
      <c r="AHP30" s="3"/>
      <c r="AHQ30" s="3"/>
      <c r="AHR30" s="3"/>
      <c r="AHT30" s="3"/>
      <c r="AHU30" s="3"/>
      <c r="AHV30" s="3"/>
      <c r="AHW30" s="3"/>
      <c r="AHZ30" s="3"/>
      <c r="AIA30" s="3"/>
      <c r="AIB30" s="3"/>
      <c r="AIE30" s="3"/>
      <c r="AIF30" s="3"/>
      <c r="AIG30" s="3"/>
      <c r="AIK30" s="2" t="s">
        <v>884</v>
      </c>
      <c r="AIQ30" s="3"/>
      <c r="AIR30" s="3"/>
      <c r="AIS30" s="3"/>
      <c r="AIU30" s="3"/>
      <c r="AIV30" s="3"/>
      <c r="AIW30" s="3"/>
      <c r="AIX30" s="3"/>
      <c r="AJA30" s="3"/>
      <c r="AJB30" s="3"/>
      <c r="AJC30" s="3"/>
      <c r="AJF30" s="3"/>
      <c r="AJG30" s="3"/>
      <c r="AJH30" s="3"/>
      <c r="AJL30" s="2" t="s">
        <v>884</v>
      </c>
      <c r="AJR30" s="3"/>
      <c r="AJS30" s="3"/>
      <c r="AJT30" s="3"/>
      <c r="AJV30" s="3"/>
      <c r="AJW30" s="3"/>
      <c r="AJX30" s="3"/>
      <c r="AJY30" s="3"/>
      <c r="AKB30" s="3"/>
      <c r="AKC30" s="3"/>
      <c r="AKD30" s="3"/>
      <c r="AKG30" s="3"/>
      <c r="AKH30" s="3"/>
      <c r="AKI30" s="3"/>
      <c r="AKM30" s="2" t="s">
        <v>884</v>
      </c>
      <c r="AKS30" s="3"/>
      <c r="AKT30" s="3"/>
      <c r="AKU30" s="3"/>
      <c r="AKW30" s="3"/>
      <c r="AKX30" s="3"/>
      <c r="AKY30" s="3"/>
      <c r="AKZ30" s="3"/>
      <c r="ALC30" s="3"/>
      <c r="ALD30" s="3"/>
      <c r="ALE30" s="3"/>
      <c r="ALH30" s="3"/>
      <c r="ALI30" s="3"/>
      <c r="ALJ30" s="3"/>
      <c r="ALN30" s="2" t="s">
        <v>884</v>
      </c>
      <c r="ALT30" s="3"/>
      <c r="ALU30" s="3"/>
      <c r="ALV30" s="3"/>
      <c r="ALX30" s="3"/>
      <c r="ALY30" s="3"/>
      <c r="ALZ30" s="3"/>
      <c r="AMA30" s="3"/>
      <c r="AMD30" s="3"/>
      <c r="AME30" s="3"/>
      <c r="AMF30" s="3"/>
      <c r="AMI30" s="3"/>
      <c r="AMJ30" s="3"/>
      <c r="AMK30" s="3"/>
      <c r="AMO30" s="2" t="s">
        <v>884</v>
      </c>
      <c r="AMU30" s="3"/>
      <c r="AMV30" s="3"/>
      <c r="AMW30" s="3"/>
      <c r="AMY30" s="3"/>
      <c r="AMZ30" s="3"/>
      <c r="ANA30" s="3"/>
      <c r="ANB30" s="3"/>
      <c r="ANE30" s="3"/>
      <c r="ANF30" s="3"/>
      <c r="ANG30" s="3"/>
      <c r="ANI30" s="3"/>
      <c r="ANJ30" s="3"/>
      <c r="ANK30" s="3"/>
      <c r="ANL30" s="3"/>
      <c r="ANP30" s="2" t="s">
        <v>884</v>
      </c>
      <c r="ANV30" s="3"/>
      <c r="ANW30" s="3"/>
      <c r="ANX30" s="3"/>
      <c r="ANZ30" s="3"/>
      <c r="AOA30" s="3"/>
      <c r="AOB30" s="3"/>
      <c r="AOC30" s="3"/>
      <c r="AOF30" s="3"/>
      <c r="AOG30" s="3"/>
      <c r="AOH30" s="3"/>
      <c r="AOI30" s="3"/>
      <c r="AOJ30" s="3"/>
      <c r="AOK30" s="3"/>
      <c r="AOL30" s="3"/>
      <c r="AOM30" s="3"/>
      <c r="AON30" s="3"/>
      <c r="AOR30" s="2" t="s">
        <v>884</v>
      </c>
      <c r="AOX30" s="3"/>
      <c r="AOY30" s="3"/>
      <c r="AOZ30" s="3"/>
      <c r="APB30" s="3"/>
      <c r="APC30" s="3"/>
      <c r="APD30" s="3"/>
      <c r="APE30" s="3"/>
      <c r="APH30" s="3"/>
      <c r="API30" s="3"/>
      <c r="APJ30" s="3"/>
      <c r="APL30" s="3"/>
      <c r="APM30" s="3"/>
      <c r="APN30" s="3"/>
      <c r="APO30" s="3"/>
      <c r="APS30" s="2" t="s">
        <v>884</v>
      </c>
      <c r="APY30" s="3"/>
      <c r="APZ30" s="3"/>
      <c r="AQA30" s="3"/>
      <c r="AQC30" s="3"/>
      <c r="AQD30" s="3"/>
      <c r="AQE30" s="3"/>
      <c r="AQF30" s="3"/>
      <c r="AQI30" s="3"/>
      <c r="AQJ30" s="3"/>
      <c r="AQK30" s="3"/>
      <c r="AQN30" s="3"/>
      <c r="AQO30" s="3"/>
      <c r="AQP30" s="3"/>
      <c r="AQT30" s="2" t="s">
        <v>884</v>
      </c>
      <c r="AQZ30" s="3"/>
      <c r="ARA30" s="3"/>
      <c r="ARB30" s="3"/>
      <c r="ARD30" s="3"/>
      <c r="ARE30" s="3"/>
      <c r="ARF30" s="3"/>
      <c r="ARG30" s="3"/>
      <c r="ARJ30" s="3"/>
      <c r="ARK30" s="3"/>
      <c r="ARL30" s="3"/>
      <c r="ARO30" s="3"/>
      <c r="ARP30" s="3"/>
      <c r="ARQ30" s="3"/>
      <c r="ARU30" s="2" t="s">
        <v>884</v>
      </c>
      <c r="ASA30" s="3"/>
      <c r="ASB30" s="3"/>
      <c r="ASC30" s="3"/>
      <c r="ASE30" s="3"/>
      <c r="ASF30" s="3"/>
      <c r="ASG30" s="3"/>
      <c r="ASH30" s="3"/>
      <c r="ASK30" s="3"/>
      <c r="ASL30" s="3"/>
      <c r="ASM30" s="3"/>
      <c r="ASP30" s="3"/>
      <c r="ASQ30" s="3"/>
      <c r="ASR30" s="3"/>
      <c r="ASV30" s="2" t="s">
        <v>884</v>
      </c>
      <c r="ATB30" s="3"/>
      <c r="ATC30" s="3"/>
      <c r="ATD30" s="3"/>
      <c r="ATF30" s="3"/>
      <c r="ATG30" s="3"/>
      <c r="ATH30" s="3"/>
      <c r="ATI30" s="3"/>
      <c r="ATL30" s="3"/>
      <c r="ATM30" s="3"/>
      <c r="ATN30" s="3"/>
      <c r="ATQ30" s="3"/>
      <c r="ATR30" s="3"/>
      <c r="ATS30" s="3"/>
      <c r="ATW30" s="2" t="s">
        <v>884</v>
      </c>
      <c r="AUC30" s="3"/>
      <c r="AUD30" s="3"/>
      <c r="AUE30" s="3"/>
      <c r="AUG30" s="3"/>
      <c r="AUH30" s="3"/>
      <c r="AUI30" s="3"/>
      <c r="AUJ30" s="3"/>
      <c r="AUM30" s="3"/>
      <c r="AUN30" s="3"/>
      <c r="AUO30" s="3"/>
      <c r="AUR30" s="3"/>
      <c r="AUS30" s="3"/>
      <c r="AUT30" s="3"/>
      <c r="AUX30" s="2" t="s">
        <v>884</v>
      </c>
      <c r="AVD30" s="3"/>
      <c r="AVE30" s="3"/>
      <c r="AVF30" s="3"/>
      <c r="AVH30" s="3"/>
      <c r="AVI30" s="3"/>
      <c r="AVJ30" s="3"/>
      <c r="AVK30" s="3"/>
      <c r="AVN30" s="3"/>
      <c r="AVO30" s="3"/>
      <c r="AVP30" s="3"/>
      <c r="AVS30" s="3"/>
      <c r="AVT30" s="3"/>
      <c r="AVU30" s="3"/>
      <c r="AVY30" s="2" t="s">
        <v>884</v>
      </c>
      <c r="AWE30" s="3"/>
      <c r="AWF30" s="3"/>
      <c r="AWG30" s="3"/>
      <c r="AWI30" s="3"/>
      <c r="AWJ30" s="3"/>
      <c r="AWK30" s="3"/>
      <c r="AWL30" s="3"/>
      <c r="AWO30" s="3"/>
      <c r="AWP30" s="3"/>
      <c r="AWQ30" s="3"/>
      <c r="AWT30" s="3"/>
      <c r="AWU30" s="3"/>
      <c r="AWV30" s="3"/>
      <c r="AWZ30" s="2" t="s">
        <v>884</v>
      </c>
      <c r="AXF30" s="3"/>
      <c r="AXG30" s="3"/>
      <c r="AXH30" s="3"/>
      <c r="AXJ30" s="3"/>
      <c r="AXK30" s="3"/>
      <c r="AXL30" s="3"/>
      <c r="AXM30" s="3"/>
      <c r="AXP30" s="3"/>
      <c r="AXQ30" s="3"/>
      <c r="AXR30" s="3"/>
      <c r="AXU30" s="3"/>
      <c r="AXV30" s="3"/>
      <c r="AXW30" s="3"/>
      <c r="AYA30" s="2" t="s">
        <v>884</v>
      </c>
      <c r="AYG30" s="3"/>
      <c r="AYH30" s="3"/>
      <c r="AYI30" s="3"/>
      <c r="AYK30" s="3"/>
      <c r="AYL30" s="3"/>
      <c r="AYM30" s="3"/>
      <c r="AYN30" s="3"/>
      <c r="AYQ30" s="3"/>
      <c r="AYR30" s="3"/>
      <c r="AYS30" s="3"/>
      <c r="AYV30" s="3"/>
      <c r="AYW30" s="3"/>
      <c r="AYX30" s="3"/>
      <c r="AZB30" s="2" t="s">
        <v>884</v>
      </c>
      <c r="AZH30" s="3"/>
      <c r="AZI30" s="3"/>
      <c r="AZJ30" s="3"/>
      <c r="AZL30" s="3"/>
      <c r="AZM30" s="3"/>
      <c r="AZN30" s="3"/>
      <c r="AZO30" s="3"/>
      <c r="AZR30" s="3"/>
      <c r="AZS30" s="3"/>
      <c r="AZT30" s="3"/>
      <c r="AZW30" s="3"/>
      <c r="AZX30" s="3"/>
      <c r="AZY30" s="3"/>
      <c r="BAC30" s="2" t="s">
        <v>884</v>
      </c>
      <c r="BAI30" s="3"/>
      <c r="BAJ30" s="3"/>
      <c r="BAK30" s="3"/>
      <c r="BAM30" s="3"/>
      <c r="BAN30" s="3"/>
      <c r="BAO30" s="3"/>
      <c r="BAP30" s="3"/>
      <c r="BAS30" s="3"/>
      <c r="BAT30" s="3"/>
      <c r="BAU30" s="3"/>
      <c r="BAX30" s="3"/>
      <c r="BAY30" s="3"/>
      <c r="BAZ30" s="3"/>
      <c r="BBD30" s="2" t="s">
        <v>884</v>
      </c>
      <c r="BBJ30" s="3"/>
      <c r="BBK30" s="3"/>
      <c r="BBL30" s="3"/>
      <c r="BBN30" s="3"/>
      <c r="BBO30" s="3"/>
      <c r="BBP30" s="3"/>
      <c r="BBQ30" s="3"/>
      <c r="BBT30" s="3"/>
      <c r="BBU30" s="3"/>
      <c r="BBV30" s="3"/>
      <c r="BBY30" s="3"/>
      <c r="BBZ30" s="3"/>
      <c r="BCA30" s="3"/>
      <c r="BCE30" s="2" t="s">
        <v>884</v>
      </c>
      <c r="BCK30" s="3"/>
      <c r="BCL30" s="3"/>
      <c r="BCM30" s="3"/>
      <c r="BCO30" s="3"/>
      <c r="BCP30" s="3"/>
      <c r="BCQ30" s="3"/>
      <c r="BCR30" s="3"/>
      <c r="BCU30" s="3"/>
      <c r="BCV30" s="3"/>
      <c r="BCW30" s="3"/>
      <c r="BCZ30" s="3"/>
      <c r="BDA30" s="3"/>
      <c r="BDB30" s="3"/>
      <c r="BDF30" s="2" t="s">
        <v>884</v>
      </c>
      <c r="BDL30" s="3"/>
      <c r="BDM30" s="3"/>
      <c r="BDN30" s="3"/>
      <c r="BDP30" s="3"/>
      <c r="BDQ30" s="3"/>
      <c r="BDR30" s="3"/>
      <c r="BDS30" s="3"/>
      <c r="BDV30" s="3"/>
      <c r="BDW30" s="3"/>
      <c r="BDX30" s="3"/>
      <c r="BEA30" s="3"/>
      <c r="BEB30" s="3"/>
      <c r="BEC30" s="3"/>
      <c r="BEG30" s="2" t="s">
        <v>884</v>
      </c>
      <c r="BEM30" s="3"/>
      <c r="BEN30" s="3"/>
      <c r="BEO30" s="3"/>
      <c r="BEQ30" s="3"/>
      <c r="BER30" s="3"/>
      <c r="BES30" s="3"/>
      <c r="BET30" s="3"/>
      <c r="BEW30" s="3"/>
      <c r="BEX30" s="3"/>
      <c r="BEY30" s="3"/>
      <c r="BFB30" s="3"/>
      <c r="BFC30" s="3"/>
      <c r="BFD30" s="3"/>
      <c r="BFH30" s="2" t="s">
        <v>884</v>
      </c>
      <c r="BFN30" s="3"/>
      <c r="BFO30" s="3"/>
      <c r="BFP30" s="3"/>
      <c r="BFR30" s="3"/>
      <c r="BFS30" s="3"/>
      <c r="BFT30" s="3"/>
      <c r="BFU30" s="3"/>
      <c r="BFX30" s="3"/>
      <c r="BFY30" s="3"/>
      <c r="BFZ30" s="3"/>
      <c r="BGC30" s="3"/>
      <c r="BGD30" s="3"/>
      <c r="BGE30" s="3"/>
    </row>
    <row r="31" spans="1:1540" ht="28.35" customHeight="1" x14ac:dyDescent="0.4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</row>
    <row r="32" spans="1:1540" ht="28.35" customHeight="1" x14ac:dyDescent="0.4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L32" s="3"/>
      <c r="BDM32" s="3"/>
      <c r="BDN32" s="3"/>
      <c r="BDO32" s="3"/>
      <c r="BDP32" s="3"/>
      <c r="BDQ32" s="3"/>
      <c r="BDR32" s="3"/>
      <c r="BDS32" s="3"/>
      <c r="BDT32" s="3"/>
      <c r="BDU32" s="3"/>
      <c r="BDV32" s="3"/>
      <c r="BDW32" s="3"/>
      <c r="BDX32" s="3"/>
      <c r="BDY32" s="3"/>
      <c r="BDZ32" s="3"/>
      <c r="BEA32" s="3"/>
      <c r="BEB32" s="3"/>
      <c r="BEC32" s="3"/>
      <c r="BED32" s="3"/>
      <c r="BEM32" s="3"/>
      <c r="BEN32" s="3"/>
      <c r="BEO32" s="3"/>
      <c r="BEP32" s="3"/>
      <c r="BEQ32" s="3"/>
      <c r="BER32" s="3"/>
      <c r="BES32" s="3"/>
      <c r="BET32" s="3"/>
      <c r="BEU32" s="3"/>
      <c r="BEV32" s="3"/>
      <c r="BEW32" s="3"/>
      <c r="BEX32" s="3"/>
      <c r="BEY32" s="3"/>
      <c r="BEZ32" s="3"/>
      <c r="BFA32" s="3"/>
      <c r="BFB32" s="3"/>
      <c r="BFC32" s="3"/>
      <c r="BFD32" s="3"/>
      <c r="BFE32" s="3"/>
      <c r="BFN32" s="3"/>
      <c r="BFO32" s="3"/>
      <c r="BFP32" s="3"/>
      <c r="BFQ32" s="3"/>
      <c r="BFR32" s="3"/>
      <c r="BFS32" s="3"/>
      <c r="BFT32" s="3"/>
      <c r="BFU32" s="3"/>
      <c r="BFV32" s="3"/>
      <c r="BFW32" s="3"/>
      <c r="BFX32" s="3"/>
      <c r="BFY32" s="3"/>
      <c r="BFZ32" s="3"/>
      <c r="BGA32" s="3"/>
      <c r="BGB32" s="3"/>
      <c r="BGC32" s="3"/>
      <c r="BGD32" s="3"/>
      <c r="BGE32" s="3"/>
      <c r="BGF32" s="3"/>
    </row>
    <row r="33" spans="3:1540" ht="27.75" customHeight="1" x14ac:dyDescent="0.4">
      <c r="H33" s="1"/>
      <c r="L33" s="3"/>
      <c r="M33" s="3"/>
      <c r="N33" s="3"/>
      <c r="O33" s="3"/>
      <c r="Q33" s="3"/>
      <c r="R33" s="3"/>
      <c r="S33" s="3"/>
      <c r="T33" s="3"/>
      <c r="V33" s="3"/>
      <c r="W33" s="3"/>
      <c r="X33" s="3"/>
      <c r="Y33" s="3"/>
      <c r="AA33" s="3"/>
      <c r="AI33" s="1"/>
      <c r="AM33" s="3"/>
      <c r="AN33" s="3"/>
      <c r="AO33" s="3"/>
      <c r="AP33" s="3"/>
      <c r="AR33" s="3"/>
      <c r="AS33" s="3"/>
      <c r="AT33" s="3"/>
      <c r="AU33" s="3"/>
      <c r="AW33" s="3"/>
      <c r="AX33" s="3"/>
      <c r="AY33" s="3"/>
      <c r="AZ33" s="3"/>
      <c r="BB33" s="3"/>
      <c r="BJ33" s="1"/>
      <c r="BN33" s="3"/>
      <c r="BO33" s="3"/>
      <c r="BP33" s="3"/>
      <c r="BQ33" s="3"/>
      <c r="BS33" s="3"/>
      <c r="BT33" s="3"/>
      <c r="BU33" s="3"/>
      <c r="BV33" s="3"/>
      <c r="BX33" s="3"/>
      <c r="BY33" s="3"/>
      <c r="BZ33" s="3"/>
      <c r="CA33" s="3"/>
      <c r="CC33" s="3"/>
      <c r="CK33" s="1"/>
      <c r="CO33" s="3"/>
      <c r="CP33" s="3"/>
      <c r="CQ33" s="3"/>
      <c r="CR33" s="3"/>
      <c r="CT33" s="3"/>
      <c r="CU33" s="3"/>
      <c r="CV33" s="3"/>
      <c r="CW33" s="3"/>
      <c r="CY33" s="3"/>
      <c r="CZ33" s="3"/>
      <c r="DA33" s="3"/>
      <c r="DB33" s="3"/>
      <c r="DD33" s="3"/>
      <c r="DL33" s="1"/>
      <c r="DP33" s="3"/>
      <c r="DQ33" s="3"/>
      <c r="DR33" s="3"/>
      <c r="DS33" s="3"/>
      <c r="DU33" s="3"/>
      <c r="DV33" s="3"/>
      <c r="DW33" s="3"/>
      <c r="DX33" s="3"/>
      <c r="DZ33" s="3"/>
      <c r="EA33" s="3"/>
      <c r="EB33" s="3"/>
      <c r="EC33" s="3"/>
      <c r="EE33" s="3"/>
      <c r="EM33" s="1"/>
      <c r="EQ33" s="3"/>
      <c r="ER33" s="3"/>
      <c r="ES33" s="3"/>
      <c r="ET33" s="3"/>
      <c r="EV33" s="3"/>
      <c r="EW33" s="3"/>
      <c r="EX33" s="3"/>
      <c r="EY33" s="3"/>
      <c r="FA33" s="3"/>
      <c r="FB33" s="3"/>
      <c r="FC33" s="3"/>
      <c r="FD33" s="3"/>
      <c r="FF33" s="3"/>
      <c r="FN33" s="1"/>
      <c r="FR33" s="3"/>
      <c r="FS33" s="3"/>
      <c r="FT33" s="3"/>
      <c r="FU33" s="3"/>
      <c r="FW33" s="3"/>
      <c r="FX33" s="3"/>
      <c r="FY33" s="3"/>
      <c r="FZ33" s="3"/>
      <c r="GB33" s="3"/>
      <c r="GC33" s="3"/>
      <c r="GD33" s="3"/>
      <c r="GE33" s="3"/>
      <c r="GG33" s="3"/>
      <c r="GO33" s="1"/>
      <c r="GS33" s="3"/>
      <c r="GT33" s="3"/>
      <c r="GU33" s="3"/>
      <c r="GV33" s="3"/>
      <c r="GX33" s="3"/>
      <c r="GY33" s="3"/>
      <c r="GZ33" s="3"/>
      <c r="HA33" s="3"/>
      <c r="HC33" s="3"/>
      <c r="HD33" s="3"/>
      <c r="HE33" s="3"/>
      <c r="HF33" s="3"/>
      <c r="HH33" s="3"/>
      <c r="HP33" s="1"/>
      <c r="HT33" s="3"/>
      <c r="HU33" s="3"/>
      <c r="HV33" s="3"/>
      <c r="HW33" s="3"/>
      <c r="HY33" s="3"/>
      <c r="HZ33" s="3"/>
      <c r="IA33" s="3"/>
      <c r="IB33" s="3"/>
      <c r="ID33" s="3"/>
      <c r="IE33" s="3"/>
      <c r="IF33" s="3"/>
      <c r="IG33" s="3"/>
      <c r="II33" s="3"/>
      <c r="IQ33" s="1"/>
      <c r="IU33" s="3"/>
      <c r="IV33" s="3"/>
      <c r="IW33" s="3"/>
      <c r="IX33" s="3"/>
      <c r="IZ33" s="3"/>
      <c r="JA33" s="3"/>
      <c r="JB33" s="3"/>
      <c r="JC33" s="3"/>
      <c r="JE33" s="3"/>
      <c r="JF33" s="3"/>
      <c r="JG33" s="3"/>
      <c r="JH33" s="3"/>
      <c r="JJ33" s="3"/>
      <c r="JR33" s="1"/>
      <c r="JV33" s="3"/>
      <c r="JW33" s="3"/>
      <c r="JX33" s="3"/>
      <c r="JY33" s="3"/>
      <c r="KA33" s="3"/>
      <c r="KB33" s="3"/>
      <c r="KC33" s="3"/>
      <c r="KD33" s="3"/>
      <c r="KF33" s="3"/>
      <c r="KG33" s="3"/>
      <c r="KH33" s="3"/>
      <c r="KI33" s="3"/>
      <c r="KK33" s="3"/>
      <c r="KS33" s="1"/>
      <c r="KW33" s="3"/>
      <c r="KX33" s="3"/>
      <c r="KY33" s="3"/>
      <c r="KZ33" s="3"/>
      <c r="LB33" s="3"/>
      <c r="LC33" s="3"/>
      <c r="LD33" s="3"/>
      <c r="LE33" s="3"/>
      <c r="LG33" s="3"/>
      <c r="LH33" s="3"/>
      <c r="LI33" s="3"/>
      <c r="LJ33" s="3"/>
      <c r="LL33" s="3"/>
      <c r="LT33" s="1"/>
      <c r="LX33" s="3"/>
      <c r="LY33" s="3"/>
      <c r="LZ33" s="3"/>
      <c r="MA33" s="3"/>
      <c r="MC33" s="3"/>
      <c r="MD33" s="3"/>
      <c r="ME33" s="3"/>
      <c r="MF33" s="3"/>
      <c r="MH33" s="3"/>
      <c r="MI33" s="3"/>
      <c r="MJ33" s="3"/>
      <c r="MK33" s="3"/>
      <c r="MM33" s="3"/>
      <c r="MU33" s="1"/>
      <c r="MY33" s="3"/>
      <c r="MZ33" s="3"/>
      <c r="NA33" s="3"/>
      <c r="NB33" s="3"/>
      <c r="ND33" s="3"/>
      <c r="NE33" s="3"/>
      <c r="NF33" s="3"/>
      <c r="NG33" s="3"/>
      <c r="NI33" s="3"/>
      <c r="NJ33" s="3"/>
      <c r="NK33" s="3"/>
      <c r="NL33" s="3"/>
      <c r="NN33" s="3"/>
      <c r="NV33" s="1"/>
      <c r="NZ33" s="3"/>
      <c r="OA33" s="3"/>
      <c r="OB33" s="3"/>
      <c r="OC33" s="3"/>
      <c r="OE33" s="3"/>
      <c r="OF33" s="3"/>
      <c r="OG33" s="3"/>
      <c r="OH33" s="3"/>
      <c r="OJ33" s="3"/>
      <c r="OK33" s="3"/>
      <c r="OL33" s="3"/>
      <c r="OM33" s="3"/>
      <c r="OO33" s="3"/>
      <c r="OW33" s="1"/>
      <c r="PA33" s="3"/>
      <c r="PB33" s="3"/>
      <c r="PC33" s="3"/>
      <c r="PD33" s="3"/>
      <c r="PF33" s="3"/>
      <c r="PG33" s="3"/>
      <c r="PH33" s="3"/>
      <c r="PI33" s="3"/>
      <c r="PK33" s="3"/>
      <c r="PL33" s="3"/>
      <c r="PM33" s="3"/>
      <c r="PN33" s="3"/>
      <c r="PP33" s="3"/>
      <c r="PX33" s="1"/>
      <c r="QB33" s="3"/>
      <c r="QC33" s="3"/>
      <c r="QD33" s="3"/>
      <c r="QE33" s="3"/>
      <c r="QG33" s="3"/>
      <c r="QH33" s="3"/>
      <c r="QI33" s="3"/>
      <c r="QJ33" s="3"/>
      <c r="QL33" s="3"/>
      <c r="QM33" s="3"/>
      <c r="QN33" s="3"/>
      <c r="QO33" s="3"/>
      <c r="QQ33" s="3"/>
      <c r="QY33" s="1"/>
      <c r="RC33" s="3"/>
      <c r="RD33" s="3"/>
      <c r="RE33" s="3"/>
      <c r="RF33" s="3"/>
      <c r="RH33" s="3"/>
      <c r="RI33" s="3"/>
      <c r="RJ33" s="3"/>
      <c r="RK33" s="3"/>
      <c r="RM33" s="3"/>
      <c r="RN33" s="3"/>
      <c r="RO33" s="3"/>
      <c r="RP33" s="3"/>
      <c r="RR33" s="3"/>
      <c r="RZ33" s="1"/>
      <c r="SD33" s="3"/>
      <c r="SE33" s="3"/>
      <c r="SF33" s="3"/>
      <c r="SG33" s="3"/>
      <c r="SI33" s="3"/>
      <c r="SJ33" s="3"/>
      <c r="SK33" s="3"/>
      <c r="SL33" s="3"/>
      <c r="SN33" s="3"/>
      <c r="SO33" s="3"/>
      <c r="SP33" s="3"/>
      <c r="SQ33" s="3"/>
      <c r="SS33" s="3"/>
      <c r="TA33" s="1"/>
      <c r="TE33" s="3"/>
      <c r="TF33" s="3"/>
      <c r="TG33" s="3"/>
      <c r="TH33" s="3"/>
      <c r="TJ33" s="3"/>
      <c r="TK33" s="3"/>
      <c r="TL33" s="3"/>
      <c r="TM33" s="3"/>
      <c r="TO33" s="3"/>
      <c r="TP33" s="3"/>
      <c r="TQ33" s="3"/>
      <c r="TR33" s="3"/>
      <c r="TT33" s="3"/>
      <c r="UB33" s="1"/>
      <c r="UF33" s="3"/>
      <c r="UG33" s="3"/>
      <c r="UH33" s="3"/>
      <c r="UI33" s="3"/>
      <c r="UK33" s="3"/>
      <c r="UL33" s="3"/>
      <c r="UM33" s="3"/>
      <c r="UN33" s="3"/>
      <c r="UP33" s="3"/>
      <c r="UQ33" s="3"/>
      <c r="UR33" s="3"/>
      <c r="US33" s="3"/>
      <c r="UU33" s="3"/>
      <c r="VC33" s="1"/>
      <c r="VG33" s="3"/>
      <c r="VH33" s="3"/>
      <c r="VI33" s="3"/>
      <c r="VJ33" s="3"/>
      <c r="VL33" s="3"/>
      <c r="VM33" s="3"/>
      <c r="VN33" s="3"/>
      <c r="VO33" s="3"/>
      <c r="VQ33" s="3"/>
      <c r="VR33" s="3"/>
      <c r="VS33" s="3"/>
      <c r="VT33" s="3"/>
      <c r="VV33" s="3"/>
      <c r="WD33" s="1"/>
      <c r="WH33" s="3"/>
      <c r="WI33" s="3"/>
      <c r="WJ33" s="3"/>
      <c r="WK33" s="3"/>
      <c r="WM33" s="3"/>
      <c r="WN33" s="3"/>
      <c r="WO33" s="3"/>
      <c r="WP33" s="3"/>
      <c r="WR33" s="3"/>
      <c r="WS33" s="3"/>
      <c r="WT33" s="3"/>
      <c r="WU33" s="3"/>
      <c r="WW33" s="3"/>
      <c r="XE33" s="1"/>
      <c r="XI33" s="3"/>
      <c r="XJ33" s="3"/>
      <c r="XK33" s="3"/>
      <c r="XL33" s="3"/>
      <c r="XN33" s="3"/>
      <c r="XO33" s="3"/>
      <c r="XP33" s="3"/>
      <c r="XQ33" s="3"/>
      <c r="XS33" s="3"/>
      <c r="XT33" s="3"/>
      <c r="XU33" s="3"/>
      <c r="XV33" s="3"/>
      <c r="XX33" s="3"/>
      <c r="YF33" s="1"/>
      <c r="YJ33" s="3"/>
      <c r="YK33" s="3"/>
      <c r="YL33" s="3"/>
      <c r="YM33" s="3"/>
      <c r="YO33" s="3"/>
      <c r="YP33" s="3"/>
      <c r="YQ33" s="3"/>
      <c r="YR33" s="3"/>
      <c r="YT33" s="3"/>
      <c r="YU33" s="3"/>
      <c r="YV33" s="3"/>
      <c r="YW33" s="3"/>
      <c r="YY33" s="3"/>
      <c r="ZG33" s="1"/>
      <c r="ZK33" s="3"/>
      <c r="ZL33" s="3"/>
      <c r="ZM33" s="3"/>
      <c r="ZN33" s="3"/>
      <c r="ZP33" s="3"/>
      <c r="ZQ33" s="3"/>
      <c r="ZR33" s="3"/>
      <c r="ZS33" s="3"/>
      <c r="ZU33" s="3"/>
      <c r="ZV33" s="3"/>
      <c r="ZW33" s="3"/>
      <c r="ZX33" s="3"/>
      <c r="ZZ33" s="3"/>
      <c r="AAH33" s="1"/>
      <c r="AAL33" s="3"/>
      <c r="AAM33" s="3"/>
      <c r="AAN33" s="3"/>
      <c r="AAO33" s="3"/>
      <c r="AAQ33" s="3"/>
      <c r="AAR33" s="3"/>
      <c r="AAS33" s="3"/>
      <c r="AAT33" s="3"/>
      <c r="AAV33" s="3"/>
      <c r="AAW33" s="3"/>
      <c r="AAX33" s="3"/>
      <c r="AAY33" s="3"/>
      <c r="ABA33" s="3"/>
      <c r="ABI33" s="1"/>
      <c r="ABM33" s="3"/>
      <c r="ABN33" s="3"/>
      <c r="ABO33" s="3"/>
      <c r="ABP33" s="3"/>
      <c r="ABR33" s="3"/>
      <c r="ABS33" s="3"/>
      <c r="ABT33" s="3"/>
      <c r="ABU33" s="3"/>
      <c r="ABW33" s="3"/>
      <c r="ABX33" s="3"/>
      <c r="ABY33" s="3"/>
      <c r="ABZ33" s="3"/>
      <c r="ACB33" s="3"/>
      <c r="ACJ33" s="3"/>
      <c r="ACK33" s="3"/>
      <c r="ACL33" s="3"/>
      <c r="ACN33" s="3"/>
      <c r="ACO33" s="3"/>
      <c r="ACP33" s="3"/>
      <c r="ACQ33" s="3"/>
      <c r="ACS33" s="3"/>
      <c r="ACT33" s="3"/>
      <c r="ACU33" s="3"/>
      <c r="ACV33" s="3"/>
      <c r="ACX33" s="3"/>
      <c r="ACY33" s="3"/>
      <c r="ACZ33" s="3"/>
      <c r="ADA33" s="3"/>
      <c r="ADC33" s="3"/>
      <c r="ADK33" s="3"/>
      <c r="ADL33" s="3"/>
      <c r="ADM33" s="3"/>
      <c r="ADO33" s="3"/>
      <c r="ADP33" s="3"/>
      <c r="ADQ33" s="3"/>
      <c r="ADR33" s="3"/>
      <c r="ADT33" s="3"/>
      <c r="ADU33" s="3"/>
      <c r="ADV33" s="3"/>
      <c r="ADW33" s="3"/>
      <c r="ADY33" s="3"/>
      <c r="ADZ33" s="3"/>
      <c r="AEA33" s="3"/>
      <c r="AEB33" s="3"/>
      <c r="AED33" s="3"/>
      <c r="AEL33" s="3"/>
      <c r="AEM33" s="3"/>
      <c r="AEN33" s="3"/>
      <c r="AEP33" s="3"/>
      <c r="AEQ33" s="3"/>
      <c r="AER33" s="3"/>
      <c r="AES33" s="3"/>
      <c r="AEU33" s="3"/>
      <c r="AEV33" s="3"/>
      <c r="AEW33" s="3"/>
      <c r="AEX33" s="3"/>
      <c r="AEZ33" s="3"/>
      <c r="AFA33" s="3"/>
      <c r="AFB33" s="3"/>
      <c r="AFC33" s="3"/>
      <c r="AFE33" s="3"/>
      <c r="AFM33" s="1"/>
      <c r="AFQ33" s="3"/>
      <c r="AFR33" s="3"/>
      <c r="AFS33" s="3"/>
      <c r="AFT33" s="3"/>
      <c r="AFV33" s="3"/>
      <c r="AFW33" s="3"/>
      <c r="AFX33" s="3"/>
      <c r="AFY33" s="3"/>
      <c r="AGA33" s="3"/>
      <c r="AGB33" s="3"/>
      <c r="AGC33" s="3"/>
      <c r="AGD33" s="3"/>
      <c r="AGF33" s="3"/>
      <c r="AGN33" s="1"/>
      <c r="AGR33" s="3"/>
      <c r="AGS33" s="3"/>
      <c r="AGT33" s="3"/>
      <c r="AGU33" s="3"/>
      <c r="AGW33" s="3"/>
      <c r="AGX33" s="3"/>
      <c r="AGY33" s="3"/>
      <c r="AGZ33" s="3"/>
      <c r="AHB33" s="3"/>
      <c r="AHC33" s="3"/>
      <c r="AHD33" s="3"/>
      <c r="AHE33" s="3"/>
      <c r="AHG33" s="3"/>
      <c r="AHO33" s="1"/>
      <c r="AHS33" s="3"/>
      <c r="AHT33" s="3"/>
      <c r="AHU33" s="3"/>
      <c r="AHV33" s="3"/>
      <c r="AHX33" s="3"/>
      <c r="AHY33" s="3"/>
      <c r="AHZ33" s="3"/>
      <c r="AIA33" s="3"/>
      <c r="AIC33" s="3"/>
      <c r="AID33" s="3"/>
      <c r="AIE33" s="3"/>
      <c r="AIF33" s="3"/>
      <c r="AIH33" s="3"/>
      <c r="AIP33" s="1"/>
      <c r="AIT33" s="3"/>
      <c r="AIU33" s="3"/>
      <c r="AIV33" s="3"/>
      <c r="AIW33" s="3"/>
      <c r="AIY33" s="3"/>
      <c r="AIZ33" s="3"/>
      <c r="AJA33" s="3"/>
      <c r="AJB33" s="3"/>
      <c r="AJD33" s="3"/>
      <c r="AJE33" s="3"/>
      <c r="AJF33" s="3"/>
      <c r="AJG33" s="3"/>
      <c r="AJI33" s="3"/>
      <c r="AJQ33" s="1"/>
      <c r="AJU33" s="3"/>
      <c r="AJV33" s="3"/>
      <c r="AJW33" s="3"/>
      <c r="AJX33" s="3"/>
      <c r="AJZ33" s="3"/>
      <c r="AKA33" s="3"/>
      <c r="AKB33" s="3"/>
      <c r="AKC33" s="3"/>
      <c r="AKE33" s="3"/>
      <c r="AKF33" s="3"/>
      <c r="AKG33" s="3"/>
      <c r="AKH33" s="3"/>
      <c r="AKJ33" s="3"/>
      <c r="AKR33" s="1"/>
      <c r="AKV33" s="3"/>
      <c r="AKW33" s="3"/>
      <c r="AKX33" s="3"/>
      <c r="AKY33" s="3"/>
      <c r="ALA33" s="3"/>
      <c r="ALB33" s="3"/>
      <c r="ALC33" s="3"/>
      <c r="ALD33" s="3"/>
      <c r="ALF33" s="3"/>
      <c r="ALG33" s="3"/>
      <c r="ALH33" s="3"/>
      <c r="ALI33" s="3"/>
      <c r="ALK33" s="3"/>
      <c r="ALS33" s="1"/>
      <c r="ALW33" s="3"/>
      <c r="ALX33" s="3"/>
      <c r="ALY33" s="3"/>
      <c r="ALZ33" s="3"/>
      <c r="AMB33" s="3"/>
      <c r="AMC33" s="3"/>
      <c r="AMD33" s="3"/>
      <c r="AME33" s="3"/>
      <c r="AMG33" s="3"/>
      <c r="AMH33" s="3"/>
      <c r="AMI33" s="3"/>
      <c r="AMJ33" s="3"/>
      <c r="AML33" s="3"/>
      <c r="AMT33" s="1"/>
      <c r="AMX33" s="3"/>
      <c r="AMY33" s="3"/>
      <c r="AMZ33" s="3"/>
      <c r="ANA33" s="3"/>
      <c r="ANC33" s="3"/>
      <c r="AND33" s="3"/>
      <c r="ANE33" s="3"/>
      <c r="ANF33" s="3"/>
      <c r="ANH33" s="3"/>
      <c r="ANI33" s="3"/>
      <c r="ANJ33" s="3"/>
      <c r="ANK33" s="3"/>
      <c r="ANM33" s="3"/>
      <c r="ANU33" s="1"/>
      <c r="ANY33" s="3"/>
      <c r="ANZ33" s="3"/>
      <c r="AOA33" s="3"/>
      <c r="AOB33" s="3"/>
      <c r="AOD33" s="3"/>
      <c r="AOE33" s="3"/>
      <c r="AOF33" s="3"/>
      <c r="AOG33" s="3"/>
      <c r="AOI33" s="3"/>
      <c r="AOK33" s="3"/>
      <c r="AOL33" s="3"/>
      <c r="AOM33" s="3"/>
      <c r="AOO33" s="3"/>
      <c r="AOW33" s="1"/>
      <c r="APA33" s="3"/>
      <c r="APB33" s="3"/>
      <c r="APC33" s="3"/>
      <c r="APD33" s="3"/>
      <c r="APF33" s="3"/>
      <c r="APG33" s="3"/>
      <c r="APH33" s="3"/>
      <c r="API33" s="3"/>
      <c r="APK33" s="3"/>
      <c r="APL33" s="3"/>
      <c r="APM33" s="3"/>
      <c r="APN33" s="3"/>
      <c r="APP33" s="3"/>
      <c r="APX33" s="1"/>
      <c r="AQB33" s="3"/>
      <c r="AQC33" s="3"/>
      <c r="AQD33" s="3"/>
      <c r="AQE33" s="3"/>
      <c r="AQG33" s="3"/>
      <c r="AQH33" s="3"/>
      <c r="AQI33" s="3"/>
      <c r="AQJ33" s="3"/>
      <c r="AQL33" s="3"/>
      <c r="AQM33" s="3"/>
      <c r="AQN33" s="3"/>
      <c r="AQO33" s="3"/>
      <c r="AQQ33" s="3"/>
      <c r="AQY33" s="1"/>
      <c r="ARC33" s="3"/>
      <c r="ARD33" s="3"/>
      <c r="ARE33" s="3"/>
      <c r="ARF33" s="3"/>
      <c r="ARH33" s="3"/>
      <c r="ARI33" s="3"/>
      <c r="ARJ33" s="3"/>
      <c r="ARK33" s="3"/>
      <c r="ARM33" s="3"/>
      <c r="ARN33" s="3"/>
      <c r="ARO33" s="3"/>
      <c r="ARP33" s="3"/>
      <c r="ARR33" s="3"/>
      <c r="ARZ33" s="1"/>
      <c r="ASD33" s="3"/>
      <c r="ASE33" s="3"/>
      <c r="ASF33" s="3"/>
      <c r="ASG33" s="3"/>
      <c r="ASI33" s="3"/>
      <c r="ASJ33" s="3"/>
      <c r="ASK33" s="3"/>
      <c r="ASL33" s="3"/>
      <c r="ASN33" s="3"/>
      <c r="ASO33" s="3"/>
      <c r="ASP33" s="3"/>
      <c r="ASQ33" s="3"/>
      <c r="ASS33" s="3"/>
      <c r="ATA33" s="1"/>
      <c r="ATE33" s="3"/>
      <c r="ATF33" s="3"/>
      <c r="ATG33" s="3"/>
      <c r="ATH33" s="3"/>
      <c r="ATJ33" s="3"/>
      <c r="ATK33" s="3"/>
      <c r="ATL33" s="3"/>
      <c r="ATM33" s="3"/>
      <c r="ATO33" s="3"/>
      <c r="ATP33" s="3"/>
      <c r="ATQ33" s="3"/>
      <c r="ATR33" s="3"/>
      <c r="ATT33" s="3"/>
      <c r="AUB33" s="1"/>
      <c r="AUF33" s="3"/>
      <c r="AUG33" s="3"/>
      <c r="AUH33" s="3"/>
      <c r="AUI33" s="3"/>
      <c r="AUK33" s="3"/>
      <c r="AUL33" s="3"/>
      <c r="AUM33" s="3"/>
      <c r="AUN33" s="3"/>
      <c r="AUP33" s="3"/>
      <c r="AUQ33" s="3"/>
      <c r="AUR33" s="3"/>
      <c r="AUS33" s="3"/>
      <c r="AUU33" s="3"/>
      <c r="AVC33" s="1"/>
      <c r="AVG33" s="3"/>
      <c r="AVH33" s="3"/>
      <c r="AVI33" s="3"/>
      <c r="AVJ33" s="3"/>
      <c r="AVL33" s="3"/>
      <c r="AVM33" s="3"/>
      <c r="AVN33" s="3"/>
      <c r="AVO33" s="3"/>
      <c r="AVQ33" s="3"/>
      <c r="AVR33" s="3"/>
      <c r="AVS33" s="3"/>
      <c r="AVT33" s="3"/>
      <c r="AVV33" s="3"/>
      <c r="AWD33" s="1"/>
      <c r="AWH33" s="3"/>
      <c r="AWI33" s="3"/>
      <c r="AWJ33" s="3"/>
      <c r="AWK33" s="3"/>
      <c r="AWM33" s="3"/>
      <c r="AWN33" s="3"/>
      <c r="AWO33" s="3"/>
      <c r="AWP33" s="3"/>
      <c r="AWR33" s="3"/>
      <c r="AWS33" s="3"/>
      <c r="AWT33" s="3"/>
      <c r="AWU33" s="3"/>
      <c r="AWW33" s="3"/>
      <c r="AXE33" s="1"/>
      <c r="AXI33" s="3"/>
      <c r="AXJ33" s="3"/>
      <c r="AXK33" s="3"/>
      <c r="AXL33" s="3"/>
      <c r="AXN33" s="3"/>
      <c r="AXO33" s="3"/>
      <c r="AXP33" s="3"/>
      <c r="AXQ33" s="3"/>
      <c r="AXS33" s="3"/>
      <c r="AXT33" s="3"/>
      <c r="AXU33" s="3"/>
      <c r="AXV33" s="3"/>
      <c r="AXX33" s="3"/>
      <c r="AYF33" s="1"/>
      <c r="AYJ33" s="3"/>
      <c r="AYK33" s="3"/>
      <c r="AYL33" s="3"/>
      <c r="AYM33" s="3"/>
      <c r="AYO33" s="3"/>
      <c r="AYP33" s="3"/>
      <c r="AYQ33" s="3"/>
      <c r="AYR33" s="3"/>
      <c r="AYT33" s="3"/>
      <c r="AYU33" s="3"/>
      <c r="AYV33" s="3"/>
      <c r="AYW33" s="3"/>
      <c r="AYY33" s="3"/>
      <c r="AZG33" s="1"/>
      <c r="AZK33" s="3"/>
      <c r="AZL33" s="3"/>
      <c r="AZM33" s="3"/>
      <c r="AZN33" s="3"/>
      <c r="AZP33" s="3"/>
      <c r="AZQ33" s="3"/>
      <c r="AZR33" s="3"/>
      <c r="AZS33" s="3"/>
      <c r="AZU33" s="3"/>
      <c r="AZV33" s="3"/>
      <c r="AZW33" s="3"/>
      <c r="AZX33" s="3"/>
      <c r="AZZ33" s="3"/>
      <c r="BAH33" s="1"/>
      <c r="BAL33" s="3"/>
      <c r="BAM33" s="3"/>
      <c r="BAN33" s="3"/>
      <c r="BAO33" s="3"/>
      <c r="BAQ33" s="3"/>
      <c r="BAR33" s="3"/>
      <c r="BAS33" s="3"/>
      <c r="BAT33" s="3"/>
      <c r="BAV33" s="3"/>
      <c r="BAW33" s="3"/>
      <c r="BAX33" s="3"/>
      <c r="BAY33" s="3"/>
      <c r="BBA33" s="3"/>
      <c r="BBI33" s="1"/>
      <c r="BBM33" s="3"/>
      <c r="BBN33" s="3"/>
      <c r="BBO33" s="3"/>
      <c r="BBP33" s="3"/>
      <c r="BBR33" s="3"/>
      <c r="BBS33" s="3"/>
      <c r="BBT33" s="3"/>
      <c r="BBU33" s="3"/>
      <c r="BBW33" s="3"/>
      <c r="BBX33" s="3"/>
      <c r="BBY33" s="3"/>
      <c r="BBZ33" s="3"/>
      <c r="BCB33" s="3"/>
      <c r="BCJ33" s="1"/>
      <c r="BCN33" s="3"/>
      <c r="BCO33" s="3"/>
      <c r="BCP33" s="3"/>
      <c r="BCQ33" s="3"/>
      <c r="BCS33" s="3"/>
      <c r="BCT33" s="3"/>
      <c r="BCU33" s="3"/>
      <c r="BCV33" s="3"/>
      <c r="BCX33" s="3"/>
      <c r="BCY33" s="3"/>
      <c r="BCZ33" s="3"/>
      <c r="BDA33" s="3"/>
      <c r="BDC33" s="3"/>
      <c r="BDK33" s="1"/>
      <c r="BDO33" s="3"/>
      <c r="BDP33" s="3"/>
      <c r="BDQ33" s="3"/>
      <c r="BDR33" s="3"/>
      <c r="BDT33" s="3"/>
      <c r="BDU33" s="3"/>
      <c r="BDV33" s="3"/>
      <c r="BDW33" s="3"/>
      <c r="BDY33" s="3"/>
      <c r="BDZ33" s="3"/>
      <c r="BEA33" s="3"/>
      <c r="BEB33" s="3"/>
      <c r="BED33" s="3"/>
      <c r="BEL33" s="1"/>
      <c r="BEP33" s="3"/>
      <c r="BEQ33" s="3"/>
      <c r="BER33" s="3"/>
      <c r="BES33" s="3"/>
      <c r="BEU33" s="3"/>
      <c r="BEV33" s="3"/>
      <c r="BEW33" s="3"/>
      <c r="BEX33" s="3"/>
      <c r="BEZ33" s="3"/>
      <c r="BFA33" s="3"/>
      <c r="BFB33" s="3"/>
      <c r="BFC33" s="3"/>
      <c r="BFE33" s="3"/>
      <c r="BFM33" s="1"/>
      <c r="BFQ33" s="3"/>
      <c r="BFR33" s="3"/>
      <c r="BFS33" s="3"/>
      <c r="BFT33" s="3"/>
      <c r="BFV33" s="3"/>
      <c r="BFW33" s="3"/>
      <c r="BFX33" s="3"/>
      <c r="BFY33" s="3"/>
      <c r="BGA33" s="3"/>
      <c r="BGB33" s="3"/>
      <c r="BGC33" s="3"/>
      <c r="BGD33" s="3"/>
      <c r="BGF33" s="3"/>
    </row>
    <row r="34" spans="3:1540" ht="27.75" customHeight="1" x14ac:dyDescent="0.4">
      <c r="H34" s="1"/>
      <c r="J34" s="3"/>
      <c r="L34" s="3"/>
      <c r="M34" s="3"/>
      <c r="N34" s="3"/>
      <c r="O34" s="3"/>
      <c r="Q34" s="3"/>
      <c r="R34" s="3"/>
      <c r="S34" s="3"/>
      <c r="T34" s="3"/>
      <c r="V34" s="3"/>
      <c r="W34" s="3"/>
      <c r="X34" s="3"/>
      <c r="Y34" s="3"/>
      <c r="AA34" s="3"/>
      <c r="AI34" s="1"/>
      <c r="AK34" s="3"/>
      <c r="AM34" s="3"/>
      <c r="AN34" s="3"/>
      <c r="AO34" s="3"/>
      <c r="AP34" s="3"/>
      <c r="AR34" s="3"/>
      <c r="AS34" s="3"/>
      <c r="AT34" s="3"/>
      <c r="AU34" s="3"/>
      <c r="AW34" s="3"/>
      <c r="AX34" s="3"/>
      <c r="AY34" s="3"/>
      <c r="AZ34" s="3"/>
      <c r="BB34" s="3"/>
      <c r="BJ34" s="1"/>
      <c r="BL34" s="3"/>
      <c r="BN34" s="3"/>
      <c r="BO34" s="3"/>
      <c r="BP34" s="3"/>
      <c r="BQ34" s="3"/>
      <c r="BS34" s="3"/>
      <c r="BT34" s="3"/>
      <c r="BU34" s="3"/>
      <c r="BV34" s="3"/>
      <c r="BX34" s="3"/>
      <c r="BY34" s="3"/>
      <c r="BZ34" s="3"/>
      <c r="CA34" s="3"/>
      <c r="CC34" s="3"/>
      <c r="CK34" s="1"/>
      <c r="CM34" s="3"/>
      <c r="CO34" s="3"/>
      <c r="CP34" s="3"/>
      <c r="CQ34" s="3"/>
      <c r="CR34" s="3"/>
      <c r="CT34" s="3"/>
      <c r="CU34" s="3"/>
      <c r="CV34" s="3"/>
      <c r="CW34" s="3"/>
      <c r="CY34" s="3"/>
      <c r="CZ34" s="3"/>
      <c r="DA34" s="3"/>
      <c r="DB34" s="3"/>
      <c r="DD34" s="3"/>
      <c r="DL34" s="1"/>
      <c r="DN34" s="3"/>
      <c r="DP34" s="3"/>
      <c r="DQ34" s="3"/>
      <c r="DR34" s="3"/>
      <c r="DS34" s="3"/>
      <c r="DU34" s="3"/>
      <c r="DV34" s="3"/>
      <c r="DW34" s="3"/>
      <c r="DX34" s="3"/>
      <c r="DZ34" s="3"/>
      <c r="EA34" s="3"/>
      <c r="EB34" s="3"/>
      <c r="EC34" s="3"/>
      <c r="EE34" s="3"/>
      <c r="EM34" s="1"/>
      <c r="EO34" s="3"/>
      <c r="EQ34" s="3"/>
      <c r="ER34" s="3"/>
      <c r="ES34" s="3"/>
      <c r="ET34" s="3"/>
      <c r="EV34" s="3"/>
      <c r="EW34" s="3"/>
      <c r="EX34" s="3"/>
      <c r="EY34" s="3"/>
      <c r="FA34" s="3"/>
      <c r="FB34" s="3"/>
      <c r="FC34" s="3"/>
      <c r="FD34" s="3"/>
      <c r="FF34" s="3"/>
      <c r="FN34" s="1"/>
      <c r="FP34" s="3"/>
      <c r="FR34" s="3"/>
      <c r="FS34" s="3"/>
      <c r="FT34" s="3"/>
      <c r="FU34" s="3"/>
      <c r="FW34" s="3"/>
      <c r="FX34" s="3"/>
      <c r="FY34" s="3"/>
      <c r="FZ34" s="3"/>
      <c r="GB34" s="3"/>
      <c r="GC34" s="3"/>
      <c r="GD34" s="3"/>
      <c r="GE34" s="3"/>
      <c r="GG34" s="3"/>
      <c r="GO34" s="1"/>
      <c r="GQ34" s="3"/>
      <c r="GS34" s="3"/>
      <c r="GT34" s="3"/>
      <c r="GU34" s="3"/>
      <c r="GV34" s="3"/>
      <c r="GX34" s="3"/>
      <c r="GY34" s="3"/>
      <c r="GZ34" s="3"/>
      <c r="HA34" s="3"/>
      <c r="HC34" s="3"/>
      <c r="HD34" s="3"/>
      <c r="HE34" s="3"/>
      <c r="HF34" s="3"/>
      <c r="HH34" s="3"/>
      <c r="HP34" s="1"/>
      <c r="HR34" s="3"/>
      <c r="HT34" s="3"/>
      <c r="HU34" s="3"/>
      <c r="HV34" s="3"/>
      <c r="HW34" s="3"/>
      <c r="HY34" s="3"/>
      <c r="HZ34" s="3"/>
      <c r="IA34" s="3"/>
      <c r="IB34" s="3"/>
      <c r="ID34" s="3"/>
      <c r="IE34" s="3"/>
      <c r="IF34" s="3"/>
      <c r="IG34" s="3"/>
      <c r="II34" s="3"/>
      <c r="IQ34" s="1"/>
      <c r="IS34" s="3"/>
      <c r="IU34" s="3"/>
      <c r="IV34" s="3"/>
      <c r="IW34" s="3"/>
      <c r="IX34" s="3"/>
      <c r="IZ34" s="3"/>
      <c r="JA34" s="3"/>
      <c r="JB34" s="3"/>
      <c r="JC34" s="3"/>
      <c r="JE34" s="3"/>
      <c r="JF34" s="3"/>
      <c r="JG34" s="3"/>
      <c r="JH34" s="3"/>
      <c r="JJ34" s="3"/>
      <c r="JR34" s="1"/>
      <c r="JT34" s="3"/>
      <c r="JV34" s="3"/>
      <c r="JW34" s="3"/>
      <c r="JX34" s="3"/>
      <c r="JY34" s="3"/>
      <c r="KA34" s="3"/>
      <c r="KB34" s="3"/>
      <c r="KC34" s="3"/>
      <c r="KD34" s="3"/>
      <c r="KF34" s="3"/>
      <c r="KG34" s="3"/>
      <c r="KH34" s="3"/>
      <c r="KI34" s="3"/>
      <c r="KK34" s="3"/>
      <c r="KS34" s="1"/>
      <c r="KU34" s="3"/>
      <c r="KW34" s="3"/>
      <c r="KX34" s="3"/>
      <c r="KY34" s="3"/>
      <c r="KZ34" s="3"/>
      <c r="LB34" s="3"/>
      <c r="LC34" s="3"/>
      <c r="LD34" s="3"/>
      <c r="LE34" s="3"/>
      <c r="LG34" s="3"/>
      <c r="LH34" s="3"/>
      <c r="LI34" s="3"/>
      <c r="LJ34" s="3"/>
      <c r="LL34" s="3"/>
      <c r="LT34" s="1"/>
      <c r="LV34" s="3"/>
      <c r="LX34" s="3"/>
      <c r="LY34" s="3"/>
      <c r="LZ34" s="3"/>
      <c r="MA34" s="3"/>
      <c r="MC34" s="3"/>
      <c r="MD34" s="3"/>
      <c r="ME34" s="3"/>
      <c r="MF34" s="3"/>
      <c r="MH34" s="3"/>
      <c r="MI34" s="3"/>
      <c r="MJ34" s="3"/>
      <c r="MK34" s="3"/>
      <c r="MM34" s="3"/>
      <c r="MU34" s="1"/>
      <c r="MW34" s="3"/>
      <c r="MY34" s="3"/>
      <c r="MZ34" s="3"/>
      <c r="NA34" s="3"/>
      <c r="NB34" s="3"/>
      <c r="ND34" s="3"/>
      <c r="NE34" s="3"/>
      <c r="NF34" s="3"/>
      <c r="NG34" s="3"/>
      <c r="NI34" s="3"/>
      <c r="NJ34" s="3"/>
      <c r="NK34" s="3"/>
      <c r="NL34" s="3"/>
      <c r="NN34" s="3"/>
      <c r="NV34" s="1"/>
      <c r="NX34" s="3"/>
      <c r="NZ34" s="3"/>
      <c r="OA34" s="3"/>
      <c r="OB34" s="3"/>
      <c r="OC34" s="3"/>
      <c r="OE34" s="3"/>
      <c r="OF34" s="3"/>
      <c r="OG34" s="3"/>
      <c r="OH34" s="3"/>
      <c r="OJ34" s="3"/>
      <c r="OK34" s="3"/>
      <c r="OL34" s="3"/>
      <c r="OM34" s="3"/>
      <c r="OO34" s="3"/>
      <c r="OW34" s="1"/>
      <c r="OY34" s="3"/>
      <c r="PA34" s="3"/>
      <c r="PB34" s="3"/>
      <c r="PC34" s="3"/>
      <c r="PD34" s="3"/>
      <c r="PF34" s="3"/>
      <c r="PG34" s="3"/>
      <c r="PH34" s="3"/>
      <c r="PI34" s="3"/>
      <c r="PK34" s="3"/>
      <c r="PL34" s="3"/>
      <c r="PM34" s="3"/>
      <c r="PN34" s="3"/>
      <c r="PP34" s="3"/>
      <c r="PX34" s="1"/>
      <c r="PZ34" s="3"/>
      <c r="QB34" s="3"/>
      <c r="QC34" s="3"/>
      <c r="QD34" s="3"/>
      <c r="QE34" s="3"/>
      <c r="QG34" s="3"/>
      <c r="QH34" s="3"/>
      <c r="QI34" s="3"/>
      <c r="QJ34" s="3"/>
      <c r="QL34" s="3"/>
      <c r="QM34" s="3"/>
      <c r="QN34" s="3"/>
      <c r="QO34" s="3"/>
      <c r="QQ34" s="3"/>
      <c r="QY34" s="1"/>
      <c r="RA34" s="3"/>
      <c r="RC34" s="3"/>
      <c r="RD34" s="3"/>
      <c r="RE34" s="3"/>
      <c r="RF34" s="3"/>
      <c r="RH34" s="3"/>
      <c r="RI34" s="3"/>
      <c r="RJ34" s="3"/>
      <c r="RK34" s="3"/>
      <c r="RM34" s="3"/>
      <c r="RN34" s="3"/>
      <c r="RO34" s="3"/>
      <c r="RP34" s="3"/>
      <c r="RR34" s="3"/>
      <c r="RZ34" s="1"/>
      <c r="SB34" s="3"/>
      <c r="SD34" s="3"/>
      <c r="SE34" s="3"/>
      <c r="SF34" s="3"/>
      <c r="SG34" s="3"/>
      <c r="SI34" s="3"/>
      <c r="SJ34" s="3"/>
      <c r="SK34" s="3"/>
      <c r="SL34" s="3"/>
      <c r="SN34" s="3"/>
      <c r="SO34" s="3"/>
      <c r="SP34" s="3"/>
      <c r="SQ34" s="3"/>
      <c r="SS34" s="3"/>
      <c r="TA34" s="1"/>
      <c r="TC34" s="3"/>
      <c r="TE34" s="3"/>
      <c r="TF34" s="3"/>
      <c r="TG34" s="3"/>
      <c r="TH34" s="3"/>
      <c r="TJ34" s="3"/>
      <c r="TK34" s="3"/>
      <c r="TL34" s="3"/>
      <c r="TM34" s="3"/>
      <c r="TO34" s="3"/>
      <c r="TP34" s="3"/>
      <c r="TQ34" s="3"/>
      <c r="TR34" s="3"/>
      <c r="TT34" s="3"/>
      <c r="UB34" s="1"/>
      <c r="UD34" s="3"/>
      <c r="UF34" s="3"/>
      <c r="UG34" s="3"/>
      <c r="UH34" s="3"/>
      <c r="UI34" s="3"/>
      <c r="UK34" s="3"/>
      <c r="UL34" s="3"/>
      <c r="UM34" s="3"/>
      <c r="UN34" s="3"/>
      <c r="UP34" s="3"/>
      <c r="UQ34" s="3"/>
      <c r="UR34" s="3"/>
      <c r="US34" s="3"/>
      <c r="UU34" s="3"/>
      <c r="VC34" s="1"/>
      <c r="VE34" s="3"/>
      <c r="VG34" s="3"/>
      <c r="VH34" s="3"/>
      <c r="VI34" s="3"/>
      <c r="VJ34" s="3"/>
      <c r="VL34" s="3"/>
      <c r="VM34" s="3"/>
      <c r="VN34" s="3"/>
      <c r="VO34" s="3"/>
      <c r="VQ34" s="3"/>
      <c r="VR34" s="3"/>
      <c r="VS34" s="3"/>
      <c r="VT34" s="3"/>
      <c r="VV34" s="3"/>
      <c r="WD34" s="1"/>
      <c r="WF34" s="3"/>
      <c r="WH34" s="3"/>
      <c r="WI34" s="3"/>
      <c r="WJ34" s="3"/>
      <c r="WK34" s="3"/>
      <c r="WM34" s="3"/>
      <c r="WN34" s="3"/>
      <c r="WO34" s="3"/>
      <c r="WP34" s="3"/>
      <c r="WR34" s="3"/>
      <c r="WS34" s="3"/>
      <c r="WT34" s="3"/>
      <c r="WU34" s="3"/>
      <c r="WW34" s="3"/>
      <c r="XE34" s="1"/>
      <c r="XG34" s="3"/>
      <c r="XI34" s="3"/>
      <c r="XJ34" s="3"/>
      <c r="XK34" s="3"/>
      <c r="XL34" s="3"/>
      <c r="XN34" s="3"/>
      <c r="XO34" s="3"/>
      <c r="XP34" s="3"/>
      <c r="XQ34" s="3"/>
      <c r="XS34" s="3"/>
      <c r="XT34" s="3"/>
      <c r="XU34" s="3"/>
      <c r="XV34" s="3"/>
      <c r="XX34" s="3"/>
      <c r="YF34" s="1"/>
      <c r="YH34" s="3"/>
      <c r="YJ34" s="3"/>
      <c r="YK34" s="3"/>
      <c r="YL34" s="3"/>
      <c r="YM34" s="3"/>
      <c r="YO34" s="3"/>
      <c r="YP34" s="3"/>
      <c r="YQ34" s="3"/>
      <c r="YR34" s="3"/>
      <c r="YT34" s="3"/>
      <c r="YU34" s="3"/>
      <c r="YV34" s="3"/>
      <c r="YW34" s="3"/>
      <c r="YY34" s="3"/>
      <c r="ZG34" s="1"/>
      <c r="ZI34" s="3"/>
      <c r="ZK34" s="3"/>
      <c r="ZL34" s="3"/>
      <c r="ZM34" s="3"/>
      <c r="ZN34" s="3"/>
      <c r="ZP34" s="3"/>
      <c r="ZQ34" s="3"/>
      <c r="ZR34" s="3"/>
      <c r="ZS34" s="3"/>
      <c r="ZU34" s="3"/>
      <c r="ZV34" s="3"/>
      <c r="ZW34" s="3"/>
      <c r="ZX34" s="3"/>
      <c r="ZZ34" s="3"/>
      <c r="AAH34" s="1"/>
      <c r="AAJ34" s="3"/>
      <c r="AAL34" s="3"/>
      <c r="AAM34" s="3"/>
      <c r="AAN34" s="3"/>
      <c r="AAO34" s="3"/>
      <c r="AAQ34" s="3"/>
      <c r="AAR34" s="3"/>
      <c r="AAS34" s="3"/>
      <c r="AAT34" s="3"/>
      <c r="AAV34" s="3"/>
      <c r="AAW34" s="3"/>
      <c r="AAX34" s="3"/>
      <c r="AAY34" s="3"/>
      <c r="ABA34" s="3"/>
      <c r="ABI34" s="1"/>
      <c r="ABK34" s="3"/>
      <c r="ABM34" s="3"/>
      <c r="ABN34" s="3"/>
      <c r="ABO34" s="3"/>
      <c r="ABP34" s="3"/>
      <c r="ABR34" s="3"/>
      <c r="ABS34" s="3"/>
      <c r="ABT34" s="3"/>
      <c r="ABU34" s="3"/>
      <c r="ABW34" s="3"/>
      <c r="ABX34" s="3"/>
      <c r="ABY34" s="3"/>
      <c r="ABZ34" s="3"/>
      <c r="ACB34" s="3"/>
      <c r="ACJ34" s="3"/>
      <c r="ACK34" s="3"/>
      <c r="ACL34" s="3"/>
      <c r="ACN34" s="3"/>
      <c r="ACO34" s="3"/>
      <c r="ACP34" s="3"/>
      <c r="ACQ34" s="3"/>
      <c r="ACS34" s="3"/>
      <c r="ACT34" s="3"/>
      <c r="ACU34" s="3"/>
      <c r="ACV34" s="3"/>
      <c r="ACX34" s="3"/>
      <c r="ACY34" s="3"/>
      <c r="ACZ34" s="3"/>
      <c r="ADA34" s="3"/>
      <c r="ADC34" s="3"/>
      <c r="ADK34" s="3"/>
      <c r="ADL34" s="3"/>
      <c r="ADM34" s="3"/>
      <c r="ADO34" s="3"/>
      <c r="ADP34" s="3"/>
      <c r="ADQ34" s="3"/>
      <c r="ADR34" s="3"/>
      <c r="ADT34" s="3"/>
      <c r="ADU34" s="3"/>
      <c r="ADV34" s="3"/>
      <c r="ADW34" s="3"/>
      <c r="ADY34" s="3"/>
      <c r="ADZ34" s="3"/>
      <c r="AEA34" s="3"/>
      <c r="AEB34" s="3"/>
      <c r="AED34" s="3"/>
      <c r="AEL34" s="3"/>
      <c r="AEM34" s="3"/>
      <c r="AEN34" s="3"/>
      <c r="AEP34" s="3"/>
      <c r="AEQ34" s="3"/>
      <c r="AER34" s="3"/>
      <c r="AES34" s="3"/>
      <c r="AEU34" s="3"/>
      <c r="AEV34" s="3"/>
      <c r="AEW34" s="3"/>
      <c r="AEX34" s="3"/>
      <c r="AEZ34" s="3"/>
      <c r="AFA34" s="3"/>
      <c r="AFB34" s="3"/>
      <c r="AFC34" s="3"/>
      <c r="AFE34" s="3"/>
      <c r="AFM34" s="1"/>
      <c r="AFO34" s="3"/>
      <c r="AFQ34" s="3"/>
      <c r="AFR34" s="3"/>
      <c r="AFS34" s="3"/>
      <c r="AFT34" s="3"/>
      <c r="AFV34" s="3"/>
      <c r="AFW34" s="3"/>
      <c r="AFX34" s="3"/>
      <c r="AFY34" s="3"/>
      <c r="AGA34" s="3"/>
      <c r="AGB34" s="3"/>
      <c r="AGC34" s="3"/>
      <c r="AGD34" s="3"/>
      <c r="AGF34" s="3"/>
      <c r="AGN34" s="1"/>
      <c r="AGP34" s="3"/>
      <c r="AGR34" s="3"/>
      <c r="AGS34" s="3"/>
      <c r="AGT34" s="3"/>
      <c r="AGU34" s="3"/>
      <c r="AGW34" s="3"/>
      <c r="AGX34" s="3"/>
      <c r="AGY34" s="3"/>
      <c r="AGZ34" s="3"/>
      <c r="AHB34" s="3"/>
      <c r="AHC34" s="3"/>
      <c r="AHD34" s="3"/>
      <c r="AHE34" s="3"/>
      <c r="AHG34" s="3"/>
      <c r="AHO34" s="1"/>
      <c r="AHQ34" s="3"/>
      <c r="AHS34" s="3"/>
      <c r="AHT34" s="3"/>
      <c r="AHU34" s="3"/>
      <c r="AHV34" s="3"/>
      <c r="AHX34" s="3"/>
      <c r="AHY34" s="3"/>
      <c r="AHZ34" s="3"/>
      <c r="AIA34" s="3"/>
      <c r="AIC34" s="3"/>
      <c r="AID34" s="3"/>
      <c r="AIE34" s="3"/>
      <c r="AIF34" s="3"/>
      <c r="AIH34" s="3"/>
      <c r="AIP34" s="1"/>
      <c r="AIR34" s="3"/>
      <c r="AIT34" s="3"/>
      <c r="AIU34" s="3"/>
      <c r="AIV34" s="3"/>
      <c r="AIW34" s="3"/>
      <c r="AIY34" s="3"/>
      <c r="AIZ34" s="3"/>
      <c r="AJA34" s="3"/>
      <c r="AJB34" s="3"/>
      <c r="AJD34" s="3"/>
      <c r="AJE34" s="3"/>
      <c r="AJF34" s="3"/>
      <c r="AJG34" s="3"/>
      <c r="AJI34" s="3"/>
      <c r="AJQ34" s="1"/>
      <c r="AJS34" s="3"/>
      <c r="AJU34" s="3"/>
      <c r="AJV34" s="3"/>
      <c r="AJW34" s="3"/>
      <c r="AJX34" s="3"/>
      <c r="AJZ34" s="3"/>
      <c r="AKA34" s="3"/>
      <c r="AKB34" s="3"/>
      <c r="AKC34" s="3"/>
      <c r="AKE34" s="3"/>
      <c r="AKF34" s="3"/>
      <c r="AKG34" s="3"/>
      <c r="AKH34" s="3"/>
      <c r="AKJ34" s="3"/>
      <c r="AKR34" s="1"/>
      <c r="AKT34" s="3"/>
      <c r="AKV34" s="3"/>
      <c r="AKW34" s="3"/>
      <c r="AKX34" s="3"/>
      <c r="AKY34" s="3"/>
      <c r="ALA34" s="3"/>
      <c r="ALB34" s="3"/>
      <c r="ALC34" s="3"/>
      <c r="ALD34" s="3"/>
      <c r="ALF34" s="3"/>
      <c r="ALG34" s="3"/>
      <c r="ALH34" s="3"/>
      <c r="ALI34" s="3"/>
      <c r="ALK34" s="3"/>
      <c r="ALS34" s="1"/>
      <c r="ALU34" s="3"/>
      <c r="ALW34" s="3"/>
      <c r="ALX34" s="3"/>
      <c r="ALY34" s="3"/>
      <c r="ALZ34" s="3"/>
      <c r="AMB34" s="3"/>
      <c r="AMC34" s="3"/>
      <c r="AMD34" s="3"/>
      <c r="AME34" s="3"/>
      <c r="AMG34" s="3"/>
      <c r="AMH34" s="3"/>
      <c r="AMI34" s="3"/>
      <c r="AMJ34" s="3"/>
      <c r="AML34" s="3"/>
      <c r="AMT34" s="1"/>
      <c r="AMV34" s="3"/>
      <c r="AMX34" s="3"/>
      <c r="AMY34" s="3"/>
      <c r="AMZ34" s="3"/>
      <c r="ANA34" s="3"/>
      <c r="ANC34" s="3"/>
      <c r="AND34" s="3"/>
      <c r="ANE34" s="3"/>
      <c r="ANF34" s="3"/>
      <c r="ANH34" s="3"/>
      <c r="ANI34" s="3"/>
      <c r="ANJ34" s="3"/>
      <c r="ANK34" s="3"/>
      <c r="ANM34" s="3"/>
      <c r="ANU34" s="1"/>
      <c r="ANW34" s="3"/>
      <c r="ANY34" s="3"/>
      <c r="ANZ34" s="3"/>
      <c r="AOA34" s="3"/>
      <c r="AOB34" s="3"/>
      <c r="AOD34" s="3"/>
      <c r="AOE34" s="3"/>
      <c r="AOF34" s="3"/>
      <c r="AOG34" s="3"/>
      <c r="AOI34" s="3"/>
      <c r="AOK34" s="3"/>
      <c r="AOL34" s="3"/>
      <c r="AOM34" s="3"/>
      <c r="AOO34" s="3"/>
      <c r="AOW34" s="1"/>
      <c r="AOY34" s="3"/>
      <c r="APA34" s="3"/>
      <c r="APB34" s="3"/>
      <c r="APC34" s="3"/>
      <c r="APD34" s="3"/>
      <c r="APF34" s="3"/>
      <c r="APG34" s="3"/>
      <c r="APH34" s="3"/>
      <c r="API34" s="3"/>
      <c r="APK34" s="3"/>
      <c r="APL34" s="3"/>
      <c r="APM34" s="3"/>
      <c r="APN34" s="3"/>
      <c r="APP34" s="3"/>
      <c r="APX34" s="1"/>
      <c r="APZ34" s="3"/>
      <c r="AQB34" s="3"/>
      <c r="AQC34" s="3"/>
      <c r="AQD34" s="3"/>
      <c r="AQE34" s="3"/>
      <c r="AQG34" s="3"/>
      <c r="AQH34" s="3"/>
      <c r="AQI34" s="3"/>
      <c r="AQJ34" s="3"/>
      <c r="AQL34" s="3"/>
      <c r="AQM34" s="3"/>
      <c r="AQN34" s="3"/>
      <c r="AQO34" s="3"/>
      <c r="AQQ34" s="3"/>
      <c r="AQY34" s="1"/>
      <c r="ARA34" s="3"/>
      <c r="ARC34" s="3"/>
      <c r="ARD34" s="3"/>
      <c r="ARE34" s="3"/>
      <c r="ARF34" s="3"/>
      <c r="ARH34" s="3"/>
      <c r="ARI34" s="3"/>
      <c r="ARJ34" s="3"/>
      <c r="ARK34" s="3"/>
      <c r="ARM34" s="3"/>
      <c r="ARN34" s="3"/>
      <c r="ARO34" s="3"/>
      <c r="ARP34" s="3"/>
      <c r="ARR34" s="3"/>
      <c r="ARZ34" s="1"/>
      <c r="ASB34" s="3"/>
      <c r="ASD34" s="3"/>
      <c r="ASE34" s="3"/>
      <c r="ASF34" s="3"/>
      <c r="ASG34" s="3"/>
      <c r="ASI34" s="3"/>
      <c r="ASJ34" s="3"/>
      <c r="ASK34" s="3"/>
      <c r="ASL34" s="3"/>
      <c r="ASN34" s="3"/>
      <c r="ASO34" s="3"/>
      <c r="ASP34" s="3"/>
      <c r="ASQ34" s="3"/>
      <c r="ASS34" s="3"/>
      <c r="ATA34" s="1"/>
      <c r="ATC34" s="3"/>
      <c r="ATE34" s="3"/>
      <c r="ATF34" s="3"/>
      <c r="ATG34" s="3"/>
      <c r="ATH34" s="3"/>
      <c r="ATJ34" s="3"/>
      <c r="ATK34" s="3"/>
      <c r="ATL34" s="3"/>
      <c r="ATM34" s="3"/>
      <c r="ATO34" s="3"/>
      <c r="ATP34" s="3"/>
      <c r="ATQ34" s="3"/>
      <c r="ATR34" s="3"/>
      <c r="ATT34" s="3"/>
      <c r="AUB34" s="1"/>
      <c r="AUD34" s="3"/>
      <c r="AUF34" s="3"/>
      <c r="AUG34" s="3"/>
      <c r="AUH34" s="3"/>
      <c r="AUI34" s="3"/>
      <c r="AUK34" s="3"/>
      <c r="AUL34" s="3"/>
      <c r="AUM34" s="3"/>
      <c r="AUN34" s="3"/>
      <c r="AUP34" s="3"/>
      <c r="AUQ34" s="3"/>
      <c r="AUR34" s="3"/>
      <c r="AUS34" s="3"/>
      <c r="AUU34" s="3"/>
      <c r="AVC34" s="1"/>
      <c r="AVE34" s="3"/>
      <c r="AVG34" s="3"/>
      <c r="AVH34" s="3"/>
      <c r="AVI34" s="3"/>
      <c r="AVJ34" s="3"/>
      <c r="AVL34" s="3"/>
      <c r="AVM34" s="3"/>
      <c r="AVN34" s="3"/>
      <c r="AVO34" s="3"/>
      <c r="AVQ34" s="3"/>
      <c r="AVR34" s="3"/>
      <c r="AVS34" s="3"/>
      <c r="AVT34" s="3"/>
      <c r="AVV34" s="3"/>
      <c r="AWD34" s="1"/>
      <c r="AWF34" s="3"/>
      <c r="AWH34" s="3"/>
      <c r="AWI34" s="3"/>
      <c r="AWJ34" s="3"/>
      <c r="AWK34" s="3"/>
      <c r="AWM34" s="3"/>
      <c r="AWN34" s="3"/>
      <c r="AWO34" s="3"/>
      <c r="AWP34" s="3"/>
      <c r="AWR34" s="3"/>
      <c r="AWS34" s="3"/>
      <c r="AWT34" s="3"/>
      <c r="AWU34" s="3"/>
      <c r="AWW34" s="3"/>
      <c r="AXE34" s="1"/>
      <c r="AXG34" s="3"/>
      <c r="AXI34" s="3"/>
      <c r="AXJ34" s="3"/>
      <c r="AXK34" s="3"/>
      <c r="AXL34" s="3"/>
      <c r="AXN34" s="3"/>
      <c r="AXO34" s="3"/>
      <c r="AXP34" s="3"/>
      <c r="AXQ34" s="3"/>
      <c r="AXS34" s="3"/>
      <c r="AXT34" s="3"/>
      <c r="AXU34" s="3"/>
      <c r="AXV34" s="3"/>
      <c r="AXX34" s="3"/>
      <c r="AYF34" s="1"/>
      <c r="AYH34" s="3"/>
      <c r="AYJ34" s="3"/>
      <c r="AYK34" s="3"/>
      <c r="AYL34" s="3"/>
      <c r="AYM34" s="3"/>
      <c r="AYO34" s="3"/>
      <c r="AYP34" s="3"/>
      <c r="AYQ34" s="3"/>
      <c r="AYR34" s="3"/>
      <c r="AYT34" s="3"/>
      <c r="AYU34" s="3"/>
      <c r="AYV34" s="3"/>
      <c r="AYW34" s="3"/>
      <c r="AYY34" s="3"/>
      <c r="AZG34" s="1"/>
      <c r="AZI34" s="3"/>
      <c r="AZK34" s="3"/>
      <c r="AZL34" s="3"/>
      <c r="AZM34" s="3"/>
      <c r="AZN34" s="3"/>
      <c r="AZP34" s="3"/>
      <c r="AZQ34" s="3"/>
      <c r="AZR34" s="3"/>
      <c r="AZS34" s="3"/>
      <c r="AZU34" s="3"/>
      <c r="AZV34" s="3"/>
      <c r="AZW34" s="3"/>
      <c r="AZX34" s="3"/>
      <c r="AZZ34" s="3"/>
      <c r="BAH34" s="1"/>
      <c r="BAJ34" s="3"/>
      <c r="BAL34" s="3"/>
      <c r="BAM34" s="3"/>
      <c r="BAN34" s="3"/>
      <c r="BAO34" s="3"/>
      <c r="BAQ34" s="3"/>
      <c r="BAR34" s="3"/>
      <c r="BAS34" s="3"/>
      <c r="BAT34" s="3"/>
      <c r="BAV34" s="3"/>
      <c r="BAW34" s="3"/>
      <c r="BAX34" s="3"/>
      <c r="BAY34" s="3"/>
      <c r="BBA34" s="3"/>
      <c r="BBI34" s="1"/>
      <c r="BBK34" s="3"/>
      <c r="BBM34" s="3"/>
      <c r="BBN34" s="3"/>
      <c r="BBO34" s="3"/>
      <c r="BBP34" s="3"/>
      <c r="BBR34" s="3"/>
      <c r="BBS34" s="3"/>
      <c r="BBT34" s="3"/>
      <c r="BBU34" s="3"/>
      <c r="BBW34" s="3"/>
      <c r="BBX34" s="3"/>
      <c r="BBY34" s="3"/>
      <c r="BBZ34" s="3"/>
      <c r="BCB34" s="3"/>
      <c r="BCJ34" s="1"/>
      <c r="BCL34" s="3"/>
      <c r="BCN34" s="3"/>
      <c r="BCO34" s="3"/>
      <c r="BCP34" s="3"/>
      <c r="BCQ34" s="3"/>
      <c r="BCS34" s="3"/>
      <c r="BCT34" s="3"/>
      <c r="BCU34" s="3"/>
      <c r="BCV34" s="3"/>
      <c r="BCX34" s="3"/>
      <c r="BCY34" s="3"/>
      <c r="BCZ34" s="3"/>
      <c r="BDA34" s="3"/>
      <c r="BDC34" s="3"/>
      <c r="BDK34" s="1"/>
      <c r="BDM34" s="3"/>
      <c r="BDO34" s="3"/>
      <c r="BDP34" s="3"/>
      <c r="BDQ34" s="3"/>
      <c r="BDR34" s="3"/>
      <c r="BDT34" s="3"/>
      <c r="BDU34" s="3"/>
      <c r="BDV34" s="3"/>
      <c r="BDW34" s="3"/>
      <c r="BDY34" s="3"/>
      <c r="BDZ34" s="3"/>
      <c r="BEA34" s="3"/>
      <c r="BEB34" s="3"/>
      <c r="BED34" s="3"/>
      <c r="BEL34" s="1"/>
      <c r="BEN34" s="3"/>
      <c r="BEP34" s="3"/>
      <c r="BEQ34" s="3"/>
      <c r="BER34" s="3"/>
      <c r="BES34" s="3"/>
      <c r="BEU34" s="3"/>
      <c r="BEV34" s="3"/>
      <c r="BEW34" s="3"/>
      <c r="BEX34" s="3"/>
      <c r="BEZ34" s="3"/>
      <c r="BFA34" s="3"/>
      <c r="BFB34" s="3"/>
      <c r="BFC34" s="3"/>
      <c r="BFE34" s="3"/>
      <c r="BFM34" s="1"/>
      <c r="BFO34" s="3"/>
      <c r="BFQ34" s="3"/>
      <c r="BFR34" s="3"/>
      <c r="BFS34" s="3"/>
      <c r="BFT34" s="3"/>
      <c r="BFV34" s="3"/>
      <c r="BFW34" s="3"/>
      <c r="BFX34" s="3"/>
      <c r="BFY34" s="3"/>
      <c r="BGA34" s="3"/>
      <c r="BGB34" s="3"/>
      <c r="BGC34" s="3"/>
      <c r="BGD34" s="3"/>
      <c r="BGF34" s="3"/>
    </row>
    <row r="35" spans="3:1540" ht="28.35" customHeight="1" x14ac:dyDescent="0.4">
      <c r="H35" s="3"/>
      <c r="L35" s="3"/>
      <c r="M35" s="3"/>
      <c r="N35" s="3"/>
      <c r="O35" s="3"/>
      <c r="Q35" s="3"/>
      <c r="R35" s="3"/>
      <c r="S35" s="3"/>
      <c r="T35" s="3"/>
      <c r="V35" s="3"/>
      <c r="W35" s="3"/>
      <c r="X35" s="3"/>
      <c r="Y35" s="3"/>
      <c r="AA35" s="3"/>
      <c r="AI35" s="3"/>
      <c r="AM35" s="3"/>
      <c r="AN35" s="3"/>
      <c r="AO35" s="3"/>
      <c r="AP35" s="3"/>
      <c r="AR35" s="3"/>
      <c r="AS35" s="3"/>
      <c r="AT35" s="3"/>
      <c r="AU35" s="3"/>
      <c r="AW35" s="3"/>
      <c r="AX35" s="3"/>
      <c r="AY35" s="3"/>
      <c r="AZ35" s="3"/>
      <c r="BB35" s="3"/>
      <c r="BJ35" s="3"/>
      <c r="BN35" s="3"/>
      <c r="BO35" s="3"/>
      <c r="BP35" s="3"/>
      <c r="BQ35" s="3"/>
      <c r="BS35" s="3"/>
      <c r="BT35" s="3"/>
      <c r="BU35" s="3"/>
      <c r="BV35" s="3"/>
      <c r="BX35" s="3"/>
      <c r="BY35" s="3"/>
      <c r="BZ35" s="3"/>
      <c r="CA35" s="3"/>
      <c r="CC35" s="3"/>
      <c r="CK35" s="3"/>
      <c r="CO35" s="3"/>
      <c r="CP35" s="3"/>
      <c r="CQ35" s="3"/>
      <c r="CR35" s="3"/>
      <c r="CT35" s="3"/>
      <c r="CU35" s="3"/>
      <c r="CV35" s="3"/>
      <c r="CW35" s="3"/>
      <c r="CY35" s="3"/>
      <c r="CZ35" s="3"/>
      <c r="DA35" s="3"/>
      <c r="DB35" s="3"/>
      <c r="DD35" s="3"/>
      <c r="DL35" s="3"/>
      <c r="DP35" s="3"/>
      <c r="DQ35" s="3"/>
      <c r="DR35" s="3"/>
      <c r="DS35" s="3"/>
      <c r="DU35" s="3"/>
      <c r="DV35" s="3"/>
      <c r="DW35" s="3"/>
      <c r="DX35" s="3"/>
      <c r="DZ35" s="3"/>
      <c r="EA35" s="3"/>
      <c r="EB35" s="3"/>
      <c r="EC35" s="3"/>
      <c r="EE35" s="3"/>
      <c r="EM35" s="3"/>
      <c r="EQ35" s="3"/>
      <c r="ER35" s="3"/>
      <c r="ES35" s="3"/>
      <c r="ET35" s="3"/>
      <c r="EV35" s="3"/>
      <c r="EW35" s="3"/>
      <c r="EX35" s="3"/>
      <c r="EY35" s="3"/>
      <c r="FA35" s="3"/>
      <c r="FB35" s="3"/>
      <c r="FC35" s="3"/>
      <c r="FD35" s="3"/>
      <c r="FF35" s="3"/>
      <c r="FN35" s="3"/>
      <c r="FR35" s="3"/>
      <c r="FS35" s="3"/>
      <c r="FT35" s="3"/>
      <c r="FU35" s="3"/>
      <c r="FW35" s="3"/>
      <c r="FX35" s="3"/>
      <c r="FY35" s="3"/>
      <c r="FZ35" s="3"/>
      <c r="GB35" s="3"/>
      <c r="GC35" s="3"/>
      <c r="GD35" s="3"/>
      <c r="GE35" s="3"/>
      <c r="GG35" s="3"/>
      <c r="GO35" s="3"/>
      <c r="GS35" s="3"/>
      <c r="GT35" s="3"/>
      <c r="GU35" s="3"/>
      <c r="GV35" s="3"/>
      <c r="GX35" s="3"/>
      <c r="GY35" s="3"/>
      <c r="GZ35" s="3"/>
      <c r="HA35" s="3"/>
      <c r="HC35" s="3"/>
      <c r="HD35" s="3"/>
      <c r="HE35" s="3"/>
      <c r="HF35" s="3"/>
      <c r="HH35" s="3"/>
      <c r="HP35" s="3"/>
      <c r="HT35" s="3"/>
      <c r="HU35" s="3"/>
      <c r="HV35" s="3"/>
      <c r="HW35" s="3"/>
      <c r="HY35" s="3"/>
      <c r="HZ35" s="3"/>
      <c r="IA35" s="3"/>
      <c r="IB35" s="3"/>
      <c r="ID35" s="3"/>
      <c r="IE35" s="3"/>
      <c r="IF35" s="3"/>
      <c r="IG35" s="3"/>
      <c r="II35" s="3"/>
      <c r="IQ35" s="3"/>
      <c r="IU35" s="3"/>
      <c r="IV35" s="3"/>
      <c r="IW35" s="3"/>
      <c r="IX35" s="3"/>
      <c r="IZ35" s="3"/>
      <c r="JA35" s="3"/>
      <c r="JB35" s="3"/>
      <c r="JC35" s="3"/>
      <c r="JE35" s="3"/>
      <c r="JF35" s="3"/>
      <c r="JG35" s="3"/>
      <c r="JH35" s="3"/>
      <c r="JJ35" s="3"/>
      <c r="JR35" s="3"/>
      <c r="JV35" s="3"/>
      <c r="JW35" s="3"/>
      <c r="JX35" s="3"/>
      <c r="JY35" s="3"/>
      <c r="KA35" s="3"/>
      <c r="KB35" s="3"/>
      <c r="KC35" s="3"/>
      <c r="KD35" s="3"/>
      <c r="KF35" s="3"/>
      <c r="KG35" s="3"/>
      <c r="KH35" s="3"/>
      <c r="KI35" s="3"/>
      <c r="KK35" s="3"/>
      <c r="KS35" s="3"/>
      <c r="KW35" s="3"/>
      <c r="KX35" s="3"/>
      <c r="KY35" s="3"/>
      <c r="KZ35" s="3"/>
      <c r="LB35" s="3"/>
      <c r="LC35" s="3"/>
      <c r="LD35" s="3"/>
      <c r="LE35" s="3"/>
      <c r="LG35" s="3"/>
      <c r="LH35" s="3"/>
      <c r="LI35" s="3"/>
      <c r="LJ35" s="3"/>
      <c r="LL35" s="3"/>
      <c r="LT35" s="3"/>
      <c r="LX35" s="3"/>
      <c r="LY35" s="3"/>
      <c r="LZ35" s="3"/>
      <c r="MA35" s="3"/>
      <c r="MC35" s="3"/>
      <c r="MD35" s="3"/>
      <c r="ME35" s="3"/>
      <c r="MF35" s="3"/>
      <c r="MH35" s="3"/>
      <c r="MI35" s="3"/>
      <c r="MJ35" s="3"/>
      <c r="MK35" s="3"/>
      <c r="MM35" s="3"/>
      <c r="MU35" s="3"/>
      <c r="MY35" s="3"/>
      <c r="MZ35" s="3"/>
      <c r="NA35" s="3"/>
      <c r="NB35" s="3"/>
      <c r="ND35" s="3"/>
      <c r="NE35" s="3"/>
      <c r="NF35" s="3"/>
      <c r="NG35" s="3"/>
      <c r="NI35" s="3"/>
      <c r="NJ35" s="3"/>
      <c r="NK35" s="3"/>
      <c r="NL35" s="3"/>
      <c r="NN35" s="3"/>
      <c r="NV35" s="3"/>
      <c r="NZ35" s="3"/>
      <c r="OA35" s="3"/>
      <c r="OB35" s="3"/>
      <c r="OC35" s="3"/>
      <c r="OE35" s="3"/>
      <c r="OF35" s="3"/>
      <c r="OG35" s="3"/>
      <c r="OH35" s="3"/>
      <c r="OJ35" s="3"/>
      <c r="OK35" s="3"/>
      <c r="OL35" s="3"/>
      <c r="OM35" s="3"/>
      <c r="OW35" s="3"/>
      <c r="PA35" s="3"/>
      <c r="PB35" s="3"/>
      <c r="PC35" s="3"/>
      <c r="PD35" s="3"/>
      <c r="PF35" s="3"/>
      <c r="PG35" s="3"/>
      <c r="PH35" s="3"/>
      <c r="PI35" s="3"/>
      <c r="PK35" s="3"/>
      <c r="PL35" s="3"/>
      <c r="PM35" s="3"/>
      <c r="PN35" s="3"/>
      <c r="PX35" s="3"/>
      <c r="QB35" s="3"/>
      <c r="QC35" s="3"/>
      <c r="QD35" s="3"/>
      <c r="QE35" s="3"/>
      <c r="QG35" s="3"/>
      <c r="QH35" s="3"/>
      <c r="QI35" s="3"/>
      <c r="QJ35" s="3"/>
      <c r="QL35" s="3"/>
      <c r="QM35" s="3"/>
      <c r="QN35" s="3"/>
      <c r="QO35" s="3"/>
      <c r="QY35" s="3"/>
      <c r="RC35" s="3"/>
      <c r="RD35" s="3"/>
      <c r="RE35" s="3"/>
      <c r="RF35" s="3"/>
      <c r="RH35" s="3"/>
      <c r="RI35" s="3"/>
      <c r="RJ35" s="3"/>
      <c r="RK35" s="3"/>
      <c r="RM35" s="3"/>
      <c r="RN35" s="3"/>
      <c r="RO35" s="3"/>
      <c r="RP35" s="3"/>
      <c r="RR35" s="3"/>
      <c r="RZ35" s="3"/>
      <c r="SD35" s="3"/>
      <c r="SE35" s="3"/>
      <c r="SF35" s="3"/>
      <c r="SG35" s="3"/>
      <c r="SI35" s="3"/>
      <c r="SJ35" s="3"/>
      <c r="SK35" s="3"/>
      <c r="SL35" s="3"/>
      <c r="SN35" s="3"/>
      <c r="SO35" s="3"/>
      <c r="SP35" s="3"/>
      <c r="SQ35" s="3"/>
      <c r="SS35" s="3"/>
      <c r="TA35" s="3"/>
      <c r="TE35" s="3"/>
      <c r="TF35" s="3"/>
      <c r="TG35" s="3"/>
      <c r="TH35" s="3"/>
      <c r="TJ35" s="3"/>
      <c r="TK35" s="3"/>
      <c r="TL35" s="3"/>
      <c r="TM35" s="3"/>
      <c r="TO35" s="3"/>
      <c r="TP35" s="3"/>
      <c r="TQ35" s="3"/>
      <c r="TR35" s="3"/>
      <c r="TT35" s="3"/>
      <c r="UB35" s="3"/>
      <c r="UF35" s="3"/>
      <c r="UG35" s="3"/>
      <c r="UH35" s="3"/>
      <c r="UI35" s="3"/>
      <c r="UK35" s="3"/>
      <c r="UL35" s="3"/>
      <c r="UM35" s="3"/>
      <c r="UN35" s="3"/>
      <c r="UP35" s="3"/>
      <c r="UQ35" s="3"/>
      <c r="UR35" s="3"/>
      <c r="US35" s="3"/>
      <c r="UU35" s="3"/>
      <c r="VC35" s="3"/>
      <c r="VG35" s="3"/>
      <c r="VH35" s="3"/>
      <c r="VI35" s="3"/>
      <c r="VJ35" s="3"/>
      <c r="VL35" s="3"/>
      <c r="VM35" s="3"/>
      <c r="VN35" s="3"/>
      <c r="VO35" s="3"/>
      <c r="VQ35" s="3"/>
      <c r="VR35" s="3"/>
      <c r="VS35" s="3"/>
      <c r="VT35" s="3"/>
      <c r="VV35" s="3"/>
      <c r="WD35" s="3"/>
      <c r="WH35" s="3"/>
      <c r="WI35" s="3"/>
      <c r="WJ35" s="3"/>
      <c r="WK35" s="3"/>
      <c r="WM35" s="3"/>
      <c r="WN35" s="3"/>
      <c r="WO35" s="3"/>
      <c r="WP35" s="3"/>
      <c r="WR35" s="3"/>
      <c r="WS35" s="3"/>
      <c r="WT35" s="3"/>
      <c r="WU35" s="3"/>
      <c r="WW35" s="3"/>
      <c r="XE35" s="3"/>
      <c r="XI35" s="3"/>
      <c r="XJ35" s="3"/>
      <c r="XK35" s="3"/>
      <c r="XL35" s="3"/>
      <c r="XN35" s="3"/>
      <c r="XO35" s="3"/>
      <c r="XP35" s="3"/>
      <c r="XQ35" s="3"/>
      <c r="XS35" s="3"/>
      <c r="XT35" s="3"/>
      <c r="XU35" s="3"/>
      <c r="XV35" s="3"/>
      <c r="XX35" s="3"/>
      <c r="YF35" s="3"/>
      <c r="YJ35" s="3"/>
      <c r="YK35" s="3"/>
      <c r="YL35" s="3"/>
      <c r="YM35" s="3"/>
      <c r="YO35" s="3"/>
      <c r="YP35" s="3"/>
      <c r="YQ35" s="3"/>
      <c r="YR35" s="3"/>
      <c r="YT35" s="3"/>
      <c r="YU35" s="3"/>
      <c r="YV35" s="3"/>
      <c r="YW35" s="3"/>
      <c r="YY35" s="3"/>
      <c r="ZG35" s="3"/>
      <c r="ZK35" s="3"/>
      <c r="ZL35" s="3"/>
      <c r="ZM35" s="3"/>
      <c r="ZN35" s="3"/>
      <c r="ZP35" s="3"/>
      <c r="ZQ35" s="3"/>
      <c r="ZR35" s="3"/>
      <c r="ZS35" s="3"/>
      <c r="ZU35" s="3"/>
      <c r="ZV35" s="3"/>
      <c r="ZW35" s="3"/>
      <c r="ZX35" s="3"/>
      <c r="ZZ35" s="3"/>
      <c r="AAH35" s="3"/>
      <c r="AAL35" s="3"/>
      <c r="AAM35" s="3"/>
      <c r="AAN35" s="3"/>
      <c r="AAO35" s="3"/>
      <c r="AAQ35" s="3"/>
      <c r="AAR35" s="3"/>
      <c r="AAS35" s="3"/>
      <c r="AAT35" s="3"/>
      <c r="AAV35" s="3"/>
      <c r="AAW35" s="3"/>
      <c r="AAX35" s="3"/>
      <c r="AAY35" s="3"/>
      <c r="ABA35" s="3"/>
      <c r="ABI35" s="3"/>
      <c r="ABM35" s="3"/>
      <c r="ABN35" s="3"/>
      <c r="ABO35" s="3"/>
      <c r="ABP35" s="3"/>
      <c r="ABR35" s="3"/>
      <c r="ABS35" s="3"/>
      <c r="ABT35" s="3"/>
      <c r="ABU35" s="3"/>
      <c r="ABW35" s="3"/>
      <c r="ABX35" s="3"/>
      <c r="ABY35" s="3"/>
      <c r="ABZ35" s="3"/>
      <c r="ACB35" s="3"/>
      <c r="ACJ35" s="3"/>
      <c r="ACK35" s="3"/>
      <c r="ACL35" s="3"/>
      <c r="ACN35" s="3"/>
      <c r="ACO35" s="3"/>
      <c r="ACP35" s="3"/>
      <c r="ACQ35" s="3"/>
      <c r="ACS35" s="3"/>
      <c r="ACT35" s="3"/>
      <c r="ACU35" s="3"/>
      <c r="ACV35" s="3"/>
      <c r="ACX35" s="3"/>
      <c r="ACY35" s="3"/>
      <c r="ACZ35" s="3"/>
      <c r="ADA35" s="3"/>
      <c r="ADC35" s="3"/>
      <c r="ADK35" s="3"/>
      <c r="ADL35" s="3"/>
      <c r="ADM35" s="3"/>
      <c r="ADO35" s="3"/>
      <c r="ADP35" s="3"/>
      <c r="ADQ35" s="3"/>
      <c r="ADR35" s="3"/>
      <c r="ADT35" s="3"/>
      <c r="ADU35" s="3"/>
      <c r="ADV35" s="3"/>
      <c r="ADW35" s="3"/>
      <c r="ADY35" s="3"/>
      <c r="ADZ35" s="3"/>
      <c r="AEA35" s="3"/>
      <c r="AEB35" s="3"/>
      <c r="AED35" s="3"/>
      <c r="AEL35" s="3"/>
      <c r="AEM35" s="3"/>
      <c r="AEN35" s="3"/>
      <c r="AEP35" s="3"/>
      <c r="AEQ35" s="3"/>
      <c r="AER35" s="3"/>
      <c r="AES35" s="3"/>
      <c r="AEU35" s="3"/>
      <c r="AEV35" s="3"/>
      <c r="AEW35" s="3"/>
      <c r="AEX35" s="3"/>
      <c r="AEZ35" s="3"/>
      <c r="AFA35" s="3"/>
      <c r="AFB35" s="3"/>
      <c r="AFC35" s="3"/>
      <c r="AFE35" s="3"/>
      <c r="AFM35" s="3"/>
      <c r="AFQ35" s="3"/>
      <c r="AFR35" s="3"/>
      <c r="AFS35" s="3"/>
      <c r="AFT35" s="3"/>
      <c r="AFV35" s="3"/>
      <c r="AFW35" s="3"/>
      <c r="AFX35" s="3"/>
      <c r="AFY35" s="3"/>
      <c r="AGA35" s="3"/>
      <c r="AGB35" s="3"/>
      <c r="AGC35" s="3"/>
      <c r="AGD35" s="3"/>
      <c r="AGF35" s="3"/>
      <c r="AGN35" s="3"/>
      <c r="AGR35" s="3"/>
      <c r="AGS35" s="3"/>
      <c r="AGT35" s="3"/>
      <c r="AGU35" s="3"/>
      <c r="AGW35" s="3"/>
      <c r="AGX35" s="3"/>
      <c r="AGY35" s="3"/>
      <c r="AGZ35" s="3"/>
      <c r="AHB35" s="3"/>
      <c r="AHC35" s="3"/>
      <c r="AHD35" s="3"/>
      <c r="AHE35" s="3"/>
      <c r="AHG35" s="3"/>
      <c r="AHO35" s="3"/>
      <c r="AHS35" s="3"/>
      <c r="AHT35" s="3"/>
      <c r="AHU35" s="3"/>
      <c r="AHV35" s="3"/>
      <c r="AHX35" s="3"/>
      <c r="AHY35" s="3"/>
      <c r="AHZ35" s="3"/>
      <c r="AIA35" s="3"/>
      <c r="AIC35" s="3"/>
      <c r="AID35" s="3"/>
      <c r="AIE35" s="3"/>
      <c r="AIF35" s="3"/>
      <c r="AIH35" s="3"/>
      <c r="AIP35" s="3"/>
      <c r="AIT35" s="3"/>
      <c r="AIU35" s="3"/>
      <c r="AIV35" s="3"/>
      <c r="AIW35" s="3"/>
      <c r="AIY35" s="3"/>
      <c r="AIZ35" s="3"/>
      <c r="AJA35" s="3"/>
      <c r="AJB35" s="3"/>
      <c r="AJD35" s="3"/>
      <c r="AJE35" s="3"/>
      <c r="AJF35" s="3"/>
      <c r="AJG35" s="3"/>
      <c r="AJI35" s="3"/>
      <c r="AJQ35" s="3"/>
      <c r="AJU35" s="3"/>
      <c r="AJV35" s="3"/>
      <c r="AJW35" s="3"/>
      <c r="AJX35" s="3"/>
      <c r="AJZ35" s="3"/>
      <c r="AKA35" s="3"/>
      <c r="AKB35" s="3"/>
      <c r="AKC35" s="3"/>
      <c r="AKE35" s="3"/>
      <c r="AKF35" s="3"/>
      <c r="AKG35" s="3"/>
      <c r="AKH35" s="3"/>
      <c r="AKJ35" s="3"/>
      <c r="AKR35" s="3"/>
      <c r="AKV35" s="3"/>
      <c r="AKW35" s="3"/>
      <c r="AKX35" s="3"/>
      <c r="AKY35" s="3"/>
      <c r="ALA35" s="3"/>
      <c r="ALB35" s="3"/>
      <c r="ALC35" s="3"/>
      <c r="ALD35" s="3"/>
      <c r="ALF35" s="3"/>
      <c r="ALG35" s="3"/>
      <c r="ALH35" s="3"/>
      <c r="ALI35" s="3"/>
      <c r="ALK35" s="3"/>
      <c r="ALS35" s="3"/>
      <c r="ALW35" s="3"/>
      <c r="ALX35" s="3"/>
      <c r="ALY35" s="3"/>
      <c r="ALZ35" s="3"/>
      <c r="AMB35" s="3"/>
      <c r="AMC35" s="3"/>
      <c r="AMD35" s="3"/>
      <c r="AME35" s="3"/>
      <c r="AMG35" s="3"/>
      <c r="AMH35" s="3"/>
      <c r="AMI35" s="3"/>
      <c r="AMJ35" s="3"/>
      <c r="AML35" s="3"/>
      <c r="AMT35" s="3"/>
      <c r="AMX35" s="3"/>
      <c r="AMY35" s="3"/>
      <c r="AMZ35" s="3"/>
      <c r="ANA35" s="3"/>
      <c r="ANC35" s="3"/>
      <c r="AND35" s="3"/>
      <c r="ANE35" s="3"/>
      <c r="ANF35" s="3"/>
      <c r="ANH35" s="3"/>
      <c r="ANI35" s="3"/>
      <c r="ANJ35" s="3"/>
      <c r="ANK35" s="3"/>
      <c r="ANM35" s="3"/>
      <c r="ANU35" s="3"/>
      <c r="ANY35" s="3"/>
      <c r="ANZ35" s="3"/>
      <c r="AOA35" s="3"/>
      <c r="AOB35" s="3"/>
      <c r="AOD35" s="3"/>
      <c r="AOE35" s="3"/>
      <c r="AOF35" s="3"/>
      <c r="AOG35" s="3"/>
      <c r="AOI35" s="3"/>
      <c r="AOK35" s="3"/>
      <c r="AOL35" s="3"/>
      <c r="AOM35" s="3"/>
      <c r="AOO35" s="3"/>
      <c r="AOW35" s="3"/>
      <c r="APA35" s="3"/>
      <c r="APB35" s="3"/>
      <c r="APC35" s="3"/>
      <c r="APD35" s="3"/>
      <c r="APF35" s="3"/>
      <c r="APG35" s="3"/>
      <c r="APH35" s="3"/>
      <c r="API35" s="3"/>
      <c r="APK35" s="3"/>
      <c r="APL35" s="3"/>
      <c r="APM35" s="3"/>
      <c r="APN35" s="3"/>
      <c r="APP35" s="3"/>
      <c r="APX35" s="3"/>
      <c r="AQB35" s="3"/>
      <c r="AQC35" s="3"/>
      <c r="AQD35" s="3"/>
      <c r="AQE35" s="3"/>
      <c r="AQG35" s="3"/>
      <c r="AQH35" s="3"/>
      <c r="AQI35" s="3"/>
      <c r="AQJ35" s="3"/>
      <c r="AQL35" s="3"/>
      <c r="AQM35" s="3"/>
      <c r="AQN35" s="3"/>
      <c r="AQO35" s="3"/>
      <c r="AQQ35" s="3"/>
      <c r="AQY35" s="3"/>
      <c r="ARC35" s="3"/>
      <c r="ARD35" s="3"/>
      <c r="ARE35" s="3"/>
      <c r="ARF35" s="3"/>
      <c r="ARH35" s="3"/>
      <c r="ARI35" s="3"/>
      <c r="ARJ35" s="3"/>
      <c r="ARK35" s="3"/>
      <c r="ARM35" s="3"/>
      <c r="ARN35" s="3"/>
      <c r="ARO35" s="3"/>
      <c r="ARP35" s="3"/>
      <c r="ARR35" s="3"/>
      <c r="ARZ35" s="3"/>
      <c r="ASD35" s="3"/>
      <c r="ASE35" s="3"/>
      <c r="ASF35" s="3"/>
      <c r="ASG35" s="3"/>
      <c r="ASI35" s="3"/>
      <c r="ASJ35" s="3"/>
      <c r="ASK35" s="3"/>
      <c r="ASL35" s="3"/>
      <c r="ASN35" s="3"/>
      <c r="ASO35" s="3"/>
      <c r="ASP35" s="3"/>
      <c r="ASQ35" s="3"/>
      <c r="ASS35" s="3"/>
      <c r="ATA35" s="3"/>
      <c r="ATE35" s="3"/>
      <c r="ATF35" s="3"/>
      <c r="ATG35" s="3"/>
      <c r="ATH35" s="3"/>
      <c r="ATJ35" s="3"/>
      <c r="ATK35" s="3"/>
      <c r="ATL35" s="3"/>
      <c r="ATM35" s="3"/>
      <c r="ATO35" s="3"/>
      <c r="ATP35" s="3"/>
      <c r="ATQ35" s="3"/>
      <c r="ATR35" s="3"/>
      <c r="ATT35" s="3"/>
      <c r="AUB35" s="3"/>
      <c r="AUF35" s="3"/>
      <c r="AUG35" s="3"/>
      <c r="AUH35" s="3"/>
      <c r="AUI35" s="3"/>
      <c r="AUK35" s="3"/>
      <c r="AUL35" s="3"/>
      <c r="AUM35" s="3"/>
      <c r="AUN35" s="3"/>
      <c r="AUP35" s="3"/>
      <c r="AUQ35" s="3"/>
      <c r="AUR35" s="3"/>
      <c r="AUS35" s="3"/>
      <c r="AUU35" s="3"/>
      <c r="AVC35" s="3"/>
      <c r="AVG35" s="3"/>
      <c r="AVH35" s="3"/>
      <c r="AVI35" s="3"/>
      <c r="AVJ35" s="3"/>
      <c r="AVL35" s="3"/>
      <c r="AVM35" s="3"/>
      <c r="AVN35" s="3"/>
      <c r="AVO35" s="3"/>
      <c r="AVQ35" s="3"/>
      <c r="AVR35" s="3"/>
      <c r="AVS35" s="3"/>
      <c r="AVT35" s="3"/>
      <c r="AVV35" s="3"/>
      <c r="AWD35" s="3"/>
      <c r="AWH35" s="3"/>
      <c r="AWI35" s="3"/>
      <c r="AWJ35" s="3"/>
      <c r="AWK35" s="3"/>
      <c r="AWM35" s="3"/>
      <c r="AWN35" s="3"/>
      <c r="AWO35" s="3"/>
      <c r="AWP35" s="3"/>
      <c r="AWR35" s="3"/>
      <c r="AWS35" s="3"/>
      <c r="AWT35" s="3"/>
      <c r="AWU35" s="3"/>
      <c r="AWW35" s="3"/>
      <c r="AXE35" s="3"/>
      <c r="AXI35" s="3"/>
      <c r="AXJ35" s="3"/>
      <c r="AXK35" s="3"/>
      <c r="AXL35" s="3"/>
      <c r="AXN35" s="3"/>
      <c r="AXO35" s="3"/>
      <c r="AXP35" s="3"/>
      <c r="AXQ35" s="3"/>
      <c r="AXS35" s="3"/>
      <c r="AXT35" s="3"/>
      <c r="AXU35" s="3"/>
      <c r="AXV35" s="3"/>
      <c r="AXX35" s="3"/>
      <c r="AYF35" s="3"/>
      <c r="AYJ35" s="3"/>
      <c r="AYK35" s="3"/>
      <c r="AYL35" s="3"/>
      <c r="AYM35" s="3"/>
      <c r="AYO35" s="3"/>
      <c r="AYP35" s="3"/>
      <c r="AYQ35" s="3"/>
      <c r="AYR35" s="3"/>
      <c r="AYT35" s="3"/>
      <c r="AYU35" s="3"/>
      <c r="AYV35" s="3"/>
      <c r="AYW35" s="3"/>
      <c r="AYY35" s="3"/>
      <c r="AZG35" s="3"/>
      <c r="AZK35" s="3"/>
      <c r="AZL35" s="3"/>
      <c r="AZM35" s="3"/>
      <c r="AZN35" s="3"/>
      <c r="AZP35" s="3"/>
      <c r="AZQ35" s="3"/>
      <c r="AZR35" s="3"/>
      <c r="AZS35" s="3"/>
      <c r="AZU35" s="3"/>
      <c r="AZV35" s="3"/>
      <c r="AZW35" s="3"/>
      <c r="AZX35" s="3"/>
      <c r="AZZ35" s="3"/>
      <c r="BAH35" s="3"/>
      <c r="BAL35" s="3"/>
      <c r="BAM35" s="3"/>
      <c r="BAN35" s="3"/>
      <c r="BAO35" s="3"/>
      <c r="BAQ35" s="3"/>
      <c r="BAR35" s="3"/>
      <c r="BAS35" s="3"/>
      <c r="BAT35" s="3"/>
      <c r="BAV35" s="3"/>
      <c r="BAW35" s="3"/>
      <c r="BAX35" s="3"/>
      <c r="BAY35" s="3"/>
      <c r="BBA35" s="3"/>
      <c r="BBI35" s="3"/>
      <c r="BBM35" s="3"/>
      <c r="BBN35" s="3"/>
      <c r="BBO35" s="3"/>
      <c r="BBP35" s="3"/>
      <c r="BBR35" s="3"/>
      <c r="BBS35" s="3"/>
      <c r="BBT35" s="3"/>
      <c r="BBU35" s="3"/>
      <c r="BBW35" s="3"/>
      <c r="BBX35" s="3"/>
      <c r="BBY35" s="3"/>
      <c r="BBZ35" s="3"/>
      <c r="BCB35" s="3"/>
      <c r="BCJ35" s="3"/>
      <c r="BCN35" s="3"/>
      <c r="BCO35" s="3"/>
      <c r="BCP35" s="3"/>
      <c r="BCQ35" s="3"/>
      <c r="BCS35" s="3"/>
      <c r="BCT35" s="3"/>
      <c r="BCU35" s="3"/>
      <c r="BCV35" s="3"/>
      <c r="BCX35" s="3"/>
      <c r="BCY35" s="3"/>
      <c r="BCZ35" s="3"/>
      <c r="BDA35" s="3"/>
      <c r="BDC35" s="3"/>
      <c r="BDK35" s="3"/>
      <c r="BDO35" s="3"/>
      <c r="BDP35" s="3"/>
      <c r="BDQ35" s="3"/>
      <c r="BDR35" s="3"/>
      <c r="BDT35" s="3"/>
      <c r="BDU35" s="3"/>
      <c r="BDV35" s="3"/>
      <c r="BDW35" s="3"/>
      <c r="BDY35" s="3"/>
      <c r="BDZ35" s="3"/>
      <c r="BEA35" s="3"/>
      <c r="BEB35" s="3"/>
      <c r="BED35" s="3"/>
      <c r="BEL35" s="3"/>
      <c r="BEP35" s="3"/>
      <c r="BEQ35" s="3"/>
      <c r="BER35" s="3"/>
      <c r="BES35" s="3"/>
      <c r="BEU35" s="3"/>
      <c r="BEV35" s="3"/>
      <c r="BEW35" s="3"/>
      <c r="BEX35" s="3"/>
      <c r="BEZ35" s="3"/>
      <c r="BFA35" s="3"/>
      <c r="BFB35" s="3"/>
      <c r="BFC35" s="3"/>
      <c r="BFE35" s="3"/>
      <c r="BFM35" s="3"/>
      <c r="BFQ35" s="3"/>
      <c r="BFR35" s="3"/>
      <c r="BFS35" s="3"/>
      <c r="BFT35" s="3"/>
      <c r="BFV35" s="3"/>
      <c r="BFW35" s="3"/>
      <c r="BFX35" s="3"/>
      <c r="BFY35" s="3"/>
      <c r="BGA35" s="3"/>
      <c r="BGB35" s="3"/>
      <c r="BGC35" s="3"/>
      <c r="BGD35" s="3"/>
      <c r="BGF35" s="3"/>
    </row>
    <row r="36" spans="3:1540" ht="28.35" customHeight="1" x14ac:dyDescent="0.4">
      <c r="C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D36" s="1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E36" s="1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F36" s="1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G36" s="1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H36" s="1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I36" s="1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J36" s="1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K36" s="1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L36" s="1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M36" s="1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N36" s="1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O36" s="1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P36" s="1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Q36" s="1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R36" s="1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S36" s="1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T36" s="1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U36" s="1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V36" s="1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W36" s="1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X36" s="1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Y36" s="1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Z36" s="1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YA36" s="1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ZB36" s="1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C36" s="1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D36" s="1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E36" s="1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F36" s="1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G36" s="1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H36" s="1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I36" s="1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J36" s="1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K36" s="1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L36" s="1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M36" s="1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N36" s="1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O36" s="1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P36" s="1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R36" s="1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S36" s="1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T36" s="1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U36" s="1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V36" s="1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W36" s="1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X36" s="1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Y36" s="1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Z36" s="1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YA36" s="1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ZB36" s="1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C36" s="1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D36" s="1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E36" s="1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F36" s="1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G36" s="1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H36" s="1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</row>
    <row r="37" spans="3:1540" ht="28.35" customHeight="1" x14ac:dyDescent="0.4"/>
    <row r="38" spans="3:1540" ht="28.35" customHeight="1" x14ac:dyDescent="0.4"/>
    <row r="39" spans="3:1540" ht="28.35" customHeight="1" x14ac:dyDescent="0.4"/>
    <row r="40" spans="3:1540" ht="28.35" customHeight="1" x14ac:dyDescent="0.4"/>
    <row r="41" spans="3:1540" ht="28.35" customHeight="1" x14ac:dyDescent="0.4">
      <c r="L41" s="1"/>
      <c r="AM41" s="1"/>
      <c r="BN41" s="1" t="s">
        <v>727</v>
      </c>
      <c r="CO41" s="1" t="s">
        <v>727</v>
      </c>
      <c r="DP41" s="1"/>
      <c r="EE41" s="1" t="s">
        <v>727</v>
      </c>
      <c r="EQ41" s="1"/>
      <c r="FF41" s="1" t="s">
        <v>727</v>
      </c>
      <c r="FR41" s="1" t="s">
        <v>727</v>
      </c>
      <c r="GS41" s="1"/>
      <c r="HH41" s="1" t="s">
        <v>727</v>
      </c>
      <c r="HT41" s="1"/>
      <c r="IU41" s="1"/>
      <c r="JV41" s="1" t="s">
        <v>727</v>
      </c>
      <c r="KW41" s="1" t="s">
        <v>727</v>
      </c>
      <c r="LX41" s="1" t="s">
        <v>727</v>
      </c>
      <c r="MY41" s="1" t="s">
        <v>727</v>
      </c>
      <c r="NZ41" s="1" t="s">
        <v>727</v>
      </c>
      <c r="PA41" s="1" t="s">
        <v>727</v>
      </c>
      <c r="QB41" s="1" t="s">
        <v>727</v>
      </c>
      <c r="RC41" s="1" t="s">
        <v>727</v>
      </c>
      <c r="SD41" s="1" t="s">
        <v>727</v>
      </c>
      <c r="TE41" s="1" t="s">
        <v>727</v>
      </c>
      <c r="UF41" s="1" t="s">
        <v>727</v>
      </c>
      <c r="VG41" s="1" t="s">
        <v>727</v>
      </c>
      <c r="WH41" s="1" t="s">
        <v>727</v>
      </c>
      <c r="XI41" s="1" t="s">
        <v>727</v>
      </c>
      <c r="YJ41" s="1" t="s">
        <v>727</v>
      </c>
      <c r="ZK41" s="1" t="s">
        <v>727</v>
      </c>
      <c r="AAL41" s="1" t="s">
        <v>727</v>
      </c>
      <c r="ABM41" s="1" t="s">
        <v>727</v>
      </c>
      <c r="ACN41" s="1" t="s">
        <v>727</v>
      </c>
      <c r="ADO41" s="1" t="s">
        <v>727</v>
      </c>
      <c r="AEP41" s="1" t="s">
        <v>727</v>
      </c>
      <c r="AFQ41" s="1" t="s">
        <v>727</v>
      </c>
      <c r="AGR41" s="1" t="s">
        <v>727</v>
      </c>
      <c r="AHS41" s="1" t="s">
        <v>727</v>
      </c>
      <c r="AIH41" s="1" t="s">
        <v>727</v>
      </c>
      <c r="AIT41" s="1" t="s">
        <v>727</v>
      </c>
      <c r="AJI41" s="1" t="s">
        <v>727</v>
      </c>
      <c r="AJU41" s="1" t="s">
        <v>727</v>
      </c>
      <c r="AKJ41" s="1" t="s">
        <v>727</v>
      </c>
      <c r="AKV41" s="1" t="s">
        <v>727</v>
      </c>
      <c r="ALK41" s="1" t="s">
        <v>727</v>
      </c>
      <c r="ALW41" s="1" t="s">
        <v>727</v>
      </c>
      <c r="AML41" s="1" t="s">
        <v>727</v>
      </c>
      <c r="AMX41" s="1" t="s">
        <v>727</v>
      </c>
      <c r="ANY41" s="1" t="s">
        <v>727</v>
      </c>
      <c r="APA41" s="1" t="s">
        <v>727</v>
      </c>
      <c r="AQB41" s="1" t="s">
        <v>727</v>
      </c>
      <c r="ARC41" s="1" t="s">
        <v>727</v>
      </c>
      <c r="ASD41" s="1" t="s">
        <v>727</v>
      </c>
      <c r="ATE41" s="1" t="s">
        <v>727</v>
      </c>
      <c r="AUF41" s="1" t="s">
        <v>727</v>
      </c>
      <c r="AVG41" s="1" t="s">
        <v>727</v>
      </c>
      <c r="AWH41" s="1" t="s">
        <v>727</v>
      </c>
      <c r="AXI41" s="1" t="s">
        <v>727</v>
      </c>
      <c r="AYJ41" s="1" t="s">
        <v>727</v>
      </c>
      <c r="AZK41" s="1" t="s">
        <v>727</v>
      </c>
      <c r="BAL41" s="1" t="s">
        <v>727</v>
      </c>
      <c r="BBM41" s="1" t="s">
        <v>727</v>
      </c>
      <c r="BCN41" s="1" t="s">
        <v>727</v>
      </c>
      <c r="BDO41" s="1" t="s">
        <v>727</v>
      </c>
      <c r="BEP41" s="1" t="s">
        <v>727</v>
      </c>
      <c r="BFQ41" s="1" t="s">
        <v>727</v>
      </c>
    </row>
    <row r="42" spans="3:1540" ht="28.35" customHeight="1" x14ac:dyDescent="0.4">
      <c r="BN42" s="2" t="s">
        <v>729</v>
      </c>
      <c r="CO42" s="2" t="s">
        <v>729</v>
      </c>
      <c r="EE42" s="2" t="s">
        <v>729</v>
      </c>
      <c r="FF42" s="2" t="s">
        <v>729</v>
      </c>
      <c r="FR42" s="2" t="s">
        <v>729</v>
      </c>
      <c r="HH42" s="2" t="s">
        <v>729</v>
      </c>
      <c r="JV42" s="2" t="s">
        <v>729</v>
      </c>
      <c r="KW42" s="2" t="s">
        <v>729</v>
      </c>
      <c r="LX42" s="2" t="s">
        <v>729</v>
      </c>
      <c r="MY42" s="2" t="s">
        <v>729</v>
      </c>
      <c r="NZ42" s="2" t="s">
        <v>729</v>
      </c>
      <c r="PA42" s="2" t="s">
        <v>729</v>
      </c>
      <c r="QB42" s="2" t="s">
        <v>729</v>
      </c>
      <c r="RC42" s="2" t="s">
        <v>729</v>
      </c>
      <c r="SD42" s="2" t="s">
        <v>729</v>
      </c>
      <c r="TE42" s="2" t="s">
        <v>729</v>
      </c>
      <c r="UF42" s="2" t="s">
        <v>729</v>
      </c>
      <c r="VG42" s="2" t="s">
        <v>729</v>
      </c>
      <c r="WH42" s="2" t="s">
        <v>729</v>
      </c>
      <c r="XI42" s="2" t="s">
        <v>729</v>
      </c>
      <c r="YJ42" s="2" t="s">
        <v>729</v>
      </c>
      <c r="ZK42" s="2" t="s">
        <v>729</v>
      </c>
      <c r="AAL42" s="2" t="s">
        <v>729</v>
      </c>
      <c r="ABM42" s="2" t="s">
        <v>729</v>
      </c>
      <c r="ACN42" s="2" t="s">
        <v>729</v>
      </c>
      <c r="ADO42" s="2" t="s">
        <v>729</v>
      </c>
      <c r="AEP42" s="2" t="s">
        <v>729</v>
      </c>
      <c r="AFQ42" s="2" t="s">
        <v>729</v>
      </c>
      <c r="AGR42" s="2" t="s">
        <v>729</v>
      </c>
      <c r="AHS42" s="2" t="s">
        <v>729</v>
      </c>
      <c r="AIH42" s="2" t="s">
        <v>729</v>
      </c>
      <c r="AIT42" s="2" t="s">
        <v>729</v>
      </c>
      <c r="AJI42" s="2" t="s">
        <v>729</v>
      </c>
      <c r="AJU42" s="2" t="s">
        <v>729</v>
      </c>
      <c r="AKJ42" s="2" t="s">
        <v>729</v>
      </c>
      <c r="AKV42" s="2" t="s">
        <v>729</v>
      </c>
      <c r="ALK42" s="2" t="s">
        <v>729</v>
      </c>
      <c r="ALW42" s="2" t="s">
        <v>729</v>
      </c>
      <c r="AML42" s="2" t="s">
        <v>729</v>
      </c>
      <c r="AMX42" s="2" t="s">
        <v>729</v>
      </c>
      <c r="ANY42" s="2" t="s">
        <v>729</v>
      </c>
      <c r="APA42" s="2" t="s">
        <v>729</v>
      </c>
      <c r="AQB42" s="2" t="s">
        <v>729</v>
      </c>
      <c r="ARC42" s="2" t="s">
        <v>729</v>
      </c>
      <c r="ASD42" s="2" t="s">
        <v>729</v>
      </c>
      <c r="ATE42" s="2" t="s">
        <v>729</v>
      </c>
      <c r="AUF42" s="2" t="s">
        <v>729</v>
      </c>
      <c r="AVG42" s="2" t="s">
        <v>729</v>
      </c>
      <c r="AWH42" s="2" t="s">
        <v>729</v>
      </c>
      <c r="AXI42" s="2" t="s">
        <v>729</v>
      </c>
      <c r="AYJ42" s="2" t="s">
        <v>729</v>
      </c>
      <c r="AZK42" s="2" t="s">
        <v>729</v>
      </c>
      <c r="BAL42" s="2" t="s">
        <v>729</v>
      </c>
      <c r="BBM42" s="2" t="s">
        <v>729</v>
      </c>
      <c r="BCN42" s="2" t="s">
        <v>729</v>
      </c>
      <c r="BDO42" s="2" t="s">
        <v>729</v>
      </c>
      <c r="BEP42" s="2" t="s">
        <v>729</v>
      </c>
      <c r="BFQ42" s="2" t="s">
        <v>729</v>
      </c>
    </row>
    <row r="43" spans="3:1540" ht="28.35" customHeight="1" x14ac:dyDescent="0.4">
      <c r="L43" s="1"/>
      <c r="AM43" s="1"/>
      <c r="BN43" s="1"/>
      <c r="CO43" s="1"/>
      <c r="DP43" s="1"/>
      <c r="EE43" s="1"/>
      <c r="EQ43" s="1"/>
      <c r="FF43" s="1"/>
      <c r="FR43" s="1"/>
      <c r="GS43" s="1"/>
      <c r="HH43" s="1"/>
      <c r="HT43" s="1"/>
      <c r="IU43" s="1"/>
      <c r="JV43" s="1"/>
      <c r="KW43" s="1"/>
      <c r="LX43" s="1"/>
      <c r="MY43" s="1"/>
      <c r="NZ43" s="1"/>
      <c r="PA43" s="1"/>
      <c r="QB43" s="1"/>
      <c r="RC43" s="1"/>
      <c r="SD43" s="1"/>
      <c r="TE43" s="1"/>
      <c r="UF43" s="1"/>
      <c r="VG43" s="1"/>
      <c r="WH43" s="1"/>
      <c r="XI43" s="1"/>
      <c r="YJ43" s="1"/>
      <c r="ZK43" s="1"/>
      <c r="AAL43" s="1"/>
      <c r="ABM43" s="1"/>
      <c r="ACN43" s="1"/>
      <c r="ADO43" s="1"/>
      <c r="AEP43" s="1"/>
      <c r="AFQ43" s="1"/>
      <c r="AGR43" s="1"/>
      <c r="AHS43" s="1"/>
      <c r="AIH43" s="1"/>
      <c r="AIT43" s="1"/>
      <c r="AJI43" s="1"/>
      <c r="AJU43" s="1"/>
      <c r="AKJ43" s="1"/>
      <c r="AKV43" s="1"/>
      <c r="ALK43" s="1"/>
      <c r="ALW43" s="1"/>
      <c r="AML43" s="1"/>
      <c r="AMX43" s="1"/>
      <c r="ANY43" s="1"/>
      <c r="APA43" s="1"/>
      <c r="AQB43" s="1"/>
      <c r="ARC43" s="1"/>
      <c r="ASD43" s="1"/>
      <c r="ATE43" s="1"/>
      <c r="AUF43" s="1"/>
      <c r="AVG43" s="1"/>
      <c r="AWH43" s="1"/>
      <c r="AXI43" s="1"/>
      <c r="AYJ43" s="1"/>
      <c r="AZK43" s="1"/>
      <c r="BAL43" s="1"/>
      <c r="BBM43" s="1"/>
      <c r="BCN43" s="1"/>
      <c r="BDO43" s="1"/>
      <c r="BEP43" s="1"/>
      <c r="BFQ43" s="1"/>
    </row>
    <row r="44" spans="3:1540" ht="28.35" customHeight="1" x14ac:dyDescent="0.4">
      <c r="L44" s="1"/>
      <c r="AM44" s="1"/>
      <c r="BN44" s="1" t="s">
        <v>290</v>
      </c>
      <c r="CO44" s="1" t="s">
        <v>290</v>
      </c>
      <c r="DP44" s="1"/>
      <c r="EE44" s="1" t="s">
        <v>290</v>
      </c>
      <c r="EQ44" s="1"/>
      <c r="FF44" s="1" t="s">
        <v>290</v>
      </c>
      <c r="FR44" s="1" t="s">
        <v>290</v>
      </c>
      <c r="GS44" s="1"/>
      <c r="HH44" s="1" t="s">
        <v>290</v>
      </c>
      <c r="HT44" s="1"/>
      <c r="IU44" s="1"/>
      <c r="JV44" s="1" t="s">
        <v>290</v>
      </c>
      <c r="KW44" s="1" t="s">
        <v>290</v>
      </c>
      <c r="LX44" s="1" t="s">
        <v>290</v>
      </c>
      <c r="MY44" s="1" t="s">
        <v>290</v>
      </c>
      <c r="NZ44" s="1" t="s">
        <v>290</v>
      </c>
      <c r="PA44" s="1" t="s">
        <v>290</v>
      </c>
      <c r="QB44" s="1" t="s">
        <v>290</v>
      </c>
      <c r="RC44" s="1" t="s">
        <v>290</v>
      </c>
      <c r="SD44" s="1" t="s">
        <v>290</v>
      </c>
      <c r="TE44" s="1" t="s">
        <v>290</v>
      </c>
      <c r="UF44" s="1" t="s">
        <v>290</v>
      </c>
      <c r="VG44" s="1" t="s">
        <v>290</v>
      </c>
      <c r="WH44" s="1" t="s">
        <v>290</v>
      </c>
      <c r="XI44" s="1" t="s">
        <v>290</v>
      </c>
      <c r="YJ44" s="1" t="s">
        <v>290</v>
      </c>
      <c r="ZK44" s="1" t="s">
        <v>290</v>
      </c>
      <c r="AAL44" s="1" t="s">
        <v>290</v>
      </c>
      <c r="ABM44" s="1" t="s">
        <v>290</v>
      </c>
      <c r="ACN44" s="1" t="s">
        <v>290</v>
      </c>
      <c r="ADO44" s="1" t="s">
        <v>290</v>
      </c>
      <c r="AEP44" s="1" t="s">
        <v>290</v>
      </c>
      <c r="AFQ44" s="1" t="s">
        <v>290</v>
      </c>
      <c r="AGR44" s="1" t="s">
        <v>290</v>
      </c>
      <c r="AHS44" s="1" t="s">
        <v>290</v>
      </c>
      <c r="AIH44" s="1" t="s">
        <v>290</v>
      </c>
      <c r="AIT44" s="1" t="s">
        <v>290</v>
      </c>
      <c r="AJI44" s="1" t="s">
        <v>290</v>
      </c>
      <c r="AJU44" s="1" t="s">
        <v>290</v>
      </c>
      <c r="AKJ44" s="1" t="s">
        <v>290</v>
      </c>
      <c r="AKV44" s="1" t="s">
        <v>290</v>
      </c>
      <c r="ALK44" s="1" t="s">
        <v>290</v>
      </c>
      <c r="ALW44" s="1" t="s">
        <v>290</v>
      </c>
      <c r="AML44" s="1" t="s">
        <v>290</v>
      </c>
      <c r="AMX44" s="1" t="s">
        <v>290</v>
      </c>
      <c r="ANY44" s="1" t="s">
        <v>290</v>
      </c>
      <c r="APA44" s="1" t="s">
        <v>290</v>
      </c>
      <c r="AQB44" s="1" t="s">
        <v>290</v>
      </c>
      <c r="ARC44" s="1" t="s">
        <v>290</v>
      </c>
      <c r="ASD44" s="1" t="s">
        <v>290</v>
      </c>
      <c r="ATE44" s="1" t="s">
        <v>290</v>
      </c>
      <c r="AUF44" s="1" t="s">
        <v>290</v>
      </c>
      <c r="AVG44" s="1" t="s">
        <v>290</v>
      </c>
      <c r="AWH44" s="1" t="s">
        <v>290</v>
      </c>
      <c r="AXI44" s="1" t="s">
        <v>290</v>
      </c>
      <c r="AYJ44" s="1" t="s">
        <v>290</v>
      </c>
      <c r="AZK44" s="1" t="s">
        <v>290</v>
      </c>
      <c r="BAL44" s="1" t="s">
        <v>290</v>
      </c>
      <c r="BBM44" s="1" t="s">
        <v>290</v>
      </c>
      <c r="BCN44" s="1" t="s">
        <v>290</v>
      </c>
      <c r="BDO44" s="1" t="s">
        <v>290</v>
      </c>
      <c r="BEP44" s="1" t="s">
        <v>290</v>
      </c>
      <c r="BFQ44" s="1" t="s">
        <v>290</v>
      </c>
    </row>
    <row r="45" spans="3:1540" ht="28.35" customHeight="1" x14ac:dyDescent="0.4"/>
    <row r="46" spans="3:1540" ht="28.35" customHeight="1" x14ac:dyDescent="0.4">
      <c r="BN46" s="2" t="s">
        <v>745</v>
      </c>
      <c r="CO46" s="2" t="s">
        <v>745</v>
      </c>
      <c r="EE46" s="2" t="s">
        <v>745</v>
      </c>
      <c r="FF46" s="2" t="s">
        <v>745</v>
      </c>
      <c r="FR46" s="2" t="s">
        <v>745</v>
      </c>
      <c r="HH46" s="2" t="s">
        <v>745</v>
      </c>
      <c r="JV46" s="2" t="s">
        <v>745</v>
      </c>
      <c r="KW46" s="2" t="s">
        <v>745</v>
      </c>
      <c r="LX46" s="2" t="s">
        <v>745</v>
      </c>
      <c r="MY46" s="2" t="s">
        <v>745</v>
      </c>
      <c r="NZ46" s="2" t="s">
        <v>745</v>
      </c>
      <c r="PA46" s="2" t="s">
        <v>745</v>
      </c>
      <c r="QB46" s="2" t="s">
        <v>745</v>
      </c>
      <c r="RC46" s="2" t="s">
        <v>745</v>
      </c>
      <c r="SD46" s="2" t="s">
        <v>745</v>
      </c>
      <c r="TE46" s="2" t="s">
        <v>745</v>
      </c>
      <c r="UF46" s="2" t="s">
        <v>745</v>
      </c>
      <c r="VG46" s="2" t="s">
        <v>745</v>
      </c>
      <c r="WH46" s="2" t="s">
        <v>745</v>
      </c>
      <c r="XI46" s="2" t="s">
        <v>745</v>
      </c>
      <c r="YJ46" s="2" t="s">
        <v>745</v>
      </c>
      <c r="ZK46" s="2" t="s">
        <v>745</v>
      </c>
      <c r="AAL46" s="2" t="s">
        <v>745</v>
      </c>
      <c r="ABM46" s="2" t="s">
        <v>745</v>
      </c>
      <c r="ACN46" s="2" t="s">
        <v>745</v>
      </c>
      <c r="ADO46" s="2" t="s">
        <v>745</v>
      </c>
      <c r="AEP46" s="2" t="s">
        <v>745</v>
      </c>
      <c r="AFQ46" s="2" t="s">
        <v>745</v>
      </c>
      <c r="AGR46" s="2" t="s">
        <v>745</v>
      </c>
      <c r="AHS46" s="2" t="s">
        <v>745</v>
      </c>
      <c r="AIH46" s="2" t="s">
        <v>745</v>
      </c>
      <c r="AIT46" s="2" t="s">
        <v>745</v>
      </c>
      <c r="AJI46" s="2" t="s">
        <v>745</v>
      </c>
      <c r="AJU46" s="2" t="s">
        <v>745</v>
      </c>
      <c r="AKJ46" s="2" t="s">
        <v>745</v>
      </c>
      <c r="AKV46" s="2" t="s">
        <v>745</v>
      </c>
      <c r="ALK46" s="2" t="s">
        <v>745</v>
      </c>
      <c r="ALW46" s="2" t="s">
        <v>745</v>
      </c>
      <c r="AML46" s="2" t="s">
        <v>745</v>
      </c>
      <c r="AMX46" s="2" t="s">
        <v>745</v>
      </c>
      <c r="ANY46" s="2" t="s">
        <v>745</v>
      </c>
      <c r="APA46" s="2" t="s">
        <v>745</v>
      </c>
      <c r="AQB46" s="2" t="s">
        <v>745</v>
      </c>
      <c r="ARC46" s="2" t="s">
        <v>745</v>
      </c>
      <c r="ASD46" s="2" t="s">
        <v>745</v>
      </c>
      <c r="ATE46" s="2" t="s">
        <v>745</v>
      </c>
      <c r="AUF46" s="2" t="s">
        <v>745</v>
      </c>
      <c r="AVG46" s="2" t="s">
        <v>745</v>
      </c>
      <c r="AWH46" s="2" t="s">
        <v>745</v>
      </c>
      <c r="AXI46" s="2" t="s">
        <v>745</v>
      </c>
      <c r="AYJ46" s="2" t="s">
        <v>745</v>
      </c>
      <c r="AZK46" s="2" t="s">
        <v>745</v>
      </c>
      <c r="BAL46" s="2" t="s">
        <v>745</v>
      </c>
      <c r="BBM46" s="2" t="s">
        <v>745</v>
      </c>
      <c r="BCN46" s="2" t="s">
        <v>745</v>
      </c>
      <c r="BDO46" s="2" t="s">
        <v>745</v>
      </c>
      <c r="BEP46" s="2" t="s">
        <v>745</v>
      </c>
      <c r="BFQ46" s="2" t="s">
        <v>745</v>
      </c>
    </row>
    <row r="47" spans="3:1540" ht="28.35" customHeight="1" x14ac:dyDescent="0.4"/>
  </sheetData>
  <mergeCells count="4606">
    <mergeCell ref="AM26:AM27"/>
    <mergeCell ref="LX26:LX27"/>
    <mergeCell ref="MH26:MH27"/>
    <mergeCell ref="JE26:JE27"/>
    <mergeCell ref="FA26:FA27"/>
    <mergeCell ref="DP26:DP27"/>
    <mergeCell ref="CY26:CY27"/>
    <mergeCell ref="QQ26:QQ27"/>
    <mergeCell ref="PA26:PA27"/>
    <mergeCell ref="NZ26:NZ27"/>
    <mergeCell ref="OJ26:OJ27"/>
    <mergeCell ref="OO26:OO27"/>
    <mergeCell ref="ND26:ND27"/>
    <mergeCell ref="RC26:RC27"/>
    <mergeCell ref="RH26:RH27"/>
    <mergeCell ref="RM26:RM27"/>
    <mergeCell ref="RR26:RR27"/>
    <mergeCell ref="QB26:QB27"/>
    <mergeCell ref="QL26:QL27"/>
    <mergeCell ref="AJZ26:AJZ27"/>
    <mergeCell ref="AKE26:AKE27"/>
    <mergeCell ref="AKJ26:AKJ27"/>
    <mergeCell ref="TO26:TO27"/>
    <mergeCell ref="TT26:TT27"/>
    <mergeCell ref="SD26:SD27"/>
    <mergeCell ref="SI26:SI27"/>
    <mergeCell ref="SN26:SN27"/>
    <mergeCell ref="SS26:SS27"/>
    <mergeCell ref="VV26:VV27"/>
    <mergeCell ref="UF26:UF27"/>
    <mergeCell ref="UK26:UK27"/>
    <mergeCell ref="UP26:UP27"/>
    <mergeCell ref="TE26:TE27"/>
    <mergeCell ref="TJ26:TJ27"/>
    <mergeCell ref="WH26:WH27"/>
    <mergeCell ref="WM26:WM27"/>
    <mergeCell ref="WR26:WR27"/>
    <mergeCell ref="VG26:VG27"/>
    <mergeCell ref="VL26:VL27"/>
    <mergeCell ref="VQ26:VQ27"/>
    <mergeCell ref="C23:F23"/>
    <mergeCell ref="H23:K23"/>
    <mergeCell ref="BE23:BH23"/>
    <mergeCell ref="BJ23:BM23"/>
    <mergeCell ref="BO23:BR23"/>
    <mergeCell ref="BT23:BW23"/>
    <mergeCell ref="AOD26:AOD27"/>
    <mergeCell ref="AOI26:AOJ27"/>
    <mergeCell ref="AOO26:AOO27"/>
    <mergeCell ref="ANH26:ANH27"/>
    <mergeCell ref="ANM26:ANM27"/>
    <mergeCell ref="AML26:AML27"/>
    <mergeCell ref="AQG26:AQG27"/>
    <mergeCell ref="AQL26:AQL27"/>
    <mergeCell ref="AQQ26:AQQ27"/>
    <mergeCell ref="APA26:APA27"/>
    <mergeCell ref="APF26:APF27"/>
    <mergeCell ref="APK26:APK27"/>
    <mergeCell ref="ZK26:ZK27"/>
    <mergeCell ref="ZP26:ZP27"/>
    <mergeCell ref="YJ26:YJ27"/>
    <mergeCell ref="YO26:YO27"/>
    <mergeCell ref="XI26:XI27"/>
    <mergeCell ref="XN26:XN27"/>
    <mergeCell ref="AJI26:AJI27"/>
    <mergeCell ref="ADC26:ADC27"/>
    <mergeCell ref="ABW26:ABW27"/>
    <mergeCell ref="AAQ26:AAQ27"/>
    <mergeCell ref="AAV26:AAV27"/>
    <mergeCell ref="ABA26:ABA27"/>
    <mergeCell ref="AKV26:AKV27"/>
    <mergeCell ref="ALA26:ALA27"/>
    <mergeCell ref="AUF26:AUF27"/>
    <mergeCell ref="AUK26:AUK27"/>
    <mergeCell ref="AUP26:AUP27"/>
    <mergeCell ref="AUU26:AUU27"/>
    <mergeCell ref="ATE26:ATE27"/>
    <mergeCell ref="ATT26:ATT27"/>
    <mergeCell ref="AXI26:AXI27"/>
    <mergeCell ref="AXN26:AXN27"/>
    <mergeCell ref="AWW26:AWW27"/>
    <mergeCell ref="AVG26:AVG27"/>
    <mergeCell ref="AVL26:AVL27"/>
    <mergeCell ref="AVQ26:AVQ27"/>
    <mergeCell ref="M23:P23"/>
    <mergeCell ref="R23:U23"/>
    <mergeCell ref="W23:Z23"/>
    <mergeCell ref="AOI25:AOJ25"/>
    <mergeCell ref="BEU26:BEU27"/>
    <mergeCell ref="BAV26:BAV27"/>
    <mergeCell ref="AZK26:AZK27"/>
    <mergeCell ref="AYJ26:AYJ27"/>
    <mergeCell ref="AYO26:AYO27"/>
    <mergeCell ref="AYY26:AYY27"/>
    <mergeCell ref="AI23:AL23"/>
    <mergeCell ref="AN23:AQ23"/>
    <mergeCell ref="AS23:AV23"/>
    <mergeCell ref="AX23:BA23"/>
    <mergeCell ref="ASD26:ASD27"/>
    <mergeCell ref="ASI26:ASI27"/>
    <mergeCell ref="ASN26:ASN27"/>
    <mergeCell ref="ASS26:ASS27"/>
    <mergeCell ref="ARC26:ARC27"/>
    <mergeCell ref="ARR26:ARR27"/>
    <mergeCell ref="BY23:CB23"/>
    <mergeCell ref="AD23:AG23"/>
    <mergeCell ref="EA23:ED23"/>
    <mergeCell ref="CF23:CI23"/>
    <mergeCell ref="CK23:CN23"/>
    <mergeCell ref="CP23:CS23"/>
    <mergeCell ref="CU23:CX23"/>
    <mergeCell ref="CZ23:DC23"/>
    <mergeCell ref="EW23:EZ23"/>
    <mergeCell ref="FB23:FE23"/>
    <mergeCell ref="DG23:DJ23"/>
    <mergeCell ref="DL23:DO23"/>
    <mergeCell ref="DQ23:DT23"/>
    <mergeCell ref="DV23:DY23"/>
    <mergeCell ref="FS23:FV23"/>
    <mergeCell ref="FX23:GA23"/>
    <mergeCell ref="GC23:GF23"/>
    <mergeCell ref="EH23:EK23"/>
    <mergeCell ref="EM23:EP23"/>
    <mergeCell ref="ER23:EU23"/>
    <mergeCell ref="GO23:GR23"/>
    <mergeCell ref="GT23:GW23"/>
    <mergeCell ref="GY23:HB23"/>
    <mergeCell ref="HD23:HG23"/>
    <mergeCell ref="FI23:FL23"/>
    <mergeCell ref="FN23:FQ23"/>
    <mergeCell ref="HK23:HN23"/>
    <mergeCell ref="HP23:HS23"/>
    <mergeCell ref="HU23:HX23"/>
    <mergeCell ref="HZ23:IC23"/>
    <mergeCell ref="IE23:IH23"/>
    <mergeCell ref="GJ23:GM23"/>
    <mergeCell ref="KG23:KJ23"/>
    <mergeCell ref="IL23:IO23"/>
    <mergeCell ref="IQ23:IT23"/>
    <mergeCell ref="IV23:IY23"/>
    <mergeCell ref="JA23:JD23"/>
    <mergeCell ref="JF23:JI23"/>
    <mergeCell ref="LC23:LF23"/>
    <mergeCell ref="LH23:LK23"/>
    <mergeCell ref="JM23:JP23"/>
    <mergeCell ref="JR23:JU23"/>
    <mergeCell ref="JW23:JZ23"/>
    <mergeCell ref="KB23:KE23"/>
    <mergeCell ref="LY23:MB23"/>
    <mergeCell ref="MD23:MG23"/>
    <mergeCell ref="MI23:ML23"/>
    <mergeCell ref="KN23:KQ23"/>
    <mergeCell ref="KS23:KV23"/>
    <mergeCell ref="KX23:LA23"/>
    <mergeCell ref="MU23:MX23"/>
    <mergeCell ref="MZ23:NC23"/>
    <mergeCell ref="NE23:NH23"/>
    <mergeCell ref="NJ23:NM23"/>
    <mergeCell ref="LO23:LR23"/>
    <mergeCell ref="LT23:LW23"/>
    <mergeCell ref="NV23:NY23"/>
    <mergeCell ref="OA23:OD23"/>
    <mergeCell ref="OF23:OI23"/>
    <mergeCell ref="OK23:ON23"/>
    <mergeCell ref="MP23:MS23"/>
    <mergeCell ref="OR23:OU23"/>
    <mergeCell ref="OW23:OZ23"/>
    <mergeCell ref="PB23:PE23"/>
    <mergeCell ref="PG23:PJ23"/>
    <mergeCell ref="PL23:PO23"/>
    <mergeCell ref="NQ23:NT23"/>
    <mergeCell ref="RN23:RQ23"/>
    <mergeCell ref="PS23:PV23"/>
    <mergeCell ref="PX23:QA23"/>
    <mergeCell ref="QC23:QF23"/>
    <mergeCell ref="QH23:QK23"/>
    <mergeCell ref="QM23:QP23"/>
    <mergeCell ref="TW23:TZ23"/>
    <mergeCell ref="XT23:XW23"/>
    <mergeCell ref="VY23:WB23"/>
    <mergeCell ref="WD23:WG23"/>
    <mergeCell ref="WI23:WL23"/>
    <mergeCell ref="WN23:WQ23"/>
    <mergeCell ref="WS23:WV23"/>
    <mergeCell ref="YP23:YS23"/>
    <mergeCell ref="YU23:YX23"/>
    <mergeCell ref="WZ23:XC23"/>
    <mergeCell ref="XE23:XH23"/>
    <mergeCell ref="XJ23:XM23"/>
    <mergeCell ref="XO23:XR23"/>
    <mergeCell ref="SJ23:SM23"/>
    <mergeCell ref="SO23:SR23"/>
    <mergeCell ref="QT23:QW23"/>
    <mergeCell ref="QY23:RB23"/>
    <mergeCell ref="RD23:RG23"/>
    <mergeCell ref="RI23:RL23"/>
    <mergeCell ref="TF23:TI23"/>
    <mergeCell ref="TK23:TN23"/>
    <mergeCell ref="TP23:TS23"/>
    <mergeCell ref="RU23:RX23"/>
    <mergeCell ref="RZ23:SC23"/>
    <mergeCell ref="SE23:SH23"/>
    <mergeCell ref="UB23:UE23"/>
    <mergeCell ref="UG23:UJ23"/>
    <mergeCell ref="UL23:UO23"/>
    <mergeCell ref="UQ23:UT23"/>
    <mergeCell ref="SV23:SY23"/>
    <mergeCell ref="TA23:TD23"/>
    <mergeCell ref="YA23:YD23"/>
    <mergeCell ref="YF23:YI23"/>
    <mergeCell ref="YK23:YN23"/>
    <mergeCell ref="AAM23:AAP23"/>
    <mergeCell ref="AAR23:AAU23"/>
    <mergeCell ref="AAW23:AAZ23"/>
    <mergeCell ref="ZB23:ZE23"/>
    <mergeCell ref="ZG23:ZJ23"/>
    <mergeCell ref="ABI23:ABL23"/>
    <mergeCell ref="ABN23:ABQ23"/>
    <mergeCell ref="ABS23:ABV23"/>
    <mergeCell ref="ABX23:ACA23"/>
    <mergeCell ref="AAC23:AAF23"/>
    <mergeCell ref="AAH23:AAK23"/>
    <mergeCell ref="UX23:VA23"/>
    <mergeCell ref="VC23:VF23"/>
    <mergeCell ref="VH23:VK23"/>
    <mergeCell ref="VM23:VP23"/>
    <mergeCell ref="VR23:VU23"/>
    <mergeCell ref="ACO23:ACR23"/>
    <mergeCell ref="ACT23:ACW23"/>
    <mergeCell ref="ACY23:ADB23"/>
    <mergeCell ref="ABD23:ABG23"/>
    <mergeCell ref="ADK23:ADN23"/>
    <mergeCell ref="ADP23:ADS23"/>
    <mergeCell ref="ADU23:ADX23"/>
    <mergeCell ref="ADZ23:AEC23"/>
    <mergeCell ref="ACE23:ACH23"/>
    <mergeCell ref="ACJ23:ACM23"/>
    <mergeCell ref="AEG23:AEJ23"/>
    <mergeCell ref="AEL23:AEO23"/>
    <mergeCell ref="AEQ23:AET23"/>
    <mergeCell ref="AEV23:AEY23"/>
    <mergeCell ref="AFA23:AFD23"/>
    <mergeCell ref="ADF23:ADI23"/>
    <mergeCell ref="ZL23:ZO23"/>
    <mergeCell ref="ZQ23:ZT23"/>
    <mergeCell ref="ZV23:ZY23"/>
    <mergeCell ref="AIK23:AIN23"/>
    <mergeCell ref="AIP23:AIS23"/>
    <mergeCell ref="AIU23:AIX23"/>
    <mergeCell ref="AKR23:AKU23"/>
    <mergeCell ref="AKW23:AKZ23"/>
    <mergeCell ref="ALB23:ALE23"/>
    <mergeCell ref="ALG23:ALJ23"/>
    <mergeCell ref="AJL23:AJO23"/>
    <mergeCell ref="AJQ23:AJT23"/>
    <mergeCell ref="ALN23:ALQ23"/>
    <mergeCell ref="ALS23:ALV23"/>
    <mergeCell ref="ALX23:AMA23"/>
    <mergeCell ref="AMC23:AMF23"/>
    <mergeCell ref="AMH23:AMK23"/>
    <mergeCell ref="AKM23:AKP23"/>
    <mergeCell ref="AFH23:AFK23"/>
    <mergeCell ref="AFM23:AFP23"/>
    <mergeCell ref="AFR23:AFU23"/>
    <mergeCell ref="AFW23:AFZ23"/>
    <mergeCell ref="AGB23:AGE23"/>
    <mergeCell ref="AID23:AIG23"/>
    <mergeCell ref="AGI23:AGL23"/>
    <mergeCell ref="AGN23:AGQ23"/>
    <mergeCell ref="AGS23:AGV23"/>
    <mergeCell ref="AGX23:AHA23"/>
    <mergeCell ref="AHC23:AHF23"/>
    <mergeCell ref="AIZ23:AJC23"/>
    <mergeCell ref="AJE23:AJH23"/>
    <mergeCell ref="AHJ23:AHM23"/>
    <mergeCell ref="AHO23:AHR23"/>
    <mergeCell ref="AHT23:AHW23"/>
    <mergeCell ref="AHY23:AIB23"/>
    <mergeCell ref="AMT23:AMW23"/>
    <mergeCell ref="AMY23:ANB23"/>
    <mergeCell ref="AND23:ANG23"/>
    <mergeCell ref="ANI23:ANL23"/>
    <mergeCell ref="ANU23:ANX23"/>
    <mergeCell ref="ANZ23:AOC23"/>
    <mergeCell ref="AOE23:AOH23"/>
    <mergeCell ref="AOI23:AOJ23"/>
    <mergeCell ref="AOK23:AON23"/>
    <mergeCell ref="AMO23:AMR23"/>
    <mergeCell ref="AOR23:AOU23"/>
    <mergeCell ref="AOW23:AOZ23"/>
    <mergeCell ref="APB23:APE23"/>
    <mergeCell ref="APG23:APJ23"/>
    <mergeCell ref="APL23:APO23"/>
    <mergeCell ref="ANP23:ANS23"/>
    <mergeCell ref="AJV23:AJY23"/>
    <mergeCell ref="AKA23:AKD23"/>
    <mergeCell ref="AKF23:AKI23"/>
    <mergeCell ref="APS23:APV23"/>
    <mergeCell ref="APX23:AQA23"/>
    <mergeCell ref="AQC23:AQF23"/>
    <mergeCell ref="AQH23:AQK23"/>
    <mergeCell ref="AQM23:AQP23"/>
    <mergeCell ref="ASJ23:ASM23"/>
    <mergeCell ref="ASO23:ASR23"/>
    <mergeCell ref="AQT23:AQW23"/>
    <mergeCell ref="AQY23:ARB23"/>
    <mergeCell ref="ARD23:ARG23"/>
    <mergeCell ref="ARI23:ARL23"/>
    <mergeCell ref="ATF23:ATI23"/>
    <mergeCell ref="ATK23:ATN23"/>
    <mergeCell ref="ATP23:ATS23"/>
    <mergeCell ref="ARU23:ARX23"/>
    <mergeCell ref="ARZ23:ASC23"/>
    <mergeCell ref="ASE23:ASH23"/>
    <mergeCell ref="AUB23:AUE23"/>
    <mergeCell ref="AUG23:AUJ23"/>
    <mergeCell ref="AUL23:AUO23"/>
    <mergeCell ref="AUQ23:AUT23"/>
    <mergeCell ref="ASV23:ASY23"/>
    <mergeCell ref="ATA23:ATD23"/>
    <mergeCell ref="AUX23:AVA23"/>
    <mergeCell ref="AVC23:AVF23"/>
    <mergeCell ref="AVH23:AVK23"/>
    <mergeCell ref="AVM23:AVP23"/>
    <mergeCell ref="AVR23:AVU23"/>
    <mergeCell ref="ATW23:ATZ23"/>
    <mergeCell ref="AXT23:AXW23"/>
    <mergeCell ref="AVY23:AWB23"/>
    <mergeCell ref="AWD23:AWG23"/>
    <mergeCell ref="AWI23:AWL23"/>
    <mergeCell ref="AWN23:AWQ23"/>
    <mergeCell ref="AWS23:AWV23"/>
    <mergeCell ref="AYP23:AYS23"/>
    <mergeCell ref="AYU23:AYX23"/>
    <mergeCell ref="AWZ23:AXC23"/>
    <mergeCell ref="AXE23:AXH23"/>
    <mergeCell ref="AXJ23:AXM23"/>
    <mergeCell ref="AXO23:AXR23"/>
    <mergeCell ref="AZQ23:AZT23"/>
    <mergeCell ref="AZV23:AZY23"/>
    <mergeCell ref="AYA23:AYD23"/>
    <mergeCell ref="AYF23:AYI23"/>
    <mergeCell ref="AYK23:AYN23"/>
    <mergeCell ref="BAM23:BAP23"/>
    <mergeCell ref="BAR23:BAU23"/>
    <mergeCell ref="BAW23:BAZ23"/>
    <mergeCell ref="AZB23:AZE23"/>
    <mergeCell ref="AZG23:AZJ23"/>
    <mergeCell ref="AZL23:AZO23"/>
    <mergeCell ref="BBI23:BBL23"/>
    <mergeCell ref="BBN23:BBQ23"/>
    <mergeCell ref="BBS23:BBV23"/>
    <mergeCell ref="BBX23:BCA23"/>
    <mergeCell ref="BAC23:BAF23"/>
    <mergeCell ref="BAH23:BAK23"/>
    <mergeCell ref="BCE23:BCH23"/>
    <mergeCell ref="BCJ23:BCM23"/>
    <mergeCell ref="BCO23:BCR23"/>
    <mergeCell ref="BCT23:BCW23"/>
    <mergeCell ref="BCY23:BDB23"/>
    <mergeCell ref="BBD23:BBG23"/>
    <mergeCell ref="BFA23:BFD23"/>
    <mergeCell ref="BDF23:BDI23"/>
    <mergeCell ref="BDK23:BDN23"/>
    <mergeCell ref="BDP23:BDS23"/>
    <mergeCell ref="BDU23:BDX23"/>
    <mergeCell ref="BDZ23:BEC23"/>
    <mergeCell ref="W22:Z22"/>
    <mergeCell ref="BFH23:BFK23"/>
    <mergeCell ref="BFM23:BFP23"/>
    <mergeCell ref="BFR23:BFU23"/>
    <mergeCell ref="BFW23:BFZ23"/>
    <mergeCell ref="BGB23:BGE23"/>
    <mergeCell ref="BEG23:BEJ23"/>
    <mergeCell ref="BEL23:BEO23"/>
    <mergeCell ref="BEQ23:BET23"/>
    <mergeCell ref="BEV23:BEY23"/>
    <mergeCell ref="AS22:AV22"/>
    <mergeCell ref="AX22:BA22"/>
    <mergeCell ref="D22:G22"/>
    <mergeCell ref="H22:K22"/>
    <mergeCell ref="M22:P22"/>
    <mergeCell ref="R22:U22"/>
    <mergeCell ref="BO22:BR22"/>
    <mergeCell ref="BT22:BW22"/>
    <mergeCell ref="BY22:CB22"/>
    <mergeCell ref="AE22:AH22"/>
    <mergeCell ref="AI22:AL22"/>
    <mergeCell ref="AN22:AQ22"/>
    <mergeCell ref="CK22:CN22"/>
    <mergeCell ref="CP22:CS22"/>
    <mergeCell ref="CU22:CX22"/>
    <mergeCell ref="CZ22:DC22"/>
    <mergeCell ref="BF22:BI22"/>
    <mergeCell ref="BJ22:BM22"/>
    <mergeCell ref="DH22:DK22"/>
    <mergeCell ref="DL22:DO22"/>
    <mergeCell ref="DQ22:DT22"/>
    <mergeCell ref="DV22:DY22"/>
    <mergeCell ref="EA22:ED22"/>
    <mergeCell ref="CG22:CJ22"/>
    <mergeCell ref="GC22:GF22"/>
    <mergeCell ref="EI22:EL22"/>
    <mergeCell ref="EM22:EP22"/>
    <mergeCell ref="ER22:EU22"/>
    <mergeCell ref="EW22:EZ22"/>
    <mergeCell ref="FB22:FE22"/>
    <mergeCell ref="GY22:HB22"/>
    <mergeCell ref="HD22:HG22"/>
    <mergeCell ref="FJ22:FM22"/>
    <mergeCell ref="FN22:FQ22"/>
    <mergeCell ref="FS22:FV22"/>
    <mergeCell ref="FX22:GA22"/>
    <mergeCell ref="HU22:HX22"/>
    <mergeCell ref="HZ22:IC22"/>
    <mergeCell ref="IE22:IH22"/>
    <mergeCell ref="GK22:GN22"/>
    <mergeCell ref="GO22:GR22"/>
    <mergeCell ref="GT22:GW22"/>
    <mergeCell ref="IQ22:IT22"/>
    <mergeCell ref="IV22:IY22"/>
    <mergeCell ref="JA22:JD22"/>
    <mergeCell ref="JF22:JI22"/>
    <mergeCell ref="HL22:HO22"/>
    <mergeCell ref="HP22:HS22"/>
    <mergeCell ref="JN22:JQ22"/>
    <mergeCell ref="JR22:JU22"/>
    <mergeCell ref="JW22:JZ22"/>
    <mergeCell ref="KB22:KE22"/>
    <mergeCell ref="KG22:KJ22"/>
    <mergeCell ref="IM22:IP22"/>
    <mergeCell ref="MI22:ML22"/>
    <mergeCell ref="KO22:KR22"/>
    <mergeCell ref="KS22:KV22"/>
    <mergeCell ref="KX22:LA22"/>
    <mergeCell ref="LC22:LF22"/>
    <mergeCell ref="LH22:LK22"/>
    <mergeCell ref="NE22:NH22"/>
    <mergeCell ref="NJ22:NM22"/>
    <mergeCell ref="LP22:LS22"/>
    <mergeCell ref="LT22:LW22"/>
    <mergeCell ref="LY22:MB22"/>
    <mergeCell ref="MD22:MG22"/>
    <mergeCell ref="OF22:OI22"/>
    <mergeCell ref="OK22:ON22"/>
    <mergeCell ref="MQ22:MT22"/>
    <mergeCell ref="MU22:MX22"/>
    <mergeCell ref="MZ22:NC22"/>
    <mergeCell ref="PB22:PE22"/>
    <mergeCell ref="PG22:PJ22"/>
    <mergeCell ref="PL22:PO22"/>
    <mergeCell ref="NR22:NU22"/>
    <mergeCell ref="NV22:NY22"/>
    <mergeCell ref="OA22:OD22"/>
    <mergeCell ref="PX22:QA22"/>
    <mergeCell ref="QC22:QF22"/>
    <mergeCell ref="QH22:QK22"/>
    <mergeCell ref="QM22:QP22"/>
    <mergeCell ref="OS22:OV22"/>
    <mergeCell ref="OW22:OZ22"/>
    <mergeCell ref="QU22:QX22"/>
    <mergeCell ref="QY22:RB22"/>
    <mergeCell ref="RD22:RG22"/>
    <mergeCell ref="RI22:RL22"/>
    <mergeCell ref="RN22:RQ22"/>
    <mergeCell ref="PT22:PW22"/>
    <mergeCell ref="TP22:TS22"/>
    <mergeCell ref="RV22:RY22"/>
    <mergeCell ref="RZ22:SC22"/>
    <mergeCell ref="SE22:SH22"/>
    <mergeCell ref="SJ22:SM22"/>
    <mergeCell ref="SO22:SR22"/>
    <mergeCell ref="VZ22:WC22"/>
    <mergeCell ref="ZV22:ZY22"/>
    <mergeCell ref="YB22:YE22"/>
    <mergeCell ref="YF22:YI22"/>
    <mergeCell ref="YK22:YN22"/>
    <mergeCell ref="YP22:YS22"/>
    <mergeCell ref="YU22:YX22"/>
    <mergeCell ref="AAW22:AAZ22"/>
    <mergeCell ref="ZC22:ZF22"/>
    <mergeCell ref="ZG22:ZJ22"/>
    <mergeCell ref="ZL22:ZO22"/>
    <mergeCell ref="ZQ22:ZT22"/>
    <mergeCell ref="UL22:UO22"/>
    <mergeCell ref="UQ22:UT22"/>
    <mergeCell ref="SW22:SZ22"/>
    <mergeCell ref="TA22:TD22"/>
    <mergeCell ref="TF22:TI22"/>
    <mergeCell ref="TK22:TN22"/>
    <mergeCell ref="VH22:VK22"/>
    <mergeCell ref="VM22:VP22"/>
    <mergeCell ref="VR22:VU22"/>
    <mergeCell ref="TX22:UA22"/>
    <mergeCell ref="UB22:UE22"/>
    <mergeCell ref="UG22:UJ22"/>
    <mergeCell ref="WD22:WG22"/>
    <mergeCell ref="WI22:WL22"/>
    <mergeCell ref="WN22:WQ22"/>
    <mergeCell ref="WS22:WV22"/>
    <mergeCell ref="UY22:VB22"/>
    <mergeCell ref="VC22:VF22"/>
    <mergeCell ref="ABS22:ABV22"/>
    <mergeCell ref="ABX22:ACA22"/>
    <mergeCell ref="AAD22:AAG22"/>
    <mergeCell ref="AAH22:AAK22"/>
    <mergeCell ref="AAM22:AAP22"/>
    <mergeCell ref="AAR22:AAU22"/>
    <mergeCell ref="ACY22:ADB22"/>
    <mergeCell ref="ABE22:ABH22"/>
    <mergeCell ref="ABI22:ABL22"/>
    <mergeCell ref="ABN22:ABQ22"/>
    <mergeCell ref="ADU22:ADX22"/>
    <mergeCell ref="ADZ22:AEC22"/>
    <mergeCell ref="ACF22:ACI22"/>
    <mergeCell ref="ACJ22:ACM22"/>
    <mergeCell ref="ACO22:ACR22"/>
    <mergeCell ref="ACT22:ACW22"/>
    <mergeCell ref="XA22:XD22"/>
    <mergeCell ref="XE22:XH22"/>
    <mergeCell ref="XJ22:XM22"/>
    <mergeCell ref="XO22:XR22"/>
    <mergeCell ref="XT22:XW22"/>
    <mergeCell ref="AGJ22:AGM22"/>
    <mergeCell ref="AKF22:AKI22"/>
    <mergeCell ref="AIL22:AIO22"/>
    <mergeCell ref="AIP22:AIS22"/>
    <mergeCell ref="AIU22:AIX22"/>
    <mergeCell ref="AIZ22:AJC22"/>
    <mergeCell ref="AJE22:AJH22"/>
    <mergeCell ref="ALB22:ALE22"/>
    <mergeCell ref="ALG22:ALJ22"/>
    <mergeCell ref="AJM22:AJP22"/>
    <mergeCell ref="AJQ22:AJT22"/>
    <mergeCell ref="AJV22:AJY22"/>
    <mergeCell ref="AKA22:AKD22"/>
    <mergeCell ref="AEQ22:AET22"/>
    <mergeCell ref="AEV22:AEY22"/>
    <mergeCell ref="AFA22:AFD22"/>
    <mergeCell ref="ADG22:ADJ22"/>
    <mergeCell ref="ADK22:ADN22"/>
    <mergeCell ref="ADP22:ADS22"/>
    <mergeCell ref="AFM22:AFP22"/>
    <mergeCell ref="AFR22:AFU22"/>
    <mergeCell ref="AFW22:AFZ22"/>
    <mergeCell ref="AGB22:AGE22"/>
    <mergeCell ref="AEH22:AEK22"/>
    <mergeCell ref="AEL22:AEO22"/>
    <mergeCell ref="AGN22:AGQ22"/>
    <mergeCell ref="AGS22:AGV22"/>
    <mergeCell ref="AGX22:AHA22"/>
    <mergeCell ref="AHC22:AHF22"/>
    <mergeCell ref="AFI22:AFL22"/>
    <mergeCell ref="ALX22:AMA22"/>
    <mergeCell ref="AMC22:AMF22"/>
    <mergeCell ref="AMH22:AMK22"/>
    <mergeCell ref="AKN22:AKQ22"/>
    <mergeCell ref="AKR22:AKU22"/>
    <mergeCell ref="AKW22:AKZ22"/>
    <mergeCell ref="AND22:ANG22"/>
    <mergeCell ref="ANI22:ANL22"/>
    <mergeCell ref="ALO22:ALR22"/>
    <mergeCell ref="ALS22:ALV22"/>
    <mergeCell ref="AOE22:AOH22"/>
    <mergeCell ref="AOI22:AOJ22"/>
    <mergeCell ref="AOK22:AON22"/>
    <mergeCell ref="AMP22:AMS22"/>
    <mergeCell ref="AMT22:AMW22"/>
    <mergeCell ref="AMY22:ANB22"/>
    <mergeCell ref="AHK22:AHN22"/>
    <mergeCell ref="AHO22:AHR22"/>
    <mergeCell ref="AHT22:AHW22"/>
    <mergeCell ref="AHY22:AIB22"/>
    <mergeCell ref="AID22:AIG22"/>
    <mergeCell ref="APB22:APE22"/>
    <mergeCell ref="APG22:APJ22"/>
    <mergeCell ref="APL22:APO22"/>
    <mergeCell ref="ANQ22:ANT22"/>
    <mergeCell ref="ANU22:ANX22"/>
    <mergeCell ref="ANZ22:AOC22"/>
    <mergeCell ref="APX22:AQA22"/>
    <mergeCell ref="AQC22:AQF22"/>
    <mergeCell ref="AQH22:AQK22"/>
    <mergeCell ref="AQM22:AQP22"/>
    <mergeCell ref="AOS22:AOV22"/>
    <mergeCell ref="AOW22:AOZ22"/>
    <mergeCell ref="AQU22:AQX22"/>
    <mergeCell ref="AQY22:ARB22"/>
    <mergeCell ref="ARD22:ARG22"/>
    <mergeCell ref="ARI22:ARL22"/>
    <mergeCell ref="ARN22:ARQ22"/>
    <mergeCell ref="APT22:APW22"/>
    <mergeCell ref="ATP22:ATS22"/>
    <mergeCell ref="ARV22:ARY22"/>
    <mergeCell ref="ARZ22:ASC22"/>
    <mergeCell ref="ASE22:ASH22"/>
    <mergeCell ref="ASJ22:ASM22"/>
    <mergeCell ref="ASO22:ASR22"/>
    <mergeCell ref="AUL22:AUO22"/>
    <mergeCell ref="AUQ22:AUT22"/>
    <mergeCell ref="ASW22:ASZ22"/>
    <mergeCell ref="ATA22:ATD22"/>
    <mergeCell ref="ATF22:ATI22"/>
    <mergeCell ref="ATK22:ATN22"/>
    <mergeCell ref="AVH22:AVK22"/>
    <mergeCell ref="AVM22:AVP22"/>
    <mergeCell ref="AVR22:AVU22"/>
    <mergeCell ref="ATX22:AUA22"/>
    <mergeCell ref="AUB22:AUE22"/>
    <mergeCell ref="AUG22:AUJ22"/>
    <mergeCell ref="AWD22:AWG22"/>
    <mergeCell ref="AWI22:AWL22"/>
    <mergeCell ref="AWN22:AWQ22"/>
    <mergeCell ref="AWS22:AWV22"/>
    <mergeCell ref="AUY22:AVB22"/>
    <mergeCell ref="AVC22:AVF22"/>
    <mergeCell ref="AXA22:AXD22"/>
    <mergeCell ref="AXE22:AXH22"/>
    <mergeCell ref="AXJ22:AXM22"/>
    <mergeCell ref="AXO22:AXR22"/>
    <mergeCell ref="AXT22:AXW22"/>
    <mergeCell ref="AVZ22:AWC22"/>
    <mergeCell ref="AZV22:AZY22"/>
    <mergeCell ref="AYB22:AYE22"/>
    <mergeCell ref="AYF22:AYI22"/>
    <mergeCell ref="AYK22:AYN22"/>
    <mergeCell ref="AYP22:AYS22"/>
    <mergeCell ref="AYU22:AYX22"/>
    <mergeCell ref="BAW22:BAZ22"/>
    <mergeCell ref="AZC22:AZF22"/>
    <mergeCell ref="AZG22:AZJ22"/>
    <mergeCell ref="AZL22:AZO22"/>
    <mergeCell ref="AZQ22:AZT22"/>
    <mergeCell ref="BBS22:BBV22"/>
    <mergeCell ref="BBX22:BCA22"/>
    <mergeCell ref="BAD22:BAG22"/>
    <mergeCell ref="BAH22:BAK22"/>
    <mergeCell ref="BAM22:BAP22"/>
    <mergeCell ref="BAR22:BAU22"/>
    <mergeCell ref="BCO22:BCR22"/>
    <mergeCell ref="BCT22:BCW22"/>
    <mergeCell ref="BCY22:BDB22"/>
    <mergeCell ref="BBE22:BBH22"/>
    <mergeCell ref="BBI22:BBL22"/>
    <mergeCell ref="BBN22:BBQ22"/>
    <mergeCell ref="BDK22:BDN22"/>
    <mergeCell ref="BDP22:BDS22"/>
    <mergeCell ref="BDU22:BDX22"/>
    <mergeCell ref="BDZ22:BEC22"/>
    <mergeCell ref="BCF22:BCI22"/>
    <mergeCell ref="BCJ22:BCM22"/>
    <mergeCell ref="BEH22:BEK22"/>
    <mergeCell ref="BEL22:BEO22"/>
    <mergeCell ref="BEQ22:BET22"/>
    <mergeCell ref="BEV22:BEY22"/>
    <mergeCell ref="BFA22:BFD22"/>
    <mergeCell ref="BDG22:BDJ22"/>
    <mergeCell ref="C21:F21"/>
    <mergeCell ref="H21:K21"/>
    <mergeCell ref="M21:P21"/>
    <mergeCell ref="R21:U21"/>
    <mergeCell ref="W21:Z21"/>
    <mergeCell ref="FX21:GA21"/>
    <mergeCell ref="GC21:GF21"/>
    <mergeCell ref="EH21:EK21"/>
    <mergeCell ref="IE21:IH21"/>
    <mergeCell ref="GJ21:GM21"/>
    <mergeCell ref="GO21:GR21"/>
    <mergeCell ref="GT21:GW21"/>
    <mergeCell ref="GY21:HB21"/>
    <mergeCell ref="HD21:HG21"/>
    <mergeCell ref="JA21:JD21"/>
    <mergeCell ref="JF21:JI21"/>
    <mergeCell ref="HK21:HN21"/>
    <mergeCell ref="HP21:HS21"/>
    <mergeCell ref="HU21:HX21"/>
    <mergeCell ref="HZ21:IC21"/>
    <mergeCell ref="BFI22:BFL22"/>
    <mergeCell ref="BFM22:BFP22"/>
    <mergeCell ref="BFR22:BFU22"/>
    <mergeCell ref="BFW22:BFZ22"/>
    <mergeCell ref="BGB22:BGE22"/>
    <mergeCell ref="BY21:CB21"/>
    <mergeCell ref="AD21:AG21"/>
    <mergeCell ref="AI21:AL21"/>
    <mergeCell ref="AN21:AQ21"/>
    <mergeCell ref="AS21:AV21"/>
    <mergeCell ref="AX21:BA21"/>
    <mergeCell ref="CU21:CX21"/>
    <mergeCell ref="CZ21:DC21"/>
    <mergeCell ref="BE21:BH21"/>
    <mergeCell ref="BJ21:BM21"/>
    <mergeCell ref="BO21:BR21"/>
    <mergeCell ref="BT21:BW21"/>
    <mergeCell ref="DQ21:DT21"/>
    <mergeCell ref="DV21:DY21"/>
    <mergeCell ref="EA21:ED21"/>
    <mergeCell ref="CF21:CI21"/>
    <mergeCell ref="CK21:CN21"/>
    <mergeCell ref="CP21:CS21"/>
    <mergeCell ref="EM21:EP21"/>
    <mergeCell ref="ER21:EU21"/>
    <mergeCell ref="EW21:EZ21"/>
    <mergeCell ref="FB21:FE21"/>
    <mergeCell ref="DG21:DJ21"/>
    <mergeCell ref="DL21:DO21"/>
    <mergeCell ref="FI21:FL21"/>
    <mergeCell ref="FN21:FQ21"/>
    <mergeCell ref="FS21:FV21"/>
    <mergeCell ref="JW21:JZ21"/>
    <mergeCell ref="KB21:KE21"/>
    <mergeCell ref="KG21:KJ21"/>
    <mergeCell ref="IL21:IO21"/>
    <mergeCell ref="IQ21:IT21"/>
    <mergeCell ref="IV21:IY21"/>
    <mergeCell ref="KS21:KV21"/>
    <mergeCell ref="KX21:LA21"/>
    <mergeCell ref="LC21:LF21"/>
    <mergeCell ref="LH21:LK21"/>
    <mergeCell ref="JM21:JP21"/>
    <mergeCell ref="JR21:JU21"/>
    <mergeCell ref="LO21:LR21"/>
    <mergeCell ref="LT21:LW21"/>
    <mergeCell ref="LY21:MB21"/>
    <mergeCell ref="MD21:MG21"/>
    <mergeCell ref="MI21:ML21"/>
    <mergeCell ref="KN21:KQ21"/>
    <mergeCell ref="MP21:MS21"/>
    <mergeCell ref="MU21:MX21"/>
    <mergeCell ref="MZ21:NC21"/>
    <mergeCell ref="NE21:NH21"/>
    <mergeCell ref="NJ21:NM21"/>
    <mergeCell ref="PL21:PO21"/>
    <mergeCell ref="NQ21:NT21"/>
    <mergeCell ref="NV21:NY21"/>
    <mergeCell ref="OA21:OD21"/>
    <mergeCell ref="OF21:OI21"/>
    <mergeCell ref="OK21:ON21"/>
    <mergeCell ref="QH21:QK21"/>
    <mergeCell ref="QM21:QP21"/>
    <mergeCell ref="OR21:OU21"/>
    <mergeCell ref="OW21:OZ21"/>
    <mergeCell ref="PB21:PE21"/>
    <mergeCell ref="PG21:PJ21"/>
    <mergeCell ref="RD21:RG21"/>
    <mergeCell ref="RI21:RL21"/>
    <mergeCell ref="RN21:RQ21"/>
    <mergeCell ref="PS21:PV21"/>
    <mergeCell ref="PX21:QA21"/>
    <mergeCell ref="QC21:QF21"/>
    <mergeCell ref="RZ21:SC21"/>
    <mergeCell ref="SE21:SH21"/>
    <mergeCell ref="SJ21:SM21"/>
    <mergeCell ref="SO21:SR21"/>
    <mergeCell ref="QT21:QW21"/>
    <mergeCell ref="QY21:RB21"/>
    <mergeCell ref="SV21:SY21"/>
    <mergeCell ref="TA21:TD21"/>
    <mergeCell ref="TF21:TI21"/>
    <mergeCell ref="TK21:TN21"/>
    <mergeCell ref="TP21:TS21"/>
    <mergeCell ref="RU21:RX21"/>
    <mergeCell ref="WZ21:XC21"/>
    <mergeCell ref="XE21:XH21"/>
    <mergeCell ref="ZB21:ZE21"/>
    <mergeCell ref="ZG21:ZJ21"/>
    <mergeCell ref="ZL21:ZO21"/>
    <mergeCell ref="ZQ21:ZT21"/>
    <mergeCell ref="ZV21:ZY21"/>
    <mergeCell ref="YA21:YD21"/>
    <mergeCell ref="AAC21:AAF21"/>
    <mergeCell ref="AAH21:AAK21"/>
    <mergeCell ref="AAM21:AAP21"/>
    <mergeCell ref="AAR21:AAU21"/>
    <mergeCell ref="AAW21:AAZ21"/>
    <mergeCell ref="VR21:VU21"/>
    <mergeCell ref="TW21:TZ21"/>
    <mergeCell ref="UB21:UE21"/>
    <mergeCell ref="UG21:UJ21"/>
    <mergeCell ref="UL21:UO21"/>
    <mergeCell ref="UQ21:UT21"/>
    <mergeCell ref="WN21:WQ21"/>
    <mergeCell ref="WS21:WV21"/>
    <mergeCell ref="UX21:VA21"/>
    <mergeCell ref="VC21:VF21"/>
    <mergeCell ref="VH21:VK21"/>
    <mergeCell ref="VM21:VP21"/>
    <mergeCell ref="XJ21:XM21"/>
    <mergeCell ref="XO21:XR21"/>
    <mergeCell ref="XT21:XW21"/>
    <mergeCell ref="VY21:WB21"/>
    <mergeCell ref="WD21:WG21"/>
    <mergeCell ref="WI21:WL21"/>
    <mergeCell ref="ABD21:ABG21"/>
    <mergeCell ref="ABI21:ABL21"/>
    <mergeCell ref="ABN21:ABQ21"/>
    <mergeCell ref="ABS21:ABV21"/>
    <mergeCell ref="ABX21:ACA21"/>
    <mergeCell ref="ACE21:ACH21"/>
    <mergeCell ref="ACJ21:ACM21"/>
    <mergeCell ref="ACO21:ACR21"/>
    <mergeCell ref="ACT21:ACW21"/>
    <mergeCell ref="ACY21:ADB21"/>
    <mergeCell ref="AFA21:AFD21"/>
    <mergeCell ref="ADF21:ADI21"/>
    <mergeCell ref="ADK21:ADN21"/>
    <mergeCell ref="ADP21:ADS21"/>
    <mergeCell ref="ADU21:ADX21"/>
    <mergeCell ref="ADZ21:AEC21"/>
    <mergeCell ref="YF21:YI21"/>
    <mergeCell ref="YK21:YN21"/>
    <mergeCell ref="YP21:YS21"/>
    <mergeCell ref="YU21:YX21"/>
    <mergeCell ref="AHJ21:AHM21"/>
    <mergeCell ref="AHO21:AHR21"/>
    <mergeCell ref="AJL21:AJO21"/>
    <mergeCell ref="AJQ21:AJT21"/>
    <mergeCell ref="AJV21:AJY21"/>
    <mergeCell ref="AKA21:AKD21"/>
    <mergeCell ref="AKF21:AKI21"/>
    <mergeCell ref="AIK21:AIN21"/>
    <mergeCell ref="AMH21:AMK21"/>
    <mergeCell ref="AKM21:AKP21"/>
    <mergeCell ref="AKR21:AKU21"/>
    <mergeCell ref="AKW21:AKZ21"/>
    <mergeCell ref="ALB21:ALE21"/>
    <mergeCell ref="ALG21:ALJ21"/>
    <mergeCell ref="AFW21:AFZ21"/>
    <mergeCell ref="AGB21:AGE21"/>
    <mergeCell ref="AEG21:AEJ21"/>
    <mergeCell ref="AEL21:AEO21"/>
    <mergeCell ref="AEQ21:AET21"/>
    <mergeCell ref="AEV21:AEY21"/>
    <mergeCell ref="AGX21:AHA21"/>
    <mergeCell ref="AHC21:AHF21"/>
    <mergeCell ref="AFH21:AFK21"/>
    <mergeCell ref="AFM21:AFP21"/>
    <mergeCell ref="AFR21:AFU21"/>
    <mergeCell ref="AHT21:AHW21"/>
    <mergeCell ref="AHY21:AIB21"/>
    <mergeCell ref="AID21:AIG21"/>
    <mergeCell ref="AGI21:AGL21"/>
    <mergeCell ref="AGN21:AGQ21"/>
    <mergeCell ref="AGS21:AGV21"/>
    <mergeCell ref="ALN21:ALQ21"/>
    <mergeCell ref="ALS21:ALV21"/>
    <mergeCell ref="ALX21:AMA21"/>
    <mergeCell ref="AMC21:AMF21"/>
    <mergeCell ref="AOK21:AON21"/>
    <mergeCell ref="AMO21:AMR21"/>
    <mergeCell ref="AMT21:AMW21"/>
    <mergeCell ref="AMY21:ANB21"/>
    <mergeCell ref="AND21:ANG21"/>
    <mergeCell ref="ANI21:ANL21"/>
    <mergeCell ref="APL21:APO21"/>
    <mergeCell ref="ANP21:ANS21"/>
    <mergeCell ref="ANU21:ANX21"/>
    <mergeCell ref="ANZ21:AOC21"/>
    <mergeCell ref="AOE21:AOH21"/>
    <mergeCell ref="AOI21:AOJ21"/>
    <mergeCell ref="AIP21:AIS21"/>
    <mergeCell ref="AIU21:AIX21"/>
    <mergeCell ref="AIZ21:AJC21"/>
    <mergeCell ref="AJE21:AJH21"/>
    <mergeCell ref="AQH21:AQK21"/>
    <mergeCell ref="AQM21:AQP21"/>
    <mergeCell ref="AOR21:AOU21"/>
    <mergeCell ref="AOW21:AOZ21"/>
    <mergeCell ref="APB21:APE21"/>
    <mergeCell ref="APG21:APJ21"/>
    <mergeCell ref="ARD21:ARG21"/>
    <mergeCell ref="ARI21:ARL21"/>
    <mergeCell ref="ARN21:ARQ21"/>
    <mergeCell ref="APS21:APV21"/>
    <mergeCell ref="APX21:AQA21"/>
    <mergeCell ref="AQC21:AQF21"/>
    <mergeCell ref="ARZ21:ASC21"/>
    <mergeCell ref="ASE21:ASH21"/>
    <mergeCell ref="ASJ21:ASM21"/>
    <mergeCell ref="ASO21:ASR21"/>
    <mergeCell ref="AQT21:AQW21"/>
    <mergeCell ref="AQY21:ARB21"/>
    <mergeCell ref="AZQ21:AZT21"/>
    <mergeCell ref="AZV21:AZY21"/>
    <mergeCell ref="AYA21:AYD21"/>
    <mergeCell ref="ASV21:ASY21"/>
    <mergeCell ref="ATA21:ATD21"/>
    <mergeCell ref="ATF21:ATI21"/>
    <mergeCell ref="ATK21:ATN21"/>
    <mergeCell ref="ATP21:ATS21"/>
    <mergeCell ref="ARU21:ARX21"/>
    <mergeCell ref="AVR21:AVU21"/>
    <mergeCell ref="ATW21:ATZ21"/>
    <mergeCell ref="AUB21:AUE21"/>
    <mergeCell ref="AUG21:AUJ21"/>
    <mergeCell ref="AUL21:AUO21"/>
    <mergeCell ref="AUQ21:AUT21"/>
    <mergeCell ref="AWN21:AWQ21"/>
    <mergeCell ref="AWS21:AWV21"/>
    <mergeCell ref="AUX21:AVA21"/>
    <mergeCell ref="AVC21:AVF21"/>
    <mergeCell ref="AVH21:AVK21"/>
    <mergeCell ref="AVM21:AVP21"/>
    <mergeCell ref="C20:G20"/>
    <mergeCell ref="H20:K20"/>
    <mergeCell ref="BE20:BI20"/>
    <mergeCell ref="BJ20:BM20"/>
    <mergeCell ref="BO20:BR20"/>
    <mergeCell ref="BT20:BW20"/>
    <mergeCell ref="BY20:CB20"/>
    <mergeCell ref="AD20:AH20"/>
    <mergeCell ref="EA20:ED20"/>
    <mergeCell ref="CF20:CJ20"/>
    <mergeCell ref="CK20:CN20"/>
    <mergeCell ref="CP20:CS20"/>
    <mergeCell ref="BAC21:BAF21"/>
    <mergeCell ref="BAH21:BAK21"/>
    <mergeCell ref="BAM21:BAP21"/>
    <mergeCell ref="BAR21:BAU21"/>
    <mergeCell ref="BAW21:BAZ21"/>
    <mergeCell ref="AZB21:AZE21"/>
    <mergeCell ref="AXJ21:AXM21"/>
    <mergeCell ref="AXO21:AXR21"/>
    <mergeCell ref="AXT21:AXW21"/>
    <mergeCell ref="AVY21:AWB21"/>
    <mergeCell ref="AWD21:AWG21"/>
    <mergeCell ref="AWI21:AWL21"/>
    <mergeCell ref="AYF21:AYI21"/>
    <mergeCell ref="AYK21:AYN21"/>
    <mergeCell ref="AYP21:AYS21"/>
    <mergeCell ref="AYU21:AYX21"/>
    <mergeCell ref="AWZ21:AXC21"/>
    <mergeCell ref="AXE21:AXH21"/>
    <mergeCell ref="AZG21:AZJ21"/>
    <mergeCell ref="AZL21:AZO21"/>
    <mergeCell ref="BEQ21:BET21"/>
    <mergeCell ref="BEV21:BEY21"/>
    <mergeCell ref="BFA21:BFD21"/>
    <mergeCell ref="BDF21:BDI21"/>
    <mergeCell ref="BDK21:BDN21"/>
    <mergeCell ref="BDP21:BDS21"/>
    <mergeCell ref="M20:P20"/>
    <mergeCell ref="R20:U20"/>
    <mergeCell ref="W20:Z20"/>
    <mergeCell ref="BFH21:BFK21"/>
    <mergeCell ref="BFM21:BFP21"/>
    <mergeCell ref="BFR21:BFU21"/>
    <mergeCell ref="BFW21:BFZ21"/>
    <mergeCell ref="BGB21:BGE21"/>
    <mergeCell ref="BEG21:BEJ21"/>
    <mergeCell ref="BEL21:BEO21"/>
    <mergeCell ref="AI20:AL20"/>
    <mergeCell ref="AN20:AQ20"/>
    <mergeCell ref="AS20:AV20"/>
    <mergeCell ref="AX20:BA20"/>
    <mergeCell ref="BCY21:BDB21"/>
    <mergeCell ref="BBD21:BBG21"/>
    <mergeCell ref="BBI21:BBL21"/>
    <mergeCell ref="BBN21:BBQ21"/>
    <mergeCell ref="BBS21:BBV21"/>
    <mergeCell ref="BBX21:BCA21"/>
    <mergeCell ref="BDU21:BDX21"/>
    <mergeCell ref="BDZ21:BEC21"/>
    <mergeCell ref="BCE21:BCH21"/>
    <mergeCell ref="BCJ21:BCM21"/>
    <mergeCell ref="BCO21:BCR21"/>
    <mergeCell ref="BCT21:BCW21"/>
    <mergeCell ref="CU20:CX20"/>
    <mergeCell ref="CZ20:DC20"/>
    <mergeCell ref="EW20:EZ20"/>
    <mergeCell ref="FB20:FE20"/>
    <mergeCell ref="DG20:DK20"/>
    <mergeCell ref="DL20:DO20"/>
    <mergeCell ref="DQ20:DT20"/>
    <mergeCell ref="DV20:DY20"/>
    <mergeCell ref="FS20:FV20"/>
    <mergeCell ref="FX20:GA20"/>
    <mergeCell ref="GC20:GF20"/>
    <mergeCell ref="EH20:EL20"/>
    <mergeCell ref="EM20:EP20"/>
    <mergeCell ref="ER20:EU20"/>
    <mergeCell ref="GO20:GR20"/>
    <mergeCell ref="GT20:GW20"/>
    <mergeCell ref="GY20:HB20"/>
    <mergeCell ref="FI20:FM20"/>
    <mergeCell ref="FN20:FQ20"/>
    <mergeCell ref="HK20:HO20"/>
    <mergeCell ref="HP20:HS20"/>
    <mergeCell ref="HU20:HX20"/>
    <mergeCell ref="HZ20:IC20"/>
    <mergeCell ref="IE20:IH20"/>
    <mergeCell ref="GJ20:GN20"/>
    <mergeCell ref="KG20:KJ20"/>
    <mergeCell ref="IL20:IP20"/>
    <mergeCell ref="IQ20:IT20"/>
    <mergeCell ref="IV20:IY20"/>
    <mergeCell ref="JA20:JD20"/>
    <mergeCell ref="JF20:JI20"/>
    <mergeCell ref="LC20:LF20"/>
    <mergeCell ref="LH20:LK20"/>
    <mergeCell ref="JM20:JQ20"/>
    <mergeCell ref="JR20:JU20"/>
    <mergeCell ref="JW20:JZ20"/>
    <mergeCell ref="KB20:KE20"/>
    <mergeCell ref="HD20:HG20"/>
    <mergeCell ref="LY20:MB20"/>
    <mergeCell ref="MD20:MG20"/>
    <mergeCell ref="MI20:ML20"/>
    <mergeCell ref="KN20:KR20"/>
    <mergeCell ref="KS20:KV20"/>
    <mergeCell ref="KX20:LA20"/>
    <mergeCell ref="MU20:MX20"/>
    <mergeCell ref="MZ20:NC20"/>
    <mergeCell ref="NE20:NH20"/>
    <mergeCell ref="NJ20:NM20"/>
    <mergeCell ref="LO20:LS20"/>
    <mergeCell ref="LT20:LW20"/>
    <mergeCell ref="NV20:NY20"/>
    <mergeCell ref="OA20:OD20"/>
    <mergeCell ref="OF20:OI20"/>
    <mergeCell ref="OK20:ON20"/>
    <mergeCell ref="MP20:MT20"/>
    <mergeCell ref="OR20:OV20"/>
    <mergeCell ref="OW20:OZ20"/>
    <mergeCell ref="PB20:PE20"/>
    <mergeCell ref="PG20:PJ20"/>
    <mergeCell ref="PL20:PO20"/>
    <mergeCell ref="NQ20:NU20"/>
    <mergeCell ref="RN20:RQ20"/>
    <mergeCell ref="PS20:PW20"/>
    <mergeCell ref="PX20:QA20"/>
    <mergeCell ref="QC20:QF20"/>
    <mergeCell ref="QH20:QK20"/>
    <mergeCell ref="QM20:QP20"/>
    <mergeCell ref="SJ20:SM20"/>
    <mergeCell ref="SO20:SR20"/>
    <mergeCell ref="QT20:QX20"/>
    <mergeCell ref="QY20:RB20"/>
    <mergeCell ref="RD20:RG20"/>
    <mergeCell ref="RI20:RL20"/>
    <mergeCell ref="YK20:YN20"/>
    <mergeCell ref="TF20:TI20"/>
    <mergeCell ref="TK20:TN20"/>
    <mergeCell ref="TP20:TS20"/>
    <mergeCell ref="RU20:RY20"/>
    <mergeCell ref="RZ20:SC20"/>
    <mergeCell ref="SE20:SH20"/>
    <mergeCell ref="UB20:UE20"/>
    <mergeCell ref="UG20:UJ20"/>
    <mergeCell ref="UL20:UO20"/>
    <mergeCell ref="UQ20:UT20"/>
    <mergeCell ref="SV20:SZ20"/>
    <mergeCell ref="TA20:TD20"/>
    <mergeCell ref="UX20:VB20"/>
    <mergeCell ref="VC20:VF20"/>
    <mergeCell ref="VH20:VK20"/>
    <mergeCell ref="VM20:VP20"/>
    <mergeCell ref="VR20:VU20"/>
    <mergeCell ref="TW20:UA20"/>
    <mergeCell ref="AAM20:AAP20"/>
    <mergeCell ref="AAR20:AAU20"/>
    <mergeCell ref="AAW20:AAZ20"/>
    <mergeCell ref="ZB20:ZF20"/>
    <mergeCell ref="ZG20:ZJ20"/>
    <mergeCell ref="ABI20:ABL20"/>
    <mergeCell ref="ABN20:ABQ20"/>
    <mergeCell ref="ABS20:ABV20"/>
    <mergeCell ref="ABX20:ACA20"/>
    <mergeCell ref="AAC20:AAG20"/>
    <mergeCell ref="AAH20:AAK20"/>
    <mergeCell ref="ACO20:ACR20"/>
    <mergeCell ref="ACT20:ACW20"/>
    <mergeCell ref="ACY20:ADB20"/>
    <mergeCell ref="ABD20:ABH20"/>
    <mergeCell ref="XT20:XW20"/>
    <mergeCell ref="VY20:WC20"/>
    <mergeCell ref="WD20:WG20"/>
    <mergeCell ref="WI20:WL20"/>
    <mergeCell ref="WN20:WQ20"/>
    <mergeCell ref="WS20:WV20"/>
    <mergeCell ref="YP20:YS20"/>
    <mergeCell ref="YU20:YX20"/>
    <mergeCell ref="WZ20:XD20"/>
    <mergeCell ref="XE20:XH20"/>
    <mergeCell ref="XJ20:XM20"/>
    <mergeCell ref="XO20:XR20"/>
    <mergeCell ref="ZL20:ZO20"/>
    <mergeCell ref="ZQ20:ZT20"/>
    <mergeCell ref="ZV20:ZY20"/>
    <mergeCell ref="YA20:YE20"/>
    <mergeCell ref="YF20:YI20"/>
    <mergeCell ref="ADK20:ADN20"/>
    <mergeCell ref="ADP20:ADS20"/>
    <mergeCell ref="ADU20:ADX20"/>
    <mergeCell ref="ADZ20:AEC20"/>
    <mergeCell ref="ACE20:ACI20"/>
    <mergeCell ref="ACJ20:ACM20"/>
    <mergeCell ref="AEG20:AEK20"/>
    <mergeCell ref="AEL20:AEO20"/>
    <mergeCell ref="AEQ20:AET20"/>
    <mergeCell ref="AEV20:AEY20"/>
    <mergeCell ref="AFA20:AFD20"/>
    <mergeCell ref="ADF20:ADJ20"/>
    <mergeCell ref="AFH20:AFL20"/>
    <mergeCell ref="AFM20:AFP20"/>
    <mergeCell ref="AFR20:AFU20"/>
    <mergeCell ref="AFW20:AFZ20"/>
    <mergeCell ref="AGB20:AGE20"/>
    <mergeCell ref="AGI20:AGM20"/>
    <mergeCell ref="AGN20:AGQ20"/>
    <mergeCell ref="AGS20:AGV20"/>
    <mergeCell ref="AGX20:AHA20"/>
    <mergeCell ref="AHC20:AHF20"/>
    <mergeCell ref="AIZ20:AJC20"/>
    <mergeCell ref="AJE20:AJH20"/>
    <mergeCell ref="AHJ20:AHN20"/>
    <mergeCell ref="AHO20:AHR20"/>
    <mergeCell ref="AHT20:AHW20"/>
    <mergeCell ref="AHY20:AIB20"/>
    <mergeCell ref="AJV20:AJY20"/>
    <mergeCell ref="AKA20:AKD20"/>
    <mergeCell ref="AKF20:AKI20"/>
    <mergeCell ref="AIK20:AIO20"/>
    <mergeCell ref="AIP20:AIS20"/>
    <mergeCell ref="AIU20:AIX20"/>
    <mergeCell ref="AKR20:AKU20"/>
    <mergeCell ref="AKW20:AKZ20"/>
    <mergeCell ref="ALB20:ALE20"/>
    <mergeCell ref="ALG20:ALJ20"/>
    <mergeCell ref="AJL20:AJP20"/>
    <mergeCell ref="AJQ20:AJT20"/>
    <mergeCell ref="ALN20:ALR20"/>
    <mergeCell ref="ALS20:ALV20"/>
    <mergeCell ref="ALX20:AMA20"/>
    <mergeCell ref="AMC20:AMF20"/>
    <mergeCell ref="AMH20:AMK20"/>
    <mergeCell ref="AKM20:AKQ20"/>
    <mergeCell ref="AMT20:AMW20"/>
    <mergeCell ref="AMY20:ANB20"/>
    <mergeCell ref="AND20:ANG20"/>
    <mergeCell ref="ANI20:ANL20"/>
    <mergeCell ref="AID20:AIG20"/>
    <mergeCell ref="ANU20:ANX20"/>
    <mergeCell ref="ANZ20:AOC20"/>
    <mergeCell ref="AOE20:AOH20"/>
    <mergeCell ref="AOI20:AOJ20"/>
    <mergeCell ref="AOK20:AON20"/>
    <mergeCell ref="AMO20:AMS20"/>
    <mergeCell ref="AOR20:AOV20"/>
    <mergeCell ref="AOW20:AOZ20"/>
    <mergeCell ref="APB20:APE20"/>
    <mergeCell ref="APG20:APJ20"/>
    <mergeCell ref="APL20:APO20"/>
    <mergeCell ref="ANP20:ANT20"/>
    <mergeCell ref="ARN20:ARQ20"/>
    <mergeCell ref="APS20:APW20"/>
    <mergeCell ref="APX20:AQA20"/>
    <mergeCell ref="AQC20:AQF20"/>
    <mergeCell ref="AQH20:AQK20"/>
    <mergeCell ref="AQM20:AQP20"/>
    <mergeCell ref="AXE20:AXH20"/>
    <mergeCell ref="AXJ20:AXM20"/>
    <mergeCell ref="AXO20:AXR20"/>
    <mergeCell ref="ASJ20:ASM20"/>
    <mergeCell ref="ASO20:ASR20"/>
    <mergeCell ref="AQT20:AQX20"/>
    <mergeCell ref="AQY20:ARB20"/>
    <mergeCell ref="ARD20:ARG20"/>
    <mergeCell ref="ARI20:ARL20"/>
    <mergeCell ref="ATF20:ATI20"/>
    <mergeCell ref="ATK20:ATN20"/>
    <mergeCell ref="ATP20:ATS20"/>
    <mergeCell ref="ARU20:ARY20"/>
    <mergeCell ref="ARZ20:ASC20"/>
    <mergeCell ref="ASE20:ASH20"/>
    <mergeCell ref="AUB20:AUE20"/>
    <mergeCell ref="AUG20:AUJ20"/>
    <mergeCell ref="AUL20:AUO20"/>
    <mergeCell ref="AUQ20:AUT20"/>
    <mergeCell ref="ASV20:ASZ20"/>
    <mergeCell ref="ATA20:ATD20"/>
    <mergeCell ref="BGB20:BGE20"/>
    <mergeCell ref="BEG20:BEK20"/>
    <mergeCell ref="BEL20:BEO20"/>
    <mergeCell ref="BEQ20:BET20"/>
    <mergeCell ref="BEV20:BEY20"/>
    <mergeCell ref="AS19:AV19"/>
    <mergeCell ref="AX19:BA19"/>
    <mergeCell ref="D19:F19"/>
    <mergeCell ref="H19:K19"/>
    <mergeCell ref="M19:P19"/>
    <mergeCell ref="R19:U19"/>
    <mergeCell ref="BO19:BR19"/>
    <mergeCell ref="BT19:BW19"/>
    <mergeCell ref="BY19:CB19"/>
    <mergeCell ref="AE19:AG19"/>
    <mergeCell ref="AZQ20:AZT20"/>
    <mergeCell ref="AZV20:AZY20"/>
    <mergeCell ref="AYA20:AYE20"/>
    <mergeCell ref="AYF20:AYI20"/>
    <mergeCell ref="AYK20:AYN20"/>
    <mergeCell ref="BAM20:BAP20"/>
    <mergeCell ref="BAR20:BAU20"/>
    <mergeCell ref="BAW20:BAZ20"/>
    <mergeCell ref="AZB20:AZF20"/>
    <mergeCell ref="AZG20:AZJ20"/>
    <mergeCell ref="AZL20:AZO20"/>
    <mergeCell ref="BBI20:BBL20"/>
    <mergeCell ref="BBN20:BBQ20"/>
    <mergeCell ref="BBS20:BBV20"/>
    <mergeCell ref="BBX20:BCA20"/>
    <mergeCell ref="BAC20:BAG20"/>
    <mergeCell ref="BAH20:BAK20"/>
    <mergeCell ref="BCE20:BCI20"/>
    <mergeCell ref="BCJ20:BCM20"/>
    <mergeCell ref="BCO20:BCR20"/>
    <mergeCell ref="BCT20:BCW20"/>
    <mergeCell ref="BCY20:BDB20"/>
    <mergeCell ref="BBD20:BBH20"/>
    <mergeCell ref="BFA20:BFD20"/>
    <mergeCell ref="BDF20:BDJ20"/>
    <mergeCell ref="BDK20:BDN20"/>
    <mergeCell ref="BDP20:BDS20"/>
    <mergeCell ref="BDU20:BDX20"/>
    <mergeCell ref="BDZ20:BEC20"/>
    <mergeCell ref="W19:Z19"/>
    <mergeCell ref="BFH20:BFL20"/>
    <mergeCell ref="BFM20:BFP20"/>
    <mergeCell ref="BFR20:BFU20"/>
    <mergeCell ref="BFW20:BFZ20"/>
    <mergeCell ref="AUX20:AVB20"/>
    <mergeCell ref="AVC20:AVF20"/>
    <mergeCell ref="AVH20:AVK20"/>
    <mergeCell ref="AVM20:AVP20"/>
    <mergeCell ref="AVR20:AVU20"/>
    <mergeCell ref="ATW20:AUA20"/>
    <mergeCell ref="AXT20:AXW20"/>
    <mergeCell ref="AVY20:AWC20"/>
    <mergeCell ref="AWD20:AWG20"/>
    <mergeCell ref="AWI20:AWL20"/>
    <mergeCell ref="AWN20:AWQ20"/>
    <mergeCell ref="AWS20:AWV20"/>
    <mergeCell ref="AYP20:AYS20"/>
    <mergeCell ref="AYU20:AYX20"/>
    <mergeCell ref="AWZ20:AXD20"/>
    <mergeCell ref="AI19:AL19"/>
    <mergeCell ref="AN19:AQ19"/>
    <mergeCell ref="CK19:CN19"/>
    <mergeCell ref="CP19:CS19"/>
    <mergeCell ref="CU19:CX19"/>
    <mergeCell ref="CZ19:DC19"/>
    <mergeCell ref="BF19:BH19"/>
    <mergeCell ref="BJ19:BM19"/>
    <mergeCell ref="DH19:DJ19"/>
    <mergeCell ref="DL19:DO19"/>
    <mergeCell ref="DQ19:DT19"/>
    <mergeCell ref="DV19:DY19"/>
    <mergeCell ref="EA19:ED19"/>
    <mergeCell ref="CG19:CI19"/>
    <mergeCell ref="GC19:GF19"/>
    <mergeCell ref="EI19:EK19"/>
    <mergeCell ref="EM19:EP19"/>
    <mergeCell ref="ER19:EU19"/>
    <mergeCell ref="EW19:EZ19"/>
    <mergeCell ref="FB19:FE19"/>
    <mergeCell ref="IM19:IO19"/>
    <mergeCell ref="MI19:ML19"/>
    <mergeCell ref="KO19:KQ19"/>
    <mergeCell ref="KS19:KV19"/>
    <mergeCell ref="KX19:LA19"/>
    <mergeCell ref="LC19:LF19"/>
    <mergeCell ref="LH19:LK19"/>
    <mergeCell ref="NE19:NH19"/>
    <mergeCell ref="NJ19:NM19"/>
    <mergeCell ref="LP19:LR19"/>
    <mergeCell ref="LT19:LW19"/>
    <mergeCell ref="LY19:MB19"/>
    <mergeCell ref="MD19:MG19"/>
    <mergeCell ref="GY19:HB19"/>
    <mergeCell ref="HD19:HG19"/>
    <mergeCell ref="FJ19:FL19"/>
    <mergeCell ref="FN19:FQ19"/>
    <mergeCell ref="FS19:FV19"/>
    <mergeCell ref="FX19:GA19"/>
    <mergeCell ref="HU19:HX19"/>
    <mergeCell ref="HZ19:IC19"/>
    <mergeCell ref="IE19:IH19"/>
    <mergeCell ref="GK19:GM19"/>
    <mergeCell ref="GO19:GR19"/>
    <mergeCell ref="GT19:GW19"/>
    <mergeCell ref="IQ19:IT19"/>
    <mergeCell ref="IV19:IY19"/>
    <mergeCell ref="JA19:JD19"/>
    <mergeCell ref="JF19:JI19"/>
    <mergeCell ref="HL19:HN19"/>
    <mergeCell ref="HP19:HS19"/>
    <mergeCell ref="OF19:OI19"/>
    <mergeCell ref="OK19:ON19"/>
    <mergeCell ref="MQ19:MS19"/>
    <mergeCell ref="MU19:MX19"/>
    <mergeCell ref="MZ19:NC19"/>
    <mergeCell ref="PB19:PE19"/>
    <mergeCell ref="PG19:PJ19"/>
    <mergeCell ref="PL19:PO19"/>
    <mergeCell ref="NR19:NT19"/>
    <mergeCell ref="NV19:NY19"/>
    <mergeCell ref="OA19:OD19"/>
    <mergeCell ref="PX19:QA19"/>
    <mergeCell ref="QC19:QF19"/>
    <mergeCell ref="QH19:QK19"/>
    <mergeCell ref="QM19:QP19"/>
    <mergeCell ref="OS19:OU19"/>
    <mergeCell ref="OW19:OZ19"/>
    <mergeCell ref="SJ19:SM19"/>
    <mergeCell ref="SO19:SR19"/>
    <mergeCell ref="QU19:QW19"/>
    <mergeCell ref="QY19:RB19"/>
    <mergeCell ref="RD19:RG19"/>
    <mergeCell ref="RI19:RL19"/>
    <mergeCell ref="TF19:TI19"/>
    <mergeCell ref="TK19:TN19"/>
    <mergeCell ref="TP19:TS19"/>
    <mergeCell ref="RV19:RX19"/>
    <mergeCell ref="RZ19:SC19"/>
    <mergeCell ref="SE19:SH19"/>
    <mergeCell ref="UB19:UE19"/>
    <mergeCell ref="UG19:UJ19"/>
    <mergeCell ref="UL19:UO19"/>
    <mergeCell ref="UQ19:UT19"/>
    <mergeCell ref="SW19:SY19"/>
    <mergeCell ref="TA19:TD19"/>
    <mergeCell ref="YB19:YD19"/>
    <mergeCell ref="YF19:YI19"/>
    <mergeCell ref="YK19:YN19"/>
    <mergeCell ref="AAM19:AAP19"/>
    <mergeCell ref="AAR19:AAU19"/>
    <mergeCell ref="AAW19:AAZ19"/>
    <mergeCell ref="ZC19:ZE19"/>
    <mergeCell ref="ZG19:ZJ19"/>
    <mergeCell ref="ABI19:ABL19"/>
    <mergeCell ref="ABN19:ABQ19"/>
    <mergeCell ref="ABS19:ABV19"/>
    <mergeCell ref="ABX19:ACA19"/>
    <mergeCell ref="AAD19:AAF19"/>
    <mergeCell ref="AAH19:AAK19"/>
    <mergeCell ref="UY19:VA19"/>
    <mergeCell ref="VC19:VF19"/>
    <mergeCell ref="VH19:VK19"/>
    <mergeCell ref="VM19:VP19"/>
    <mergeCell ref="VR19:VU19"/>
    <mergeCell ref="XT19:XW19"/>
    <mergeCell ref="VZ19:WB19"/>
    <mergeCell ref="WD19:WG19"/>
    <mergeCell ref="WI19:WL19"/>
    <mergeCell ref="WN19:WQ19"/>
    <mergeCell ref="WS19:WV19"/>
    <mergeCell ref="YP19:YS19"/>
    <mergeCell ref="YU19:YX19"/>
    <mergeCell ref="XA19:XC19"/>
    <mergeCell ref="XE19:XH19"/>
    <mergeCell ref="XJ19:XM19"/>
    <mergeCell ref="XO19:XR19"/>
    <mergeCell ref="ACO19:ACR19"/>
    <mergeCell ref="ACT19:ACW19"/>
    <mergeCell ref="ACY19:ADB19"/>
    <mergeCell ref="ABE19:ABG19"/>
    <mergeCell ref="ADK19:ADN19"/>
    <mergeCell ref="ADP19:ADS19"/>
    <mergeCell ref="ADU19:ADX19"/>
    <mergeCell ref="ADZ19:AEC19"/>
    <mergeCell ref="ACF19:ACH19"/>
    <mergeCell ref="ACJ19:ACM19"/>
    <mergeCell ref="AEH19:AEJ19"/>
    <mergeCell ref="AEL19:AEO19"/>
    <mergeCell ref="AEQ19:AET19"/>
    <mergeCell ref="AEV19:AEY19"/>
    <mergeCell ref="AFA19:AFD19"/>
    <mergeCell ref="ADG19:ADI19"/>
    <mergeCell ref="ZL19:ZO19"/>
    <mergeCell ref="ZQ19:ZT19"/>
    <mergeCell ref="ZV19:ZY19"/>
    <mergeCell ref="AIL19:AIN19"/>
    <mergeCell ref="AIP19:AIS19"/>
    <mergeCell ref="AIU19:AIX19"/>
    <mergeCell ref="AKR19:AKU19"/>
    <mergeCell ref="AKW19:AKZ19"/>
    <mergeCell ref="ALB19:ALE19"/>
    <mergeCell ref="ALG19:ALJ19"/>
    <mergeCell ref="AJM19:AJO19"/>
    <mergeCell ref="AJQ19:AJT19"/>
    <mergeCell ref="ALO19:ALQ19"/>
    <mergeCell ref="ALS19:ALV19"/>
    <mergeCell ref="ALX19:AMA19"/>
    <mergeCell ref="AMC19:AMF19"/>
    <mergeCell ref="AMH19:AMK19"/>
    <mergeCell ref="AKN19:AKP19"/>
    <mergeCell ref="AFI19:AFK19"/>
    <mergeCell ref="AFM19:AFP19"/>
    <mergeCell ref="AFR19:AFU19"/>
    <mergeCell ref="AFW19:AFZ19"/>
    <mergeCell ref="AGB19:AGE19"/>
    <mergeCell ref="AID19:AIG19"/>
    <mergeCell ref="AGJ19:AGL19"/>
    <mergeCell ref="AGN19:AGQ19"/>
    <mergeCell ref="AGS19:AGV19"/>
    <mergeCell ref="AGX19:AHA19"/>
    <mergeCell ref="AHC19:AHF19"/>
    <mergeCell ref="AIZ19:AJC19"/>
    <mergeCell ref="AJE19:AJH19"/>
    <mergeCell ref="AHK19:AHM19"/>
    <mergeCell ref="AHO19:AHR19"/>
    <mergeCell ref="AHT19:AHW19"/>
    <mergeCell ref="AHY19:AIB19"/>
    <mergeCell ref="AMT19:AMW19"/>
    <mergeCell ref="AMY19:ANB19"/>
    <mergeCell ref="AND19:ANG19"/>
    <mergeCell ref="ANI19:ANL19"/>
    <mergeCell ref="ANU19:ANX19"/>
    <mergeCell ref="ANZ19:AOC19"/>
    <mergeCell ref="AOE19:AOH19"/>
    <mergeCell ref="AOI19:AOJ19"/>
    <mergeCell ref="AOK19:AON19"/>
    <mergeCell ref="AMP19:AMR19"/>
    <mergeCell ref="AOS19:AOU19"/>
    <mergeCell ref="AOW19:AOZ19"/>
    <mergeCell ref="APB19:APE19"/>
    <mergeCell ref="APG19:APJ19"/>
    <mergeCell ref="APL19:APO19"/>
    <mergeCell ref="ANQ19:ANS19"/>
    <mergeCell ref="AJV19:AJY19"/>
    <mergeCell ref="AKA19:AKD19"/>
    <mergeCell ref="AKF19:AKI19"/>
    <mergeCell ref="APT19:APV19"/>
    <mergeCell ref="APX19:AQA19"/>
    <mergeCell ref="AQC19:AQF19"/>
    <mergeCell ref="AQH19:AQK19"/>
    <mergeCell ref="AQM19:AQP19"/>
    <mergeCell ref="ASJ19:ASM19"/>
    <mergeCell ref="ASO19:ASR19"/>
    <mergeCell ref="AQU19:AQW19"/>
    <mergeCell ref="AQY19:ARB19"/>
    <mergeCell ref="ARD19:ARG19"/>
    <mergeCell ref="ARI19:ARL19"/>
    <mergeCell ref="ATF19:ATI19"/>
    <mergeCell ref="ATK19:ATN19"/>
    <mergeCell ref="ATP19:ATS19"/>
    <mergeCell ref="ARV19:ARX19"/>
    <mergeCell ref="ARZ19:ASC19"/>
    <mergeCell ref="ASE19:ASH19"/>
    <mergeCell ref="BAM19:BAP19"/>
    <mergeCell ref="BAR19:BAU19"/>
    <mergeCell ref="BAW19:BAZ19"/>
    <mergeCell ref="AZC19:AZE19"/>
    <mergeCell ref="AZG19:AZJ19"/>
    <mergeCell ref="AZL19:AZO19"/>
    <mergeCell ref="AUB19:AUE19"/>
    <mergeCell ref="AUG19:AUJ19"/>
    <mergeCell ref="AUL19:AUO19"/>
    <mergeCell ref="AUQ19:AUT19"/>
    <mergeCell ref="ASW19:ASY19"/>
    <mergeCell ref="ATA19:ATD19"/>
    <mergeCell ref="AUY19:AVA19"/>
    <mergeCell ref="AVC19:AVF19"/>
    <mergeCell ref="AVH19:AVK19"/>
    <mergeCell ref="AVM19:AVP19"/>
    <mergeCell ref="AVR19:AVU19"/>
    <mergeCell ref="ATX19:ATZ19"/>
    <mergeCell ref="AXT19:AXW19"/>
    <mergeCell ref="AVZ19:AWB19"/>
    <mergeCell ref="AWD19:AWG19"/>
    <mergeCell ref="AWI19:AWL19"/>
    <mergeCell ref="AWN19:AWQ19"/>
    <mergeCell ref="AWS19:AWV19"/>
    <mergeCell ref="DH18:DJ18"/>
    <mergeCell ref="DL18:DO18"/>
    <mergeCell ref="DQ18:DT18"/>
    <mergeCell ref="BBI19:BBL19"/>
    <mergeCell ref="BBN19:BBQ19"/>
    <mergeCell ref="BBS19:BBV19"/>
    <mergeCell ref="BBX19:BCA19"/>
    <mergeCell ref="BAD19:BAF19"/>
    <mergeCell ref="BAH19:BAK19"/>
    <mergeCell ref="BCF19:BCH19"/>
    <mergeCell ref="BCJ19:BCM19"/>
    <mergeCell ref="BCO19:BCR19"/>
    <mergeCell ref="BCT19:BCW19"/>
    <mergeCell ref="BCY19:BDB19"/>
    <mergeCell ref="BBE19:BBG19"/>
    <mergeCell ref="BFA19:BFD19"/>
    <mergeCell ref="BDG19:BDI19"/>
    <mergeCell ref="BDK19:BDN19"/>
    <mergeCell ref="BDP19:BDS19"/>
    <mergeCell ref="BDU19:BDX19"/>
    <mergeCell ref="BDZ19:BEC19"/>
    <mergeCell ref="AYP19:AYS19"/>
    <mergeCell ref="AYU19:AYX19"/>
    <mergeCell ref="AXA19:AXC19"/>
    <mergeCell ref="AXE19:AXH19"/>
    <mergeCell ref="AXJ19:AXM19"/>
    <mergeCell ref="AXO19:AXR19"/>
    <mergeCell ref="AZQ19:AZT19"/>
    <mergeCell ref="AZV19:AZY19"/>
    <mergeCell ref="AYB19:AYD19"/>
    <mergeCell ref="AYF19:AYI19"/>
    <mergeCell ref="AYK19:AYN19"/>
    <mergeCell ref="HZ18:IC18"/>
    <mergeCell ref="IE18:IH18"/>
    <mergeCell ref="GK18:GM18"/>
    <mergeCell ref="W18:Z18"/>
    <mergeCell ref="BFI19:BFK19"/>
    <mergeCell ref="BFM19:BFP19"/>
    <mergeCell ref="BFR19:BFU19"/>
    <mergeCell ref="BFW19:BFZ19"/>
    <mergeCell ref="BGB19:BGE19"/>
    <mergeCell ref="BEH19:BEJ19"/>
    <mergeCell ref="BEL19:BEO19"/>
    <mergeCell ref="BEQ19:BET19"/>
    <mergeCell ref="BEV19:BEY19"/>
    <mergeCell ref="AS18:AV18"/>
    <mergeCell ref="AX18:BA18"/>
    <mergeCell ref="D18:F18"/>
    <mergeCell ref="H18:K18"/>
    <mergeCell ref="M18:P18"/>
    <mergeCell ref="R18:U18"/>
    <mergeCell ref="BJ18:BM18"/>
    <mergeCell ref="BO18:BR18"/>
    <mergeCell ref="BT18:BW18"/>
    <mergeCell ref="BY18:CB18"/>
    <mergeCell ref="AE18:AG18"/>
    <mergeCell ref="AI18:AL18"/>
    <mergeCell ref="CG18:CI18"/>
    <mergeCell ref="CK18:CN18"/>
    <mergeCell ref="CP18:CS18"/>
    <mergeCell ref="CU18:CX18"/>
    <mergeCell ref="CZ18:DC18"/>
    <mergeCell ref="BF18:BH18"/>
    <mergeCell ref="FB18:FE18"/>
    <mergeCell ref="DV18:DY18"/>
    <mergeCell ref="EA18:ED18"/>
    <mergeCell ref="FX18:GA18"/>
    <mergeCell ref="GC18:GF18"/>
    <mergeCell ref="EI18:EK18"/>
    <mergeCell ref="EM18:EP18"/>
    <mergeCell ref="ER18:EU18"/>
    <mergeCell ref="EW18:EZ18"/>
    <mergeCell ref="GO18:GR18"/>
    <mergeCell ref="GT18:GW18"/>
    <mergeCell ref="GY18:HB18"/>
    <mergeCell ref="HD18:HG18"/>
    <mergeCell ref="FJ18:FL18"/>
    <mergeCell ref="FN18:FQ18"/>
    <mergeCell ref="HL18:HN18"/>
    <mergeCell ref="HP18:HS18"/>
    <mergeCell ref="HU18:HX18"/>
    <mergeCell ref="PB18:PE18"/>
    <mergeCell ref="PG18:PJ18"/>
    <mergeCell ref="PL18:PO18"/>
    <mergeCell ref="KG18:KJ18"/>
    <mergeCell ref="IM18:IO18"/>
    <mergeCell ref="IQ18:IT18"/>
    <mergeCell ref="IV18:IY18"/>
    <mergeCell ref="JA18:JD18"/>
    <mergeCell ref="JF18:JI18"/>
    <mergeCell ref="LC18:LF18"/>
    <mergeCell ref="LH18:LK18"/>
    <mergeCell ref="JN18:JP18"/>
    <mergeCell ref="JR18:JU18"/>
    <mergeCell ref="JW18:JZ18"/>
    <mergeCell ref="KB18:KE18"/>
    <mergeCell ref="LY18:MB18"/>
    <mergeCell ref="MD18:MG18"/>
    <mergeCell ref="MI18:ML18"/>
    <mergeCell ref="KO18:KQ18"/>
    <mergeCell ref="KS18:KV18"/>
    <mergeCell ref="KX18:LA18"/>
    <mergeCell ref="RD18:RG18"/>
    <mergeCell ref="RI18:RL18"/>
    <mergeCell ref="RN18:RQ18"/>
    <mergeCell ref="PT18:PV18"/>
    <mergeCell ref="PX18:QA18"/>
    <mergeCell ref="QC18:QF18"/>
    <mergeCell ref="TP18:TS18"/>
    <mergeCell ref="RV18:RX18"/>
    <mergeCell ref="RZ18:SC18"/>
    <mergeCell ref="SE18:SH18"/>
    <mergeCell ref="SJ18:SM18"/>
    <mergeCell ref="SO18:SR18"/>
    <mergeCell ref="UL18:UO18"/>
    <mergeCell ref="UQ18:UT18"/>
    <mergeCell ref="SW18:SY18"/>
    <mergeCell ref="TA18:TD18"/>
    <mergeCell ref="TF18:TI18"/>
    <mergeCell ref="TK18:TN18"/>
    <mergeCell ref="QM18:QP18"/>
    <mergeCell ref="YK18:YN18"/>
    <mergeCell ref="YP18:YS18"/>
    <mergeCell ref="AAH18:AAK18"/>
    <mergeCell ref="AAM18:AAP18"/>
    <mergeCell ref="AAR18:AAU18"/>
    <mergeCell ref="AAW18:AAZ18"/>
    <mergeCell ref="ZC18:ZE18"/>
    <mergeCell ref="ABE18:ABG18"/>
    <mergeCell ref="ABI18:ABL18"/>
    <mergeCell ref="ABN18:ABQ18"/>
    <mergeCell ref="ABS18:ABV18"/>
    <mergeCell ref="ABX18:ACA18"/>
    <mergeCell ref="AAD18:AAF18"/>
    <mergeCell ref="VH18:VK18"/>
    <mergeCell ref="VM18:VP18"/>
    <mergeCell ref="VR18:VU18"/>
    <mergeCell ref="TX18:TZ18"/>
    <mergeCell ref="UB18:UE18"/>
    <mergeCell ref="UG18:UJ18"/>
    <mergeCell ref="WD18:WG18"/>
    <mergeCell ref="WI18:WL18"/>
    <mergeCell ref="WN18:WQ18"/>
    <mergeCell ref="WS18:WV18"/>
    <mergeCell ref="UY18:VA18"/>
    <mergeCell ref="VC18:VF18"/>
    <mergeCell ref="XA18:XC18"/>
    <mergeCell ref="XE18:XH18"/>
    <mergeCell ref="XJ18:XM18"/>
    <mergeCell ref="XO18:XR18"/>
    <mergeCell ref="XT18:XW18"/>
    <mergeCell ref="VZ18:WB18"/>
    <mergeCell ref="ACJ18:ACM18"/>
    <mergeCell ref="ACO18:ACR18"/>
    <mergeCell ref="ACT18:ACW18"/>
    <mergeCell ref="ACY18:ADB18"/>
    <mergeCell ref="ADG18:ADI18"/>
    <mergeCell ref="ADK18:ADN18"/>
    <mergeCell ref="ADP18:ADS18"/>
    <mergeCell ref="ADU18:ADX18"/>
    <mergeCell ref="ADZ18:AEC18"/>
    <mergeCell ref="ACF18:ACH18"/>
    <mergeCell ref="AGB18:AGE18"/>
    <mergeCell ref="AEH18:AEJ18"/>
    <mergeCell ref="AEL18:AEO18"/>
    <mergeCell ref="AEQ18:AET18"/>
    <mergeCell ref="AEV18:AEY18"/>
    <mergeCell ref="AFA18:AFD18"/>
    <mergeCell ref="ZQ18:ZT18"/>
    <mergeCell ref="ZV18:ZY18"/>
    <mergeCell ref="AIL18:AIN18"/>
    <mergeCell ref="AIP18:AIS18"/>
    <mergeCell ref="AKN18:AKP18"/>
    <mergeCell ref="AKR18:AKU18"/>
    <mergeCell ref="AKW18:AKZ18"/>
    <mergeCell ref="ALB18:ALE18"/>
    <mergeCell ref="ALG18:ALJ18"/>
    <mergeCell ref="AJM18:AJO18"/>
    <mergeCell ref="ALO18:ALQ18"/>
    <mergeCell ref="ALS18:ALV18"/>
    <mergeCell ref="ALX18:AMA18"/>
    <mergeCell ref="AMC18:AMF18"/>
    <mergeCell ref="AMH18:AMK18"/>
    <mergeCell ref="AHC18:AHF18"/>
    <mergeCell ref="AFI18:AFK18"/>
    <mergeCell ref="AFM18:AFP18"/>
    <mergeCell ref="AFR18:AFU18"/>
    <mergeCell ref="AFW18:AFZ18"/>
    <mergeCell ref="AHY18:AIB18"/>
    <mergeCell ref="AID18:AIG18"/>
    <mergeCell ref="AGJ18:AGL18"/>
    <mergeCell ref="AGN18:AGQ18"/>
    <mergeCell ref="AGS18:AGV18"/>
    <mergeCell ref="AGX18:AHA18"/>
    <mergeCell ref="AIU18:AIX18"/>
    <mergeCell ref="AIZ18:AJC18"/>
    <mergeCell ref="AJE18:AJH18"/>
    <mergeCell ref="AHK18:AHM18"/>
    <mergeCell ref="AHO18:AHR18"/>
    <mergeCell ref="AHT18:AHW18"/>
    <mergeCell ref="AOI18:AOJ18"/>
    <mergeCell ref="AOK18:AON18"/>
    <mergeCell ref="AMP18:AMR18"/>
    <mergeCell ref="AMT18:AMW18"/>
    <mergeCell ref="AMY18:ANB18"/>
    <mergeCell ref="AND18:ANG18"/>
    <mergeCell ref="APB18:APE18"/>
    <mergeCell ref="APG18:APJ18"/>
    <mergeCell ref="APL18:APO18"/>
    <mergeCell ref="ANQ18:ANS18"/>
    <mergeCell ref="ANU18:ANX18"/>
    <mergeCell ref="ANZ18:AOC18"/>
    <mergeCell ref="APX18:AQA18"/>
    <mergeCell ref="AQC18:AQF18"/>
    <mergeCell ref="AQH18:AQK18"/>
    <mergeCell ref="AQM18:AQP18"/>
    <mergeCell ref="AOS18:AOU18"/>
    <mergeCell ref="AOW18:AOZ18"/>
    <mergeCell ref="AWI18:AWL18"/>
    <mergeCell ref="AWN18:AWQ18"/>
    <mergeCell ref="AWS18:AWV18"/>
    <mergeCell ref="AUY18:AVA18"/>
    <mergeCell ref="AVC18:AVF18"/>
    <mergeCell ref="AXA18:AXC18"/>
    <mergeCell ref="AXE18:AXH18"/>
    <mergeCell ref="AXJ18:AXM18"/>
    <mergeCell ref="AXO18:AXR18"/>
    <mergeCell ref="AXT18:AXW18"/>
    <mergeCell ref="AVZ18:AWB18"/>
    <mergeCell ref="AQU18:AQW18"/>
    <mergeCell ref="AQY18:ARB18"/>
    <mergeCell ref="ARD18:ARG18"/>
    <mergeCell ref="ARI18:ARL18"/>
    <mergeCell ref="ARN18:ARQ18"/>
    <mergeCell ref="APT18:APV18"/>
    <mergeCell ref="ATP18:ATS18"/>
    <mergeCell ref="ARV18:ARX18"/>
    <mergeCell ref="ARZ18:ASC18"/>
    <mergeCell ref="ASE18:ASH18"/>
    <mergeCell ref="ASJ18:ASM18"/>
    <mergeCell ref="ASO18:ASR18"/>
    <mergeCell ref="AUL18:AUO18"/>
    <mergeCell ref="AUQ18:AUT18"/>
    <mergeCell ref="ASW18:ASY18"/>
    <mergeCell ref="ATA18:ATD18"/>
    <mergeCell ref="ATF18:ATI18"/>
    <mergeCell ref="ATK18:ATN18"/>
    <mergeCell ref="W17:Z17"/>
    <mergeCell ref="BFI18:BFK18"/>
    <mergeCell ref="BFM18:BFP18"/>
    <mergeCell ref="BFR18:BFU18"/>
    <mergeCell ref="BFW18:BFZ18"/>
    <mergeCell ref="BGB18:BGE18"/>
    <mergeCell ref="BEH18:BEJ18"/>
    <mergeCell ref="BEL18:BEO18"/>
    <mergeCell ref="BEQ18:BET18"/>
    <mergeCell ref="BEV18:BEY18"/>
    <mergeCell ref="AS17:AV17"/>
    <mergeCell ref="AX17:BA17"/>
    <mergeCell ref="D17:F17"/>
    <mergeCell ref="H17:K17"/>
    <mergeCell ref="M17:P17"/>
    <mergeCell ref="R17:U17"/>
    <mergeCell ref="BO17:BR17"/>
    <mergeCell ref="BT17:BW17"/>
    <mergeCell ref="BY17:CB17"/>
    <mergeCell ref="AE17:AG17"/>
    <mergeCell ref="AZV18:AZY18"/>
    <mergeCell ref="AYB18:AYD18"/>
    <mergeCell ref="AYF18:AYI18"/>
    <mergeCell ref="AYK18:AYN18"/>
    <mergeCell ref="AYP18:AYS18"/>
    <mergeCell ref="AYU18:AYX18"/>
    <mergeCell ref="BAW18:BAZ18"/>
    <mergeCell ref="AZC18:AZE18"/>
    <mergeCell ref="AZG18:AZJ18"/>
    <mergeCell ref="AZL18:AZO18"/>
    <mergeCell ref="AZQ18:AZT18"/>
    <mergeCell ref="BBS18:BBV18"/>
    <mergeCell ref="EA17:ED17"/>
    <mergeCell ref="CG17:CI17"/>
    <mergeCell ref="GC17:GF17"/>
    <mergeCell ref="EI17:EK17"/>
    <mergeCell ref="EM17:EP17"/>
    <mergeCell ref="ER17:EU17"/>
    <mergeCell ref="EW17:EZ17"/>
    <mergeCell ref="FB17:FE17"/>
    <mergeCell ref="BCO18:BCR18"/>
    <mergeCell ref="BCT18:BCW18"/>
    <mergeCell ref="BCY18:BDB18"/>
    <mergeCell ref="BBE18:BBG18"/>
    <mergeCell ref="BBI18:BBL18"/>
    <mergeCell ref="BBN18:BBQ18"/>
    <mergeCell ref="BFA18:BFD18"/>
    <mergeCell ref="BDG18:BDI18"/>
    <mergeCell ref="BDK18:BDN18"/>
    <mergeCell ref="BDP18:BDS18"/>
    <mergeCell ref="BDU18:BDX18"/>
    <mergeCell ref="BDZ18:BEC18"/>
    <mergeCell ref="BBX18:BCA18"/>
    <mergeCell ref="BAD18:BAF18"/>
    <mergeCell ref="BAH18:BAK18"/>
    <mergeCell ref="BAM18:BAP18"/>
    <mergeCell ref="BAR18:BAU18"/>
    <mergeCell ref="AVH18:AVK18"/>
    <mergeCell ref="AVM18:AVP18"/>
    <mergeCell ref="AVR18:AVU18"/>
    <mergeCell ref="ATX18:ATZ18"/>
    <mergeCell ref="AUB18:AUE18"/>
    <mergeCell ref="AUG18:AUJ18"/>
    <mergeCell ref="AWD18:AWG18"/>
    <mergeCell ref="GT17:GW17"/>
    <mergeCell ref="GY17:HB17"/>
    <mergeCell ref="HD17:HG17"/>
    <mergeCell ref="FJ17:FL17"/>
    <mergeCell ref="FN17:FQ17"/>
    <mergeCell ref="FS17:FV17"/>
    <mergeCell ref="HP17:HS17"/>
    <mergeCell ref="HU17:HX17"/>
    <mergeCell ref="HZ17:IC17"/>
    <mergeCell ref="IE17:IH17"/>
    <mergeCell ref="GK17:GM17"/>
    <mergeCell ref="GO17:GR17"/>
    <mergeCell ref="KG17:KJ17"/>
    <mergeCell ref="IM17:IO17"/>
    <mergeCell ref="IQ17:IT17"/>
    <mergeCell ref="IV17:IY17"/>
    <mergeCell ref="JA17:JD17"/>
    <mergeCell ref="JF17:JI17"/>
    <mergeCell ref="QM17:QP17"/>
    <mergeCell ref="OS17:OU17"/>
    <mergeCell ref="OW17:OZ17"/>
    <mergeCell ref="PB17:PE17"/>
    <mergeCell ref="PG17:PJ17"/>
    <mergeCell ref="PL17:PO17"/>
    <mergeCell ref="RI17:RL17"/>
    <mergeCell ref="RN17:RQ17"/>
    <mergeCell ref="PT17:PV17"/>
    <mergeCell ref="PX17:QA17"/>
    <mergeCell ref="QC17:QF17"/>
    <mergeCell ref="QH17:QK17"/>
    <mergeCell ref="LC17:LF17"/>
    <mergeCell ref="LH17:LK17"/>
    <mergeCell ref="JN17:JP17"/>
    <mergeCell ref="JR17:JU17"/>
    <mergeCell ref="JW17:JZ17"/>
    <mergeCell ref="KB17:KE17"/>
    <mergeCell ref="LY17:MB17"/>
    <mergeCell ref="MD17:MG17"/>
    <mergeCell ref="MI17:ML17"/>
    <mergeCell ref="KO17:KQ17"/>
    <mergeCell ref="KS17:KV17"/>
    <mergeCell ref="KX17:LA17"/>
    <mergeCell ref="MQ17:MS17"/>
    <mergeCell ref="MU17:MX17"/>
    <mergeCell ref="MZ17:NC17"/>
    <mergeCell ref="NE17:NH17"/>
    <mergeCell ref="NJ17:NM17"/>
    <mergeCell ref="LP17:LR17"/>
    <mergeCell ref="XA17:XC17"/>
    <mergeCell ref="XE17:XH17"/>
    <mergeCell ref="ZC17:ZE17"/>
    <mergeCell ref="ZG17:ZJ17"/>
    <mergeCell ref="ZL17:ZO17"/>
    <mergeCell ref="ZQ17:ZT17"/>
    <mergeCell ref="ZV17:ZY17"/>
    <mergeCell ref="RZ17:SC17"/>
    <mergeCell ref="SE17:SH17"/>
    <mergeCell ref="SJ17:SM17"/>
    <mergeCell ref="SO17:SR17"/>
    <mergeCell ref="QU17:QW17"/>
    <mergeCell ref="QY17:RB17"/>
    <mergeCell ref="SW17:SY17"/>
    <mergeCell ref="TA17:TD17"/>
    <mergeCell ref="TF17:TI17"/>
    <mergeCell ref="TK17:TN17"/>
    <mergeCell ref="TP17:TS17"/>
    <mergeCell ref="RV17:RX17"/>
    <mergeCell ref="VC17:VF17"/>
    <mergeCell ref="VH17:VK17"/>
    <mergeCell ref="VM17:VP17"/>
    <mergeCell ref="VR17:VU17"/>
    <mergeCell ref="TX17:TZ17"/>
    <mergeCell ref="UB17:UE17"/>
    <mergeCell ref="ADP17:ADS17"/>
    <mergeCell ref="ADU17:ADX17"/>
    <mergeCell ref="AFR17:AFU17"/>
    <mergeCell ref="AFW17:AFZ17"/>
    <mergeCell ref="AGB17:AGE17"/>
    <mergeCell ref="AEH17:AEJ17"/>
    <mergeCell ref="AEL17:AEO17"/>
    <mergeCell ref="AEQ17:AET17"/>
    <mergeCell ref="AGS17:AGV17"/>
    <mergeCell ref="AGX17:AHA17"/>
    <mergeCell ref="AHC17:AHF17"/>
    <mergeCell ref="AFI17:AFK17"/>
    <mergeCell ref="AFM17:AFP17"/>
    <mergeCell ref="ABX17:ACA17"/>
    <mergeCell ref="AAD17:AAF17"/>
    <mergeCell ref="AAH17:AAK17"/>
    <mergeCell ref="AAM17:AAP17"/>
    <mergeCell ref="AAR17:AAU17"/>
    <mergeCell ref="AAW17:AAZ17"/>
    <mergeCell ref="ABE17:ABG17"/>
    <mergeCell ref="ABI17:ABL17"/>
    <mergeCell ref="ABN17:ABQ17"/>
    <mergeCell ref="ABS17:ABV17"/>
    <mergeCell ref="ADZ17:AEC17"/>
    <mergeCell ref="ACF17:ACH17"/>
    <mergeCell ref="ACJ17:ACM17"/>
    <mergeCell ref="ACO17:ACR17"/>
    <mergeCell ref="ACT17:ACW17"/>
    <mergeCell ref="ACY17:ADB17"/>
    <mergeCell ref="AMY17:ANB17"/>
    <mergeCell ref="AND17:ANG17"/>
    <mergeCell ref="ANI17:ANL17"/>
    <mergeCell ref="APL17:APO17"/>
    <mergeCell ref="ANQ17:ANS17"/>
    <mergeCell ref="ANU17:ANX17"/>
    <mergeCell ref="ANZ17:AOC17"/>
    <mergeCell ref="AOE17:AOH17"/>
    <mergeCell ref="AOI17:AOJ17"/>
    <mergeCell ref="AHO17:AHR17"/>
    <mergeCell ref="AHT17:AHW17"/>
    <mergeCell ref="AHY17:AIB17"/>
    <mergeCell ref="AID17:AIG17"/>
    <mergeCell ref="AGJ17:AGL17"/>
    <mergeCell ref="AGN17:AGQ17"/>
    <mergeCell ref="AIL17:AIN17"/>
    <mergeCell ref="AIP17:AIS17"/>
    <mergeCell ref="AIU17:AIX17"/>
    <mergeCell ref="AIZ17:AJC17"/>
    <mergeCell ref="AJE17:AJH17"/>
    <mergeCell ref="AHK17:AHM17"/>
    <mergeCell ref="AKW17:AKZ17"/>
    <mergeCell ref="ALB17:ALE17"/>
    <mergeCell ref="ALG17:ALJ17"/>
    <mergeCell ref="AJM17:AJO17"/>
    <mergeCell ref="AJQ17:AJT17"/>
    <mergeCell ref="AJV17:AJY17"/>
    <mergeCell ref="AXT17:AXW17"/>
    <mergeCell ref="AVZ17:AWB17"/>
    <mergeCell ref="AWD17:AWG17"/>
    <mergeCell ref="AYB17:AYD17"/>
    <mergeCell ref="AYF17:AYI17"/>
    <mergeCell ref="AYK17:AYN17"/>
    <mergeCell ref="AYP17:AYS17"/>
    <mergeCell ref="AYU17:AYX17"/>
    <mergeCell ref="AXA17:AXC17"/>
    <mergeCell ref="BAW17:BAZ17"/>
    <mergeCell ref="AZC17:AZE17"/>
    <mergeCell ref="AZG17:AZJ17"/>
    <mergeCell ref="AZL17:AZO17"/>
    <mergeCell ref="AZQ17:AZT17"/>
    <mergeCell ref="AUQ17:AUT17"/>
    <mergeCell ref="ASW17:ASY17"/>
    <mergeCell ref="ATA17:ATD17"/>
    <mergeCell ref="ATF17:ATI17"/>
    <mergeCell ref="ATK17:ATN17"/>
    <mergeCell ref="ATP17:ATS17"/>
    <mergeCell ref="AVM17:AVP17"/>
    <mergeCell ref="AVR17:AVU17"/>
    <mergeCell ref="ATX17:ATZ17"/>
    <mergeCell ref="AUB17:AUE17"/>
    <mergeCell ref="AUG17:AUJ17"/>
    <mergeCell ref="AUL17:AUO17"/>
    <mergeCell ref="AWI17:AWL17"/>
    <mergeCell ref="AWN17:AWQ17"/>
    <mergeCell ref="AWS17:AWV17"/>
    <mergeCell ref="AUY17:AVA17"/>
    <mergeCell ref="AVC17:AVF17"/>
    <mergeCell ref="AVH17:AVK17"/>
    <mergeCell ref="BFR17:BFU17"/>
    <mergeCell ref="BFW17:BFZ17"/>
    <mergeCell ref="BGB17:BGE17"/>
    <mergeCell ref="BEH17:BEJ17"/>
    <mergeCell ref="IL16:IP16"/>
    <mergeCell ref="HK16:HO16"/>
    <mergeCell ref="GJ16:GN16"/>
    <mergeCell ref="FI16:FM16"/>
    <mergeCell ref="EH16:EL16"/>
    <mergeCell ref="DG16:DK16"/>
    <mergeCell ref="OR16:OV16"/>
    <mergeCell ref="NQ16:NU16"/>
    <mergeCell ref="MP16:MT16"/>
    <mergeCell ref="LO16:LS16"/>
    <mergeCell ref="KN16:KR16"/>
    <mergeCell ref="JM16:JQ16"/>
    <mergeCell ref="VY16:WC16"/>
    <mergeCell ref="UX16:VB16"/>
    <mergeCell ref="TW16:UA16"/>
    <mergeCell ref="SV16:SZ16"/>
    <mergeCell ref="RU16:RY16"/>
    <mergeCell ref="QT16:QX16"/>
    <mergeCell ref="AEG16:AEK16"/>
    <mergeCell ref="ADF16:ADJ16"/>
    <mergeCell ref="ACE16:ACI16"/>
    <mergeCell ref="ABD16:ABH16"/>
    <mergeCell ref="BBS17:BBV17"/>
    <mergeCell ref="BBX17:BCA17"/>
    <mergeCell ref="BAD17:BAF17"/>
    <mergeCell ref="BAH17:BAK17"/>
    <mergeCell ref="BAM17:BAP17"/>
    <mergeCell ref="BAR17:BAU17"/>
    <mergeCell ref="ASV16:ASZ16"/>
    <mergeCell ref="ARU16:ARY16"/>
    <mergeCell ref="AQT16:AQX16"/>
    <mergeCell ref="APS16:APW16"/>
    <mergeCell ref="AOR16:AOV16"/>
    <mergeCell ref="ANP16:ANT16"/>
    <mergeCell ref="AZB16:AZF16"/>
    <mergeCell ref="AYA16:AYE16"/>
    <mergeCell ref="AWZ16:AXD16"/>
    <mergeCell ref="AVY16:AWC16"/>
    <mergeCell ref="AUX16:AVB16"/>
    <mergeCell ref="ATW16:AUA16"/>
    <mergeCell ref="CF16:CJ16"/>
    <mergeCell ref="BE16:BI16"/>
    <mergeCell ref="AD16:AH16"/>
    <mergeCell ref="C16:G16"/>
    <mergeCell ref="BFI17:BFK17"/>
    <mergeCell ref="BCO17:BCR17"/>
    <mergeCell ref="BCT17:BCW17"/>
    <mergeCell ref="BCY17:BDB17"/>
    <mergeCell ref="BBE17:BBG17"/>
    <mergeCell ref="BBI17:BBL17"/>
    <mergeCell ref="BBN17:BBQ17"/>
    <mergeCell ref="BFA17:BFD17"/>
    <mergeCell ref="BDG17:BDI17"/>
    <mergeCell ref="BDK17:BDN17"/>
    <mergeCell ref="BDP17:BDS17"/>
    <mergeCell ref="BDU17:BDX17"/>
    <mergeCell ref="BDZ17:BEC17"/>
    <mergeCell ref="AXE17:AXH17"/>
    <mergeCell ref="AXJ17:AXM17"/>
    <mergeCell ref="AXO17:AXR17"/>
    <mergeCell ref="BBD16:BBH16"/>
    <mergeCell ref="BAC16:BAG16"/>
    <mergeCell ref="AS15:AV15"/>
    <mergeCell ref="AX15:BA15"/>
    <mergeCell ref="H15:K15"/>
    <mergeCell ref="M15:P15"/>
    <mergeCell ref="R15:U15"/>
    <mergeCell ref="W15:Z15"/>
    <mergeCell ref="BJ15:BM15"/>
    <mergeCell ref="BO15:BR15"/>
    <mergeCell ref="BT15:BW15"/>
    <mergeCell ref="BY15:CB15"/>
    <mergeCell ref="AI15:AL15"/>
    <mergeCell ref="AN15:AQ15"/>
    <mergeCell ref="DV15:DY15"/>
    <mergeCell ref="EA15:ED15"/>
    <mergeCell ref="CK15:CN15"/>
    <mergeCell ref="CP15:CS15"/>
    <mergeCell ref="CU15:CX15"/>
    <mergeCell ref="CZ15:DC15"/>
    <mergeCell ref="EM15:EP15"/>
    <mergeCell ref="ER15:EU15"/>
    <mergeCell ref="EW15:EZ15"/>
    <mergeCell ref="FB15:FE15"/>
    <mergeCell ref="DL15:DO15"/>
    <mergeCell ref="DQ15:DT15"/>
    <mergeCell ref="IE15:IH15"/>
    <mergeCell ref="GO15:GR15"/>
    <mergeCell ref="AAC16:AAG16"/>
    <mergeCell ref="ZB16:ZF16"/>
    <mergeCell ref="AKM16:AKQ16"/>
    <mergeCell ref="AJL16:AJP16"/>
    <mergeCell ref="GT15:GW15"/>
    <mergeCell ref="GY15:HB15"/>
    <mergeCell ref="HD15:HG15"/>
    <mergeCell ref="FN15:FQ15"/>
    <mergeCell ref="JR15:JU15"/>
    <mergeCell ref="JW15:JZ15"/>
    <mergeCell ref="KB15:KE15"/>
    <mergeCell ref="KG15:KJ15"/>
    <mergeCell ref="IQ15:IT15"/>
    <mergeCell ref="IV15:IY15"/>
    <mergeCell ref="MD15:MG15"/>
    <mergeCell ref="MI15:ML15"/>
    <mergeCell ref="KS15:KV15"/>
    <mergeCell ref="KX15:LA15"/>
    <mergeCell ref="LC15:LF15"/>
    <mergeCell ref="LH15:LK15"/>
    <mergeCell ref="OF15:OI15"/>
    <mergeCell ref="MU15:MX15"/>
    <mergeCell ref="MZ15:NC15"/>
    <mergeCell ref="NE15:NH15"/>
    <mergeCell ref="UG11:UJ11"/>
    <mergeCell ref="UK11:UK16"/>
    <mergeCell ref="UL11:UO11"/>
    <mergeCell ref="VY11:WC12"/>
    <mergeCell ref="WD11:WG11"/>
    <mergeCell ref="XI11:XI16"/>
    <mergeCell ref="XJ11:XM11"/>
    <mergeCell ref="XN11:XN16"/>
    <mergeCell ref="XO11:XR11"/>
    <mergeCell ref="XT11:XW11"/>
    <mergeCell ref="OW15:OZ15"/>
    <mergeCell ref="PB15:PE15"/>
    <mergeCell ref="PG15:PJ15"/>
    <mergeCell ref="PL15:PO15"/>
    <mergeCell ref="NV15:NY15"/>
    <mergeCell ref="OA15:OD15"/>
    <mergeCell ref="RI15:RL15"/>
    <mergeCell ref="RN15:RQ15"/>
    <mergeCell ref="PX15:QA15"/>
    <mergeCell ref="QC15:QF15"/>
    <mergeCell ref="QH15:QK15"/>
    <mergeCell ref="QM15:QP15"/>
    <mergeCell ref="TP15:TS15"/>
    <mergeCell ref="RZ15:SC15"/>
    <mergeCell ref="SE15:SH15"/>
    <mergeCell ref="SJ15:SM15"/>
    <mergeCell ref="SO15:SR15"/>
    <mergeCell ref="QY15:RB15"/>
    <mergeCell ref="PS13:PW15"/>
    <mergeCell ref="PX13:QA13"/>
    <mergeCell ref="QC13:QF13"/>
    <mergeCell ref="QH13:QK13"/>
    <mergeCell ref="ACY15:ADB15"/>
    <mergeCell ref="ABI15:ABL15"/>
    <mergeCell ref="ABN15:ABQ15"/>
    <mergeCell ref="ABS15:ABV15"/>
    <mergeCell ref="AFA15:AFD15"/>
    <mergeCell ref="ADK15:ADN15"/>
    <mergeCell ref="ADP15:ADS15"/>
    <mergeCell ref="ADU15:ADX15"/>
    <mergeCell ref="ADZ15:AEC15"/>
    <mergeCell ref="ACJ15:ACM15"/>
    <mergeCell ref="VH15:VK15"/>
    <mergeCell ref="VM15:VP15"/>
    <mergeCell ref="VR15:VU15"/>
    <mergeCell ref="UB15:UE15"/>
    <mergeCell ref="UG15:UJ15"/>
    <mergeCell ref="UL15:UO15"/>
    <mergeCell ref="XO15:XR15"/>
    <mergeCell ref="XT15:XW15"/>
    <mergeCell ref="WD15:WG15"/>
    <mergeCell ref="WI15:WL15"/>
    <mergeCell ref="WN15:WQ15"/>
    <mergeCell ref="WS15:WV15"/>
    <mergeCell ref="YF15:YI15"/>
    <mergeCell ref="YK15:YN15"/>
    <mergeCell ref="YP15:YS15"/>
    <mergeCell ref="YU15:YX15"/>
    <mergeCell ref="XE15:XH15"/>
    <mergeCell ref="XJ15:XM15"/>
    <mergeCell ref="UX13:VB15"/>
    <mergeCell ref="VC13:VF13"/>
    <mergeCell ref="VC15:VF15"/>
    <mergeCell ref="UF11:UF16"/>
    <mergeCell ref="ATA15:ATD15"/>
    <mergeCell ref="ATF15:ATI15"/>
    <mergeCell ref="ATK15:ATN15"/>
    <mergeCell ref="ALB15:ALE15"/>
    <mergeCell ref="ALG15:ALJ15"/>
    <mergeCell ref="AJQ15:AJT15"/>
    <mergeCell ref="AJV15:AJY15"/>
    <mergeCell ref="AKA15:AKD15"/>
    <mergeCell ref="AKF15:AKI15"/>
    <mergeCell ref="AMY15:ANB15"/>
    <mergeCell ref="AND15:ANG15"/>
    <mergeCell ref="ANI15:ANL15"/>
    <mergeCell ref="ALS15:ALV15"/>
    <mergeCell ref="APL15:APO15"/>
    <mergeCell ref="ANU15:ANX15"/>
    <mergeCell ref="ANZ15:AOC15"/>
    <mergeCell ref="AOE15:AOH15"/>
    <mergeCell ref="AOK15:AON15"/>
    <mergeCell ref="AMT15:AMW15"/>
    <mergeCell ref="AVC15:AVF15"/>
    <mergeCell ref="AVH15:AVK15"/>
    <mergeCell ref="AVM15:AVP15"/>
    <mergeCell ref="AVR15:AVU15"/>
    <mergeCell ref="AUB15:AUE15"/>
    <mergeCell ref="AYP15:AYS15"/>
    <mergeCell ref="AYU15:AYX15"/>
    <mergeCell ref="AXE15:AXH15"/>
    <mergeCell ref="AXJ15:AXM15"/>
    <mergeCell ref="AXO15:AXR15"/>
    <mergeCell ref="AXT15:AXW15"/>
    <mergeCell ref="BAM15:BAP15"/>
    <mergeCell ref="BAR15:BAU15"/>
    <mergeCell ref="BAW15:BAZ15"/>
    <mergeCell ref="AZG15:AZJ15"/>
    <mergeCell ref="AZL15:AZO15"/>
    <mergeCell ref="AZK11:AZK16"/>
    <mergeCell ref="AZL11:AZO11"/>
    <mergeCell ref="AZL12:AZO12"/>
    <mergeCell ref="AZL13:AZO13"/>
    <mergeCell ref="BAR11:BAU11"/>
    <mergeCell ref="AUG15:AUJ15"/>
    <mergeCell ref="AUL15:AUO15"/>
    <mergeCell ref="AUQ15:AUT15"/>
    <mergeCell ref="BBI15:BBL15"/>
    <mergeCell ref="BBN15:BBQ15"/>
    <mergeCell ref="BBS15:BBV15"/>
    <mergeCell ref="BBX15:BCA15"/>
    <mergeCell ref="BAH15:BAK15"/>
    <mergeCell ref="BDK15:BDN15"/>
    <mergeCell ref="BDP15:BDS15"/>
    <mergeCell ref="BDU15:BDX15"/>
    <mergeCell ref="BDZ15:BEC15"/>
    <mergeCell ref="BCJ15:BCM15"/>
    <mergeCell ref="BCO15:BCR15"/>
    <mergeCell ref="R14:U14"/>
    <mergeCell ref="W14:Z14"/>
    <mergeCell ref="BFM15:BFP15"/>
    <mergeCell ref="BFR15:BFU15"/>
    <mergeCell ref="BFW15:BFZ15"/>
    <mergeCell ref="BGB15:BGE15"/>
    <mergeCell ref="BEL15:BEO15"/>
    <mergeCell ref="BEQ15:BET15"/>
    <mergeCell ref="BEV15:BEY15"/>
    <mergeCell ref="BFA15:BFD15"/>
    <mergeCell ref="CZ14:DC14"/>
    <mergeCell ref="BJ14:BM14"/>
    <mergeCell ref="BO14:BR14"/>
    <mergeCell ref="BT14:BW14"/>
    <mergeCell ref="BY14:CB14"/>
    <mergeCell ref="AI14:AL14"/>
    <mergeCell ref="GY14:HB14"/>
    <mergeCell ref="HD14:HG14"/>
    <mergeCell ref="FN14:FQ14"/>
    <mergeCell ref="FS14:FV14"/>
    <mergeCell ref="AWS15:AWV15"/>
    <mergeCell ref="FX14:GA14"/>
    <mergeCell ref="GC14:GF14"/>
    <mergeCell ref="IV14:IY14"/>
    <mergeCell ref="JA14:JD14"/>
    <mergeCell ref="JF14:JI14"/>
    <mergeCell ref="HP14:HS14"/>
    <mergeCell ref="HU14:HX14"/>
    <mergeCell ref="HZ14:IC14"/>
    <mergeCell ref="MU14:MX14"/>
    <mergeCell ref="MZ14:NC14"/>
    <mergeCell ref="NE14:NH14"/>
    <mergeCell ref="NJ14:NM14"/>
    <mergeCell ref="LT14:LW14"/>
    <mergeCell ref="LY14:MB14"/>
    <mergeCell ref="RI14:RL14"/>
    <mergeCell ref="RN14:RQ14"/>
    <mergeCell ref="PX14:QA14"/>
    <mergeCell ref="QC14:QF14"/>
    <mergeCell ref="QH14:QK14"/>
    <mergeCell ref="QM14:QP14"/>
    <mergeCell ref="OQ13:OQ19"/>
    <mergeCell ref="OR13:OV15"/>
    <mergeCell ref="OW13:OZ13"/>
    <mergeCell ref="PB13:PE13"/>
    <mergeCell ref="PG13:PJ13"/>
    <mergeCell ref="PL13:PO13"/>
    <mergeCell ref="OW14:OZ14"/>
    <mergeCell ref="PB14:PE14"/>
    <mergeCell ref="PG14:PJ14"/>
    <mergeCell ref="PL14:PO14"/>
    <mergeCell ref="RN13:RQ13"/>
    <mergeCell ref="PR13:PR19"/>
    <mergeCell ref="UB14:UE14"/>
    <mergeCell ref="UG14:UJ14"/>
    <mergeCell ref="UL14:UO14"/>
    <mergeCell ref="UQ14:UT14"/>
    <mergeCell ref="WD14:WG14"/>
    <mergeCell ref="WI14:WL14"/>
    <mergeCell ref="WN14:WQ14"/>
    <mergeCell ref="WS14:WV14"/>
    <mergeCell ref="VC14:VF14"/>
    <mergeCell ref="VH14:VK14"/>
    <mergeCell ref="TV13:TV19"/>
    <mergeCell ref="TW13:UA15"/>
    <mergeCell ref="UB13:UE13"/>
    <mergeCell ref="UG13:UJ13"/>
    <mergeCell ref="UL13:UO13"/>
    <mergeCell ref="UQ13:UT13"/>
    <mergeCell ref="UQ15:UT15"/>
    <mergeCell ref="UG17:UJ17"/>
    <mergeCell ref="UL17:UO17"/>
    <mergeCell ref="UQ17:UT17"/>
    <mergeCell ref="WI13:WL13"/>
    <mergeCell ref="WN13:WQ13"/>
    <mergeCell ref="WS13:WV13"/>
    <mergeCell ref="UW13:UW19"/>
    <mergeCell ref="VZ17:WB17"/>
    <mergeCell ref="WD17:WG17"/>
    <mergeCell ref="WI17:WL17"/>
    <mergeCell ref="TX19:TZ19"/>
    <mergeCell ref="ATK13:ATN13"/>
    <mergeCell ref="ATP13:ATS13"/>
    <mergeCell ref="ART13:ART19"/>
    <mergeCell ref="ARU13:ARY15"/>
    <mergeCell ref="AAR14:AAU14"/>
    <mergeCell ref="AAW14:AAZ14"/>
    <mergeCell ref="ZG14:ZJ14"/>
    <mergeCell ref="ZL14:ZO14"/>
    <mergeCell ref="ZQ14:ZT14"/>
    <mergeCell ref="AJV14:AJY14"/>
    <mergeCell ref="AKA14:AKD14"/>
    <mergeCell ref="AKF14:AKI14"/>
    <mergeCell ref="AIP14:AIS14"/>
    <mergeCell ref="AIU14:AIX14"/>
    <mergeCell ref="AIZ14:AJC14"/>
    <mergeCell ref="ALS14:ALV14"/>
    <mergeCell ref="ALX14:AMA14"/>
    <mergeCell ref="AMC14:AMF14"/>
    <mergeCell ref="AMH14:AMK14"/>
    <mergeCell ref="AKR14:AKU14"/>
    <mergeCell ref="AKW14:AKZ14"/>
    <mergeCell ref="ZG13:ZJ13"/>
    <mergeCell ref="ZL13:ZO13"/>
    <mergeCell ref="ZQ13:ZT13"/>
    <mergeCell ref="ADZ13:AEC13"/>
    <mergeCell ref="ACD13:ACD19"/>
    <mergeCell ref="ACE13:ACI15"/>
    <mergeCell ref="ACJ13:ACM13"/>
    <mergeCell ref="ACO13:ACR13"/>
    <mergeCell ref="ACT13:ACW13"/>
    <mergeCell ref="ADZ14:AEC14"/>
    <mergeCell ref="ACJ14:ACM14"/>
    <mergeCell ref="AWD13:AWG13"/>
    <mergeCell ref="AWI13:AWL13"/>
    <mergeCell ref="AWN13:AWQ13"/>
    <mergeCell ref="BAM13:BAP13"/>
    <mergeCell ref="BAR13:BAU13"/>
    <mergeCell ref="BAW13:BAZ13"/>
    <mergeCell ref="AZA13:AZA19"/>
    <mergeCell ref="AZB13:AZF15"/>
    <mergeCell ref="AZG13:AZJ13"/>
    <mergeCell ref="BAM14:BAP14"/>
    <mergeCell ref="BAR14:BAU14"/>
    <mergeCell ref="BAW14:BAZ14"/>
    <mergeCell ref="AMT14:AMW14"/>
    <mergeCell ref="AMY14:ANB14"/>
    <mergeCell ref="AND14:ANG14"/>
    <mergeCell ref="ANI14:ANL14"/>
    <mergeCell ref="AOW14:AOZ14"/>
    <mergeCell ref="APB14:APE14"/>
    <mergeCell ref="APG14:APJ14"/>
    <mergeCell ref="APL14:APO14"/>
    <mergeCell ref="ANU14:ANX14"/>
    <mergeCell ref="ANZ14:AOC14"/>
    <mergeCell ref="ATA14:ATD14"/>
    <mergeCell ref="ATF14:ATI14"/>
    <mergeCell ref="ATK14:ATN14"/>
    <mergeCell ref="ATP14:ATS14"/>
    <mergeCell ref="ARZ14:ASC14"/>
    <mergeCell ref="ASE14:ASH14"/>
    <mergeCell ref="AQS13:AQS19"/>
    <mergeCell ref="AQT13:AQX15"/>
    <mergeCell ref="AQY13:ARB13"/>
    <mergeCell ref="ARD13:ARG13"/>
    <mergeCell ref="B13:B19"/>
    <mergeCell ref="C13:G15"/>
    <mergeCell ref="H13:K13"/>
    <mergeCell ref="M13:P13"/>
    <mergeCell ref="AS14:AV14"/>
    <mergeCell ref="AX14:BA14"/>
    <mergeCell ref="H14:K14"/>
    <mergeCell ref="M14:P14"/>
    <mergeCell ref="BT13:BW13"/>
    <mergeCell ref="BY13:CB13"/>
    <mergeCell ref="AC13:AC19"/>
    <mergeCell ref="AD13:AH15"/>
    <mergeCell ref="AI13:AL13"/>
    <mergeCell ref="AN13:AQ13"/>
    <mergeCell ref="AN14:AQ14"/>
    <mergeCell ref="AN18:AQ18"/>
    <mergeCell ref="EA13:ED13"/>
    <mergeCell ref="CE13:CE19"/>
    <mergeCell ref="CF13:CJ15"/>
    <mergeCell ref="CK13:CN13"/>
    <mergeCell ref="AI17:AL17"/>
    <mergeCell ref="AN17:AQ17"/>
    <mergeCell ref="CK17:CN17"/>
    <mergeCell ref="CP17:CS17"/>
    <mergeCell ref="CU17:CX17"/>
    <mergeCell ref="CZ17:DC17"/>
    <mergeCell ref="BF17:BH17"/>
    <mergeCell ref="BJ17:BM17"/>
    <mergeCell ref="DH17:DJ17"/>
    <mergeCell ref="DL17:DO17"/>
    <mergeCell ref="DQ17:DT17"/>
    <mergeCell ref="DV17:DY17"/>
    <mergeCell ref="EH13:EL15"/>
    <mergeCell ref="EM13:EP13"/>
    <mergeCell ref="ER13:EU13"/>
    <mergeCell ref="EW13:EZ13"/>
    <mergeCell ref="EM14:EP14"/>
    <mergeCell ref="ER14:EU14"/>
    <mergeCell ref="EW14:EZ14"/>
    <mergeCell ref="GC15:GF15"/>
    <mergeCell ref="R13:U13"/>
    <mergeCell ref="W13:Z13"/>
    <mergeCell ref="BFM14:BFP14"/>
    <mergeCell ref="BFR14:BFU14"/>
    <mergeCell ref="BFW14:BFZ14"/>
    <mergeCell ref="BGB14:BGE14"/>
    <mergeCell ref="BEL14:BEO14"/>
    <mergeCell ref="BEQ14:BET14"/>
    <mergeCell ref="BEV14:BEY14"/>
    <mergeCell ref="BFA14:BFD14"/>
    <mergeCell ref="AS13:AV13"/>
    <mergeCell ref="AX13:BA13"/>
    <mergeCell ref="AXJ14:AXM14"/>
    <mergeCell ref="AXO14:AXR14"/>
    <mergeCell ref="AXT14:AXW14"/>
    <mergeCell ref="AWD14:AWG14"/>
    <mergeCell ref="AWI14:AWL14"/>
    <mergeCell ref="AWN14:AWQ14"/>
    <mergeCell ref="AZL14:AZO14"/>
    <mergeCell ref="AZQ14:AZT14"/>
    <mergeCell ref="AZV14:AZY14"/>
    <mergeCell ref="AYF14:AYI14"/>
    <mergeCell ref="AYK14:AYN14"/>
    <mergeCell ref="BDK14:BDN14"/>
    <mergeCell ref="HP15:HS15"/>
    <mergeCell ref="HU15:HX15"/>
    <mergeCell ref="JW13:JZ13"/>
    <mergeCell ref="KB13:KE13"/>
    <mergeCell ref="KG13:KJ13"/>
    <mergeCell ref="IK13:IK19"/>
    <mergeCell ref="IL13:IP15"/>
    <mergeCell ref="IQ13:IT13"/>
    <mergeCell ref="JW14:JZ14"/>
    <mergeCell ref="KB14:KE14"/>
    <mergeCell ref="KG14:KJ14"/>
    <mergeCell ref="IQ14:IT14"/>
    <mergeCell ref="HD13:HG13"/>
    <mergeCell ref="FH13:FH19"/>
    <mergeCell ref="FI13:FM15"/>
    <mergeCell ref="FN13:FQ13"/>
    <mergeCell ref="FS13:FV13"/>
    <mergeCell ref="FX13:GA13"/>
    <mergeCell ref="FS15:FV15"/>
    <mergeCell ref="FX15:GA15"/>
    <mergeCell ref="FX17:GA17"/>
    <mergeCell ref="FS18:FV18"/>
    <mergeCell ref="HZ13:IC13"/>
    <mergeCell ref="IE13:IH13"/>
    <mergeCell ref="GI13:GI19"/>
    <mergeCell ref="GJ13:GN15"/>
    <mergeCell ref="GO13:GR13"/>
    <mergeCell ref="GT13:GW13"/>
    <mergeCell ref="IE14:IH14"/>
    <mergeCell ref="GO14:GR14"/>
    <mergeCell ref="GT14:GW14"/>
    <mergeCell ref="HZ15:IC15"/>
    <mergeCell ref="LH13:LK13"/>
    <mergeCell ref="JL13:JL19"/>
    <mergeCell ref="JM13:JQ15"/>
    <mergeCell ref="JR13:JU13"/>
    <mergeCell ref="KX14:LA14"/>
    <mergeCell ref="LC14:LF14"/>
    <mergeCell ref="LH14:LK14"/>
    <mergeCell ref="JR14:JU14"/>
    <mergeCell ref="LY13:MB13"/>
    <mergeCell ref="MD13:MG13"/>
    <mergeCell ref="MI13:ML13"/>
    <mergeCell ref="KM13:KM19"/>
    <mergeCell ref="KN13:KR15"/>
    <mergeCell ref="KS13:KV13"/>
    <mergeCell ref="MD14:MG14"/>
    <mergeCell ref="MI14:ML14"/>
    <mergeCell ref="KS14:KV14"/>
    <mergeCell ref="LY15:MB15"/>
    <mergeCell ref="LP18:LR18"/>
    <mergeCell ref="JN19:JP19"/>
    <mergeCell ref="JR19:JU19"/>
    <mergeCell ref="JW19:JZ19"/>
    <mergeCell ref="KB19:KE19"/>
    <mergeCell ref="KG19:KJ19"/>
    <mergeCell ref="MZ13:NC13"/>
    <mergeCell ref="NE13:NH13"/>
    <mergeCell ref="NJ13:NM13"/>
    <mergeCell ref="LN13:LN19"/>
    <mergeCell ref="LO13:LS15"/>
    <mergeCell ref="LT13:LW13"/>
    <mergeCell ref="NJ15:NM15"/>
    <mergeCell ref="LT15:LW15"/>
    <mergeCell ref="LT17:LW17"/>
    <mergeCell ref="LT18:LW18"/>
    <mergeCell ref="NP13:NP19"/>
    <mergeCell ref="NQ13:NU15"/>
    <mergeCell ref="NV13:NY13"/>
    <mergeCell ref="OA13:OD13"/>
    <mergeCell ref="OF13:OI13"/>
    <mergeCell ref="OK13:ON13"/>
    <mergeCell ref="NV14:NY14"/>
    <mergeCell ref="OA14:OD14"/>
    <mergeCell ref="OF14:OI14"/>
    <mergeCell ref="OK14:ON14"/>
    <mergeCell ref="OK15:ON15"/>
    <mergeCell ref="NR17:NT17"/>
    <mergeCell ref="NV17:NY17"/>
    <mergeCell ref="OA17:OD17"/>
    <mergeCell ref="OF17:OI17"/>
    <mergeCell ref="OK17:ON17"/>
    <mergeCell ref="MQ18:MS18"/>
    <mergeCell ref="MU18:MX18"/>
    <mergeCell ref="MZ18:NC18"/>
    <mergeCell ref="NE18:NH18"/>
    <mergeCell ref="NJ18:NM18"/>
    <mergeCell ref="NR18:NT18"/>
    <mergeCell ref="QH18:QK18"/>
    <mergeCell ref="RN19:RQ19"/>
    <mergeCell ref="PT19:PV19"/>
    <mergeCell ref="SJ13:SM13"/>
    <mergeCell ref="SO13:SR13"/>
    <mergeCell ref="QS13:QS19"/>
    <mergeCell ref="QT13:QX15"/>
    <mergeCell ref="QY13:RB13"/>
    <mergeCell ref="RD13:RG13"/>
    <mergeCell ref="RD15:RG15"/>
    <mergeCell ref="RD17:RG17"/>
    <mergeCell ref="QU18:QW18"/>
    <mergeCell ref="QY18:RB18"/>
    <mergeCell ref="SU13:SU19"/>
    <mergeCell ref="SV13:SZ15"/>
    <mergeCell ref="TA13:TD13"/>
    <mergeCell ref="TF13:TI13"/>
    <mergeCell ref="TA14:TD14"/>
    <mergeCell ref="TF14:TI14"/>
    <mergeCell ref="SN11:SN16"/>
    <mergeCell ref="SO11:SR11"/>
    <mergeCell ref="SS11:SS16"/>
    <mergeCell ref="QT11:QX12"/>
    <mergeCell ref="QY11:RB11"/>
    <mergeCell ref="RC11:RC16"/>
    <mergeCell ref="RU11:RY12"/>
    <mergeCell ref="RZ14:SC14"/>
    <mergeCell ref="SE14:SH14"/>
    <mergeCell ref="SJ14:SM14"/>
    <mergeCell ref="SO14:SR14"/>
    <mergeCell ref="QY14:RB14"/>
    <mergeCell ref="RD14:RG14"/>
    <mergeCell ref="UY17:VA17"/>
    <mergeCell ref="XE13:XH13"/>
    <mergeCell ref="XJ13:XM13"/>
    <mergeCell ref="XO13:XR13"/>
    <mergeCell ref="XT13:XW13"/>
    <mergeCell ref="VX13:VX19"/>
    <mergeCell ref="VY13:WC15"/>
    <mergeCell ref="XE14:XH14"/>
    <mergeCell ref="XJ14:XM14"/>
    <mergeCell ref="XO14:XR14"/>
    <mergeCell ref="XT14:XW14"/>
    <mergeCell ref="YF13:YI13"/>
    <mergeCell ref="YK13:YN13"/>
    <mergeCell ref="YP13:YS13"/>
    <mergeCell ref="YU13:YX13"/>
    <mergeCell ref="WY13:WY19"/>
    <mergeCell ref="WZ13:XD15"/>
    <mergeCell ref="YF14:YI14"/>
    <mergeCell ref="YK14:YN14"/>
    <mergeCell ref="YP14:YS14"/>
    <mergeCell ref="YU14:YX14"/>
    <mergeCell ref="WH11:WH16"/>
    <mergeCell ref="WI11:WL11"/>
    <mergeCell ref="WM11:WM16"/>
    <mergeCell ref="WN11:WQ11"/>
    <mergeCell ref="WD12:WG12"/>
    <mergeCell ref="WI12:WL12"/>
    <mergeCell ref="WN12:WQ12"/>
    <mergeCell ref="WD13:WG13"/>
    <mergeCell ref="XE11:XH11"/>
    <mergeCell ref="VM14:VP14"/>
    <mergeCell ref="VR14:VU14"/>
    <mergeCell ref="ABS13:ABV13"/>
    <mergeCell ref="ABX13:ACA13"/>
    <mergeCell ref="AAB13:AAB19"/>
    <mergeCell ref="AAC13:AAG15"/>
    <mergeCell ref="AAH13:AAK13"/>
    <mergeCell ref="AAM13:AAP13"/>
    <mergeCell ref="ABS14:ABV14"/>
    <mergeCell ref="ABX14:ACA14"/>
    <mergeCell ref="AAH14:AAK14"/>
    <mergeCell ref="AAM14:AAP14"/>
    <mergeCell ref="ABC13:ABC19"/>
    <mergeCell ref="ABD13:ABH15"/>
    <mergeCell ref="ABI13:ABL13"/>
    <mergeCell ref="ABN13:ABQ13"/>
    <mergeCell ref="ABI14:ABL14"/>
    <mergeCell ref="ABN14:ABQ14"/>
    <mergeCell ref="WN17:WQ17"/>
    <mergeCell ref="WS17:WV17"/>
    <mergeCell ref="ZA13:ZA19"/>
    <mergeCell ref="ZB13:ZF15"/>
    <mergeCell ref="AAR15:AAU15"/>
    <mergeCell ref="AAW15:AAZ15"/>
    <mergeCell ref="ZG15:ZJ15"/>
    <mergeCell ref="ZL15:ZO15"/>
    <mergeCell ref="ZQ15:ZT15"/>
    <mergeCell ref="XJ17:XM17"/>
    <mergeCell ref="XO17:XR17"/>
    <mergeCell ref="XT17:XW17"/>
    <mergeCell ref="YF17:YI17"/>
    <mergeCell ref="YK17:YN17"/>
    <mergeCell ref="YP17:YS17"/>
    <mergeCell ref="YU17:YX17"/>
    <mergeCell ref="AFA13:AFD13"/>
    <mergeCell ref="ADE13:ADE19"/>
    <mergeCell ref="ADF13:ADJ15"/>
    <mergeCell ref="ADK13:ADN13"/>
    <mergeCell ref="ADP13:ADS13"/>
    <mergeCell ref="ADU13:ADX13"/>
    <mergeCell ref="AFA14:AFD14"/>
    <mergeCell ref="ADK14:ADN14"/>
    <mergeCell ref="ADP14:ADS14"/>
    <mergeCell ref="ADU14:ADX14"/>
    <mergeCell ref="AGB13:AGE13"/>
    <mergeCell ref="AEF13:AEF19"/>
    <mergeCell ref="AEG13:AEK15"/>
    <mergeCell ref="AEL13:AEO13"/>
    <mergeCell ref="AEQ13:AET13"/>
    <mergeCell ref="AEV13:AEY13"/>
    <mergeCell ref="AGB14:AGE14"/>
    <mergeCell ref="AEL14:AEO14"/>
    <mergeCell ref="AEQ14:AET14"/>
    <mergeCell ref="AEV14:AEY14"/>
    <mergeCell ref="AFR15:AFU15"/>
    <mergeCell ref="AFW15:AFZ15"/>
    <mergeCell ref="AGB15:AGE15"/>
    <mergeCell ref="AEL15:AEO15"/>
    <mergeCell ref="AEQ15:AET15"/>
    <mergeCell ref="AEV15:AEY15"/>
    <mergeCell ref="AFM15:AFP15"/>
    <mergeCell ref="AFH16:AFL16"/>
    <mergeCell ref="AEV17:AEY17"/>
    <mergeCell ref="AFA17:AFD17"/>
    <mergeCell ref="ADG17:ADI17"/>
    <mergeCell ref="ADK17:ADN17"/>
    <mergeCell ref="AFG13:AFG19"/>
    <mergeCell ref="AFH13:AFL15"/>
    <mergeCell ref="AFM13:AFP13"/>
    <mergeCell ref="AFR13:AFU13"/>
    <mergeCell ref="AFW13:AFZ13"/>
    <mergeCell ref="AFM14:AFP14"/>
    <mergeCell ref="AFR14:AFU14"/>
    <mergeCell ref="AFW14:AFZ14"/>
    <mergeCell ref="AGH13:AGH19"/>
    <mergeCell ref="AGI13:AGM15"/>
    <mergeCell ref="AGN13:AGQ13"/>
    <mergeCell ref="AGS13:AGV13"/>
    <mergeCell ref="AGX13:AHA13"/>
    <mergeCell ref="AHC13:AHF13"/>
    <mergeCell ref="AGN14:AGQ14"/>
    <mergeCell ref="AGS14:AGV14"/>
    <mergeCell ref="AGX14:AHA14"/>
    <mergeCell ref="AHC14:AHF14"/>
    <mergeCell ref="AGN15:AGQ15"/>
    <mergeCell ref="AGS15:AGV15"/>
    <mergeCell ref="AGX15:AHA15"/>
    <mergeCell ref="AHC15:AHF15"/>
    <mergeCell ref="AGI16:AGM16"/>
    <mergeCell ref="AJE13:AJH13"/>
    <mergeCell ref="AHI13:AHI19"/>
    <mergeCell ref="AHJ13:AHN15"/>
    <mergeCell ref="AHO13:AHR13"/>
    <mergeCell ref="AHT13:AHW13"/>
    <mergeCell ref="AHY13:AIB13"/>
    <mergeCell ref="AJE14:AJH14"/>
    <mergeCell ref="AHO14:AHR14"/>
    <mergeCell ref="AHT14:AHW14"/>
    <mergeCell ref="AHY14:AIB14"/>
    <mergeCell ref="AKA13:AKD13"/>
    <mergeCell ref="AKF13:AKI13"/>
    <mergeCell ref="AIJ13:AIJ19"/>
    <mergeCell ref="AIK13:AIO15"/>
    <mergeCell ref="AIP13:AIS13"/>
    <mergeCell ref="AIU13:AIX13"/>
    <mergeCell ref="AIP15:AIS15"/>
    <mergeCell ref="AIU15:AIX15"/>
    <mergeCell ref="AKA17:AKD17"/>
    <mergeCell ref="AKF17:AKI17"/>
    <mergeCell ref="AIZ15:AJC15"/>
    <mergeCell ref="AJE15:AJH15"/>
    <mergeCell ref="AHO15:AHR15"/>
    <mergeCell ref="AHT15:AHW15"/>
    <mergeCell ref="AHY15:AIB15"/>
    <mergeCell ref="AID15:AIG15"/>
    <mergeCell ref="AIK16:AIO16"/>
    <mergeCell ref="AHJ16:AHN16"/>
    <mergeCell ref="AJQ18:AJT18"/>
    <mergeCell ref="AJV18:AJY18"/>
    <mergeCell ref="AKA18:AKD18"/>
    <mergeCell ref="AKF18:AKI18"/>
    <mergeCell ref="AJK13:AJK19"/>
    <mergeCell ref="AJL13:AJP15"/>
    <mergeCell ref="AJQ13:AJT13"/>
    <mergeCell ref="ALB14:ALE14"/>
    <mergeCell ref="ALG14:ALJ14"/>
    <mergeCell ref="AJQ14:AJT14"/>
    <mergeCell ref="AKW15:AKZ15"/>
    <mergeCell ref="ALX13:AMA13"/>
    <mergeCell ref="AMC13:AMF13"/>
    <mergeCell ref="AMH13:AMK13"/>
    <mergeCell ref="AKL13:AKL19"/>
    <mergeCell ref="AKM13:AKQ15"/>
    <mergeCell ref="AKR13:AKU13"/>
    <mergeCell ref="ALX15:AMA15"/>
    <mergeCell ref="AMC15:AMF15"/>
    <mergeCell ref="AMH15:AMK15"/>
    <mergeCell ref="AKR15:AKU15"/>
    <mergeCell ref="ALS17:ALV17"/>
    <mergeCell ref="ALX17:AMA17"/>
    <mergeCell ref="AMC17:AMF17"/>
    <mergeCell ref="AMH17:AMK17"/>
    <mergeCell ref="AKN17:AKP17"/>
    <mergeCell ref="AKR17:AKU17"/>
    <mergeCell ref="ATF12:ATI12"/>
    <mergeCell ref="ATK12:ATN12"/>
    <mergeCell ref="ATP12:ATS12"/>
    <mergeCell ref="ATF13:ATI13"/>
    <mergeCell ref="AMT13:AMW13"/>
    <mergeCell ref="AMY13:ANB13"/>
    <mergeCell ref="AND13:ANG13"/>
    <mergeCell ref="ANI13:ANL13"/>
    <mergeCell ref="ANP13:ANT15"/>
    <mergeCell ref="ANU13:ANX13"/>
    <mergeCell ref="ANZ13:AOC13"/>
    <mergeCell ref="AOE13:AOH13"/>
    <mergeCell ref="AOK13:AON13"/>
    <mergeCell ref="AMN13:AMN19"/>
    <mergeCell ref="AOE14:AOH14"/>
    <mergeCell ref="AOK14:AON14"/>
    <mergeCell ref="AOK17:AON17"/>
    <mergeCell ref="AOE18:AOH18"/>
    <mergeCell ref="APR13:APR19"/>
    <mergeCell ref="APS13:APW15"/>
    <mergeCell ref="APX13:AQA13"/>
    <mergeCell ref="AQC13:AQF13"/>
    <mergeCell ref="AQH13:AQK13"/>
    <mergeCell ref="AQM13:AQP13"/>
    <mergeCell ref="APX14:AQA14"/>
    <mergeCell ref="AQC14:AQF14"/>
    <mergeCell ref="AQH14:AQK14"/>
    <mergeCell ref="AQM14:AQP14"/>
    <mergeCell ref="AOD11:AOD16"/>
    <mergeCell ref="AOE11:AOH11"/>
    <mergeCell ref="AOI11:AOJ16"/>
    <mergeCell ref="AOK11:AON11"/>
    <mergeCell ref="AYF13:AYI13"/>
    <mergeCell ref="AZQ15:AZT15"/>
    <mergeCell ref="AZV15:AZY15"/>
    <mergeCell ref="AYF15:AYI15"/>
    <mergeCell ref="AZV17:AZY17"/>
    <mergeCell ref="ARZ13:ASC13"/>
    <mergeCell ref="ASE13:ASH13"/>
    <mergeCell ref="ATP15:ATS15"/>
    <mergeCell ref="ARZ15:ASC15"/>
    <mergeCell ref="ASE15:ASH15"/>
    <mergeCell ref="ARV17:ARX17"/>
    <mergeCell ref="AUB13:AUE13"/>
    <mergeCell ref="AUG13:AUJ13"/>
    <mergeCell ref="AUL13:AUO13"/>
    <mergeCell ref="AUQ13:AUT13"/>
    <mergeCell ref="ASU13:ASU19"/>
    <mergeCell ref="ASV13:ASZ15"/>
    <mergeCell ref="AUB14:AUE14"/>
    <mergeCell ref="AUG14:AUJ14"/>
    <mergeCell ref="AUL14:AUO14"/>
    <mergeCell ref="AUQ14:AUT14"/>
    <mergeCell ref="AUX13:AVB15"/>
    <mergeCell ref="AVC13:AVF13"/>
    <mergeCell ref="AVH13:AVK13"/>
    <mergeCell ref="AVM13:AVP13"/>
    <mergeCell ref="AVR13:AVU13"/>
    <mergeCell ref="ATV13:ATV19"/>
    <mergeCell ref="AVC14:AVF14"/>
    <mergeCell ref="AVH14:AVK14"/>
    <mergeCell ref="AVM14:AVP14"/>
    <mergeCell ref="AVR14:AVU14"/>
    <mergeCell ref="ATT11:ATT16"/>
    <mergeCell ref="BBI13:BBL13"/>
    <mergeCell ref="BCT14:BCW14"/>
    <mergeCell ref="BCY14:BDB14"/>
    <mergeCell ref="BBI14:BBL14"/>
    <mergeCell ref="BCT15:BCW15"/>
    <mergeCell ref="BAV11:BAV16"/>
    <mergeCell ref="BAW11:BAZ11"/>
    <mergeCell ref="AZB11:AZF12"/>
    <mergeCell ref="AZG11:AZJ11"/>
    <mergeCell ref="BAW12:BAZ12"/>
    <mergeCell ref="AZG12:AZJ12"/>
    <mergeCell ref="BBS11:BBV11"/>
    <mergeCell ref="BBX11:BCA11"/>
    <mergeCell ref="BAC11:BAG12"/>
    <mergeCell ref="BAH11:BAK11"/>
    <mergeCell ref="BAM11:BAP11"/>
    <mergeCell ref="AWS13:AWV13"/>
    <mergeCell ref="AWS14:AWV14"/>
    <mergeCell ref="AYK13:AYN13"/>
    <mergeCell ref="AYP13:AYS13"/>
    <mergeCell ref="AYU13:AYX13"/>
    <mergeCell ref="AWY13:AWY19"/>
    <mergeCell ref="AWZ13:AXD15"/>
    <mergeCell ref="AXE13:AXH13"/>
    <mergeCell ref="AYP14:AYS14"/>
    <mergeCell ref="AYU14:AYX14"/>
    <mergeCell ref="AXE14:AXH14"/>
    <mergeCell ref="AYK15:AYN15"/>
    <mergeCell ref="AZQ13:AZT13"/>
    <mergeCell ref="AZV13:AZY13"/>
    <mergeCell ref="AXZ13:AXZ19"/>
    <mergeCell ref="AYA13:AYE15"/>
    <mergeCell ref="BDU13:BDX13"/>
    <mergeCell ref="BDZ13:BEC13"/>
    <mergeCell ref="BCD13:BCD19"/>
    <mergeCell ref="BCE13:BCI15"/>
    <mergeCell ref="BCJ13:BCM13"/>
    <mergeCell ref="BCF17:BCH17"/>
    <mergeCell ref="BCJ17:BCM17"/>
    <mergeCell ref="BCF18:BCH18"/>
    <mergeCell ref="BCJ18:BCM18"/>
    <mergeCell ref="BGB13:BGE13"/>
    <mergeCell ref="BEF13:BEF19"/>
    <mergeCell ref="BEG13:BEK15"/>
    <mergeCell ref="BEL13:BEO13"/>
    <mergeCell ref="BEQ13:BET13"/>
    <mergeCell ref="BEV13:BEY13"/>
    <mergeCell ref="BEL17:BEO17"/>
    <mergeCell ref="BEQ17:BET17"/>
    <mergeCell ref="BEV17:BEY17"/>
    <mergeCell ref="BCO13:BCR13"/>
    <mergeCell ref="BCT13:BCW13"/>
    <mergeCell ref="BCY13:BDB13"/>
    <mergeCell ref="BDP14:BDS14"/>
    <mergeCell ref="BDU14:BDX14"/>
    <mergeCell ref="BDZ14:BEC14"/>
    <mergeCell ref="BCJ14:BCM14"/>
    <mergeCell ref="BCO14:BCR14"/>
    <mergeCell ref="BCY15:BDB15"/>
    <mergeCell ref="BFH16:BFL16"/>
    <mergeCell ref="BEG16:BEK16"/>
    <mergeCell ref="BDF16:BDJ16"/>
    <mergeCell ref="BCE16:BCI16"/>
    <mergeCell ref="BFM17:BFP17"/>
    <mergeCell ref="AX12:BA12"/>
    <mergeCell ref="H12:K12"/>
    <mergeCell ref="M12:P12"/>
    <mergeCell ref="R12:U12"/>
    <mergeCell ref="W12:Z12"/>
    <mergeCell ref="BFG13:BFG19"/>
    <mergeCell ref="BFH13:BFL15"/>
    <mergeCell ref="BFM13:BFP13"/>
    <mergeCell ref="BFR13:BFU13"/>
    <mergeCell ref="BFW13:BFZ13"/>
    <mergeCell ref="CP12:CS12"/>
    <mergeCell ref="CU12:CX12"/>
    <mergeCell ref="CZ12:DC12"/>
    <mergeCell ref="BJ12:BM12"/>
    <mergeCell ref="BO12:BR12"/>
    <mergeCell ref="BT12:BW12"/>
    <mergeCell ref="IE12:IH12"/>
    <mergeCell ref="GO12:GR12"/>
    <mergeCell ref="GT12:GW12"/>
    <mergeCell ref="GY12:HB12"/>
    <mergeCell ref="HD12:HG12"/>
    <mergeCell ref="FN12:FQ12"/>
    <mergeCell ref="JW12:JZ12"/>
    <mergeCell ref="KB12:KE12"/>
    <mergeCell ref="KG12:KJ12"/>
    <mergeCell ref="IQ12:IT12"/>
    <mergeCell ref="IV12:IY12"/>
    <mergeCell ref="JA12:JD12"/>
    <mergeCell ref="OF12:OI12"/>
    <mergeCell ref="OK12:ON12"/>
    <mergeCell ref="MU12:MX12"/>
    <mergeCell ref="BDP13:BDS13"/>
    <mergeCell ref="QY12:RB12"/>
    <mergeCell ref="UB12:UE12"/>
    <mergeCell ref="UG12:UJ12"/>
    <mergeCell ref="UL12:UO12"/>
    <mergeCell ref="UQ12:UT12"/>
    <mergeCell ref="TA12:TD12"/>
    <mergeCell ref="TF12:TI12"/>
    <mergeCell ref="ZG12:ZJ12"/>
    <mergeCell ref="ZL12:ZO12"/>
    <mergeCell ref="ZQ12:ZT12"/>
    <mergeCell ref="ZV12:ZY12"/>
    <mergeCell ref="YF12:YI12"/>
    <mergeCell ref="YK12:YN12"/>
    <mergeCell ref="ND11:ND16"/>
    <mergeCell ref="NE11:NH11"/>
    <mergeCell ref="QM11:QP11"/>
    <mergeCell ref="QQ11:QQ16"/>
    <mergeCell ref="OR11:OV12"/>
    <mergeCell ref="OW11:OZ11"/>
    <mergeCell ref="PA11:PA16"/>
    <mergeCell ref="PB11:PE11"/>
    <mergeCell ref="QM12:QP12"/>
    <mergeCell ref="OW12:OZ12"/>
    <mergeCell ref="PB12:PE12"/>
    <mergeCell ref="QM13:QP13"/>
    <mergeCell ref="ZV13:ZY13"/>
    <mergeCell ref="ZV14:ZY14"/>
    <mergeCell ref="ZV15:ZY15"/>
    <mergeCell ref="PS16:PW16"/>
    <mergeCell ref="TK13:TN13"/>
    <mergeCell ref="TP13:TS13"/>
    <mergeCell ref="TK14:TN14"/>
    <mergeCell ref="AJE12:AJH12"/>
    <mergeCell ref="AHO12:AHR12"/>
    <mergeCell ref="AHT12:AHW12"/>
    <mergeCell ref="AHY12:AIB12"/>
    <mergeCell ref="AID12:AIG12"/>
    <mergeCell ref="AGN12:AGQ12"/>
    <mergeCell ref="AMY12:ANB12"/>
    <mergeCell ref="AND12:ANG12"/>
    <mergeCell ref="ANI12:ANL12"/>
    <mergeCell ref="ALS12:ALV12"/>
    <mergeCell ref="AQM12:AQP12"/>
    <mergeCell ref="AOW12:AOZ12"/>
    <mergeCell ref="APB12:APE12"/>
    <mergeCell ref="APG12:APJ12"/>
    <mergeCell ref="APL12:APO12"/>
    <mergeCell ref="ANU12:ANX12"/>
    <mergeCell ref="AJI11:AJI16"/>
    <mergeCell ref="AHJ11:AHN12"/>
    <mergeCell ref="AHO11:AHR11"/>
    <mergeCell ref="AHT11:AHW11"/>
    <mergeCell ref="AHY11:AIB11"/>
    <mergeCell ref="AID11:AIG11"/>
    <mergeCell ref="AID13:AIG13"/>
    <mergeCell ref="AID14:AIG14"/>
    <mergeCell ref="AKF11:AKI11"/>
    <mergeCell ref="AKJ11:AKJ16"/>
    <mergeCell ref="AIK11:AIO12"/>
    <mergeCell ref="AIP11:AIS11"/>
    <mergeCell ref="AIU11:AIX11"/>
    <mergeCell ref="AIZ11:AJC11"/>
    <mergeCell ref="AOO11:AOO16"/>
    <mergeCell ref="AMO11:AMS12"/>
    <mergeCell ref="AYK12:AYN12"/>
    <mergeCell ref="AYP12:AYS12"/>
    <mergeCell ref="AYU12:AYX12"/>
    <mergeCell ref="AXE12:AXH12"/>
    <mergeCell ref="AXJ12:AXM12"/>
    <mergeCell ref="AXO12:AXR12"/>
    <mergeCell ref="BBN12:BBQ12"/>
    <mergeCell ref="BBS12:BBV12"/>
    <mergeCell ref="BBX12:BCA12"/>
    <mergeCell ref="BAH12:BAK12"/>
    <mergeCell ref="BAM12:BAP12"/>
    <mergeCell ref="BAR12:BAU12"/>
    <mergeCell ref="ASD11:ASD16"/>
    <mergeCell ref="ASE11:ASH11"/>
    <mergeCell ref="ASI11:ASI16"/>
    <mergeCell ref="ASJ11:ASM11"/>
    <mergeCell ref="ASN11:ASN16"/>
    <mergeCell ref="ASO11:ASR11"/>
    <mergeCell ref="ASJ13:ASM13"/>
    <mergeCell ref="ASO13:ASR13"/>
    <mergeCell ref="ASJ14:ASM14"/>
    <mergeCell ref="ASO14:ASR14"/>
    <mergeCell ref="ATE11:ATE16"/>
    <mergeCell ref="ATF11:ATI11"/>
    <mergeCell ref="ATK11:ATN11"/>
    <mergeCell ref="ATP11:ATS11"/>
    <mergeCell ref="AZG14:AZJ14"/>
    <mergeCell ref="BBN13:BBQ13"/>
    <mergeCell ref="BBS13:BBV13"/>
    <mergeCell ref="BBX13:BCA13"/>
    <mergeCell ref="BAB13:BAB19"/>
    <mergeCell ref="BAC13:BAG15"/>
    <mergeCell ref="BDZ12:BEC12"/>
    <mergeCell ref="BCJ12:BCM12"/>
    <mergeCell ref="BCO12:BCR12"/>
    <mergeCell ref="BCT12:BCW12"/>
    <mergeCell ref="BCY12:BDB12"/>
    <mergeCell ref="BBI12:BBL12"/>
    <mergeCell ref="BEQ12:BET12"/>
    <mergeCell ref="BEV12:BEY12"/>
    <mergeCell ref="BFA12:BFD12"/>
    <mergeCell ref="BDK12:BDN12"/>
    <mergeCell ref="BDP12:BDS12"/>
    <mergeCell ref="BDU12:BDX12"/>
    <mergeCell ref="C11:G12"/>
    <mergeCell ref="H11:K11"/>
    <mergeCell ref="M11:P11"/>
    <mergeCell ref="R11:U11"/>
    <mergeCell ref="W11:Z11"/>
    <mergeCell ref="DV12:DY12"/>
    <mergeCell ref="EA12:ED12"/>
    <mergeCell ref="CK12:CN12"/>
    <mergeCell ref="ER11:EU11"/>
    <mergeCell ref="EW11:EZ11"/>
    <mergeCell ref="FA11:FA16"/>
    <mergeCell ref="FB11:FE11"/>
    <mergeCell ref="DG11:DK12"/>
    <mergeCell ref="DL11:DO11"/>
    <mergeCell ref="ER12:EU12"/>
    <mergeCell ref="EW12:EZ12"/>
    <mergeCell ref="FB12:FE12"/>
    <mergeCell ref="DL12:DO12"/>
    <mergeCell ref="FN11:FQ11"/>
    <mergeCell ref="FS11:FV11"/>
    <mergeCell ref="BFM12:BFP12"/>
    <mergeCell ref="BFR12:BFU12"/>
    <mergeCell ref="BFW12:BFZ12"/>
    <mergeCell ref="BGB12:BGE12"/>
    <mergeCell ref="BEL12:BEO12"/>
    <mergeCell ref="BY11:CB11"/>
    <mergeCell ref="AD11:AH12"/>
    <mergeCell ref="AI11:AL11"/>
    <mergeCell ref="AM11:AM16"/>
    <mergeCell ref="AN11:AQ11"/>
    <mergeCell ref="AS11:AV11"/>
    <mergeCell ref="BY12:CB12"/>
    <mergeCell ref="AI12:AL12"/>
    <mergeCell ref="AN12:AQ12"/>
    <mergeCell ref="AS12:AV12"/>
    <mergeCell ref="CU11:CX11"/>
    <mergeCell ref="CY11:CY16"/>
    <mergeCell ref="CZ11:DC11"/>
    <mergeCell ref="BE11:BI12"/>
    <mergeCell ref="BJ11:BM11"/>
    <mergeCell ref="BO11:BR11"/>
    <mergeCell ref="CZ13:DC13"/>
    <mergeCell ref="BD13:BD19"/>
    <mergeCell ref="BE13:BI15"/>
    <mergeCell ref="BJ13:BM13"/>
    <mergeCell ref="DP11:DP16"/>
    <mergeCell ref="DQ11:DT11"/>
    <mergeCell ref="DV11:DY11"/>
    <mergeCell ref="EA11:ED11"/>
    <mergeCell ref="CF11:CJ12"/>
    <mergeCell ref="CK11:CN11"/>
    <mergeCell ref="DQ12:DT12"/>
    <mergeCell ref="KN11:KR12"/>
    <mergeCell ref="KS11:KV11"/>
    <mergeCell ref="LY12:MB12"/>
    <mergeCell ref="MD12:MG12"/>
    <mergeCell ref="MI12:ML12"/>
    <mergeCell ref="KS12:KV12"/>
    <mergeCell ref="FX11:GA11"/>
    <mergeCell ref="GC11:GF11"/>
    <mergeCell ref="EH11:EL12"/>
    <mergeCell ref="EM11:EP11"/>
    <mergeCell ref="FS12:FV12"/>
    <mergeCell ref="FX12:GA12"/>
    <mergeCell ref="GC12:GF12"/>
    <mergeCell ref="EM12:EP12"/>
    <mergeCell ref="GJ11:GN12"/>
    <mergeCell ref="GO11:GR11"/>
    <mergeCell ref="GT11:GW11"/>
    <mergeCell ref="GY11:HB11"/>
    <mergeCell ref="HD11:HG11"/>
    <mergeCell ref="FI11:FM12"/>
    <mergeCell ref="JE11:JE16"/>
    <mergeCell ref="JF11:JI11"/>
    <mergeCell ref="HK11:HO12"/>
    <mergeCell ref="HP11:HS11"/>
    <mergeCell ref="HU11:HX11"/>
    <mergeCell ref="HZ11:IC11"/>
    <mergeCell ref="JF12:JI12"/>
    <mergeCell ref="HP12:HS12"/>
    <mergeCell ref="HU12:HX12"/>
    <mergeCell ref="HZ12:IC12"/>
    <mergeCell ref="KX13:LA13"/>
    <mergeCell ref="LC13:LF13"/>
    <mergeCell ref="RR11:RR16"/>
    <mergeCell ref="RD12:RG12"/>
    <mergeCell ref="RI12:RL12"/>
    <mergeCell ref="RN12:RQ12"/>
    <mergeCell ref="RI13:RL13"/>
    <mergeCell ref="NJ11:NM11"/>
    <mergeCell ref="LO11:LS12"/>
    <mergeCell ref="LT11:LW11"/>
    <mergeCell ref="LX11:LX16"/>
    <mergeCell ref="NJ12:NM12"/>
    <mergeCell ref="LT12:LW12"/>
    <mergeCell ref="OJ11:OJ16"/>
    <mergeCell ref="OK11:ON11"/>
    <mergeCell ref="OO11:OO16"/>
    <mergeCell ref="MP11:MT12"/>
    <mergeCell ref="MU11:MX11"/>
    <mergeCell ref="MO13:MO19"/>
    <mergeCell ref="MP13:MT15"/>
    <mergeCell ref="MU13:MX13"/>
    <mergeCell ref="PG11:PJ11"/>
    <mergeCell ref="PL11:PO11"/>
    <mergeCell ref="NQ11:NU12"/>
    <mergeCell ref="NV11:NY11"/>
    <mergeCell ref="NZ11:NZ16"/>
    <mergeCell ref="OA11:OD11"/>
    <mergeCell ref="PG12:PJ12"/>
    <mergeCell ref="PL12:PO12"/>
    <mergeCell ref="NV12:NY12"/>
    <mergeCell ref="OA12:OD12"/>
    <mergeCell ref="NO9:NO23"/>
    <mergeCell ref="NP9:NP12"/>
    <mergeCell ref="NQ9:NU10"/>
    <mergeCell ref="UB9:UE9"/>
    <mergeCell ref="UG9:UJ9"/>
    <mergeCell ref="UL9:UO9"/>
    <mergeCell ref="UB10:UE10"/>
    <mergeCell ref="UG10:UJ10"/>
    <mergeCell ref="UL10:UO10"/>
    <mergeCell ref="UB11:UE11"/>
    <mergeCell ref="RZ11:SC11"/>
    <mergeCell ref="SD11:SD16"/>
    <mergeCell ref="SE11:SH11"/>
    <mergeCell ref="SI11:SI16"/>
    <mergeCell ref="RT13:RT19"/>
    <mergeCell ref="RU13:RY15"/>
    <mergeCell ref="RZ13:SC13"/>
    <mergeCell ref="SE13:SH13"/>
    <mergeCell ref="TA11:TD11"/>
    <mergeCell ref="TE11:TE16"/>
    <mergeCell ref="TF11:TI11"/>
    <mergeCell ref="TJ11:TJ16"/>
    <mergeCell ref="TK11:TN11"/>
    <mergeCell ref="TO11:TO16"/>
    <mergeCell ref="TK12:TN12"/>
    <mergeCell ref="TA15:TD15"/>
    <mergeCell ref="TF15:TI15"/>
    <mergeCell ref="TK15:TN15"/>
    <mergeCell ref="TP12:TS12"/>
    <mergeCell ref="RZ12:SC12"/>
    <mergeCell ref="SE12:SH12"/>
    <mergeCell ref="SJ12:SM12"/>
    <mergeCell ref="SO12:SR12"/>
    <mergeCell ref="TP14:TS14"/>
    <mergeCell ref="TT11:TT16"/>
    <mergeCell ref="WZ11:XD12"/>
    <mergeCell ref="YP12:YS12"/>
    <mergeCell ref="YU12:YX12"/>
    <mergeCell ref="WZ16:XD16"/>
    <mergeCell ref="ZK11:ZK16"/>
    <mergeCell ref="ZL11:ZO11"/>
    <mergeCell ref="ZP11:ZP16"/>
    <mergeCell ref="ZQ11:ZT11"/>
    <mergeCell ref="ZV11:ZY11"/>
    <mergeCell ref="YA11:YE12"/>
    <mergeCell ref="XZ13:XZ19"/>
    <mergeCell ref="YA13:YE15"/>
    <mergeCell ref="YA16:YE16"/>
    <mergeCell ref="YB17:YD17"/>
    <mergeCell ref="UP11:UP16"/>
    <mergeCell ref="UQ11:UT11"/>
    <mergeCell ref="VL11:VL16"/>
    <mergeCell ref="VM11:VP11"/>
    <mergeCell ref="VQ11:VQ16"/>
    <mergeCell ref="VR11:VU11"/>
    <mergeCell ref="VV11:VV16"/>
    <mergeCell ref="VM12:VP12"/>
    <mergeCell ref="VR12:VU12"/>
    <mergeCell ref="VM13:VP13"/>
    <mergeCell ref="VR13:VU13"/>
    <mergeCell ref="WR11:WR16"/>
    <mergeCell ref="WS11:WV11"/>
    <mergeCell ref="UX11:VB12"/>
    <mergeCell ref="VC11:VF11"/>
    <mergeCell ref="VG11:VG16"/>
    <mergeCell ref="VH11:VK11"/>
    <mergeCell ref="WS12:WV12"/>
    <mergeCell ref="AAR11:AAU11"/>
    <mergeCell ref="AAV11:AAV16"/>
    <mergeCell ref="AAW11:AAZ11"/>
    <mergeCell ref="ABA11:ABA16"/>
    <mergeCell ref="ZB11:ZF12"/>
    <mergeCell ref="AAR13:AAU13"/>
    <mergeCell ref="AAW13:AAZ13"/>
    <mergeCell ref="ABW11:ABW16"/>
    <mergeCell ref="ABX11:ACA11"/>
    <mergeCell ref="AAC11:AAG12"/>
    <mergeCell ref="AAH11:AAK11"/>
    <mergeCell ref="AAM11:AAP11"/>
    <mergeCell ref="AAQ11:AAQ16"/>
    <mergeCell ref="ABX15:ACA15"/>
    <mergeCell ref="AAH15:AAK15"/>
    <mergeCell ref="AAM15:AAP15"/>
    <mergeCell ref="AAB9:AAB12"/>
    <mergeCell ref="AAC9:AAG10"/>
    <mergeCell ref="AAH9:AAK9"/>
    <mergeCell ref="AAM9:AAP9"/>
    <mergeCell ref="AAR9:AAU9"/>
    <mergeCell ref="AAW9:AAZ9"/>
    <mergeCell ref="AAH10:AAK10"/>
    <mergeCell ref="AAM10:AAP10"/>
    <mergeCell ref="AAR10:AAU10"/>
    <mergeCell ref="AAW10:AAZ10"/>
    <mergeCell ref="ABS12:ABV12"/>
    <mergeCell ref="ABX12:ACA12"/>
    <mergeCell ref="AAH12:AAK12"/>
    <mergeCell ref="AAM12:AAP12"/>
    <mergeCell ref="AAR12:AAU12"/>
    <mergeCell ref="AAW12:AAZ12"/>
    <mergeCell ref="AII9:AII23"/>
    <mergeCell ref="AIJ9:AIJ12"/>
    <mergeCell ref="AIK9:AIO10"/>
    <mergeCell ref="AIP9:AIS9"/>
    <mergeCell ref="AIU9:AIX9"/>
    <mergeCell ref="AIZ9:AJC9"/>
    <mergeCell ref="AIP10:AIS10"/>
    <mergeCell ref="AIU10:AIX10"/>
    <mergeCell ref="AEQ11:AET11"/>
    <mergeCell ref="AEV11:AEY11"/>
    <mergeCell ref="AFA11:AFD11"/>
    <mergeCell ref="ADF11:ADJ12"/>
    <mergeCell ref="ADK11:ADN11"/>
    <mergeCell ref="ADP11:ADS11"/>
    <mergeCell ref="AFM11:AFP11"/>
    <mergeCell ref="AFR11:AFU11"/>
    <mergeCell ref="AFW11:AFZ11"/>
    <mergeCell ref="AGB11:AGE11"/>
    <mergeCell ref="AEG11:AEK12"/>
    <mergeCell ref="AEL11:AEO11"/>
    <mergeCell ref="AFM12:AFP12"/>
    <mergeCell ref="AFR12:AFU12"/>
    <mergeCell ref="AFW12:AFZ12"/>
    <mergeCell ref="AGB12:AGE12"/>
    <mergeCell ref="AGN11:AGQ11"/>
    <mergeCell ref="AGS11:AGV11"/>
    <mergeCell ref="AGX11:AHA11"/>
    <mergeCell ref="AHC11:AHF11"/>
    <mergeCell ref="AFH11:AFL12"/>
    <mergeCell ref="AGS12:AGV12"/>
    <mergeCell ref="AGX12:AHA12"/>
    <mergeCell ref="AHC12:AHF12"/>
    <mergeCell ref="AJV11:AJY11"/>
    <mergeCell ref="AJZ11:AJZ16"/>
    <mergeCell ref="AKA11:AKD11"/>
    <mergeCell ref="AKE11:AKE16"/>
    <mergeCell ref="AJQ12:AJT12"/>
    <mergeCell ref="AJV12:AJY12"/>
    <mergeCell ref="AKA12:AKD12"/>
    <mergeCell ref="AJV13:AJY13"/>
    <mergeCell ref="AKR11:AKU11"/>
    <mergeCell ref="AKV11:AKV16"/>
    <mergeCell ref="AKW11:AKZ11"/>
    <mergeCell ref="ALA11:ALA16"/>
    <mergeCell ref="ALB11:ALE11"/>
    <mergeCell ref="ALG11:ALJ11"/>
    <mergeCell ref="AKR12:AKU12"/>
    <mergeCell ref="AKW12:AKZ12"/>
    <mergeCell ref="ALB12:ALE12"/>
    <mergeCell ref="ALG12:ALJ12"/>
    <mergeCell ref="AKW13:AKZ13"/>
    <mergeCell ref="ALB13:ALE13"/>
    <mergeCell ref="ALG13:ALJ13"/>
    <mergeCell ref="AMM9:AMM23"/>
    <mergeCell ref="AMN9:AMN12"/>
    <mergeCell ref="AMO9:AMS10"/>
    <mergeCell ref="AOW9:AOZ9"/>
    <mergeCell ref="APB9:APE9"/>
    <mergeCell ref="APG9:APJ9"/>
    <mergeCell ref="APL9:APO9"/>
    <mergeCell ref="ANN9:ANN23"/>
    <mergeCell ref="ALS11:ALV11"/>
    <mergeCell ref="ALX11:AMA11"/>
    <mergeCell ref="AMC11:AMF11"/>
    <mergeCell ref="AMH11:AMK11"/>
    <mergeCell ref="AML11:AML16"/>
    <mergeCell ref="AKM11:AKQ12"/>
    <mergeCell ref="ALX12:AMA12"/>
    <mergeCell ref="AMC12:AMF12"/>
    <mergeCell ref="AMH12:AMK12"/>
    <mergeCell ref="ALS13:ALV13"/>
    <mergeCell ref="ANH11:ANH16"/>
    <mergeCell ref="ANI11:ANL11"/>
    <mergeCell ref="ANM11:ANM16"/>
    <mergeCell ref="ALN11:ALR12"/>
    <mergeCell ref="ALM13:ALM19"/>
    <mergeCell ref="ALN13:ALR15"/>
    <mergeCell ref="ALN16:ALR16"/>
    <mergeCell ref="AOW15:AOZ15"/>
    <mergeCell ref="APB15:APE15"/>
    <mergeCell ref="APG15:APJ15"/>
    <mergeCell ref="AOS17:AOU17"/>
    <mergeCell ref="AOW17:AOZ17"/>
    <mergeCell ref="APB17:APE17"/>
    <mergeCell ref="APG17:APJ17"/>
    <mergeCell ref="AMO13:AMS15"/>
    <mergeCell ref="AMO16:AMS16"/>
    <mergeCell ref="APG11:APJ11"/>
    <mergeCell ref="APK11:APK16"/>
    <mergeCell ref="APL11:APO11"/>
    <mergeCell ref="ANP11:ANT12"/>
    <mergeCell ref="ANU11:ANX11"/>
    <mergeCell ref="ANZ11:AOC11"/>
    <mergeCell ref="ANZ12:AOC12"/>
    <mergeCell ref="APG13:APJ13"/>
    <mergeCell ref="APL13:APO13"/>
    <mergeCell ref="ANO13:ANO19"/>
    <mergeCell ref="AQQ11:AQQ16"/>
    <mergeCell ref="AOR11:AOV12"/>
    <mergeCell ref="AOW11:AOZ11"/>
    <mergeCell ref="APA11:APA16"/>
    <mergeCell ref="APB11:APE11"/>
    <mergeCell ref="APF11:APF16"/>
    <mergeCell ref="AOQ13:AOQ19"/>
    <mergeCell ref="AOR13:AOV15"/>
    <mergeCell ref="AOW13:AOZ13"/>
    <mergeCell ref="APB13:APE13"/>
    <mergeCell ref="AQC15:AQF15"/>
    <mergeCell ref="AQH15:AQK15"/>
    <mergeCell ref="AQM15:AQP15"/>
    <mergeCell ref="AQH17:AQK17"/>
    <mergeCell ref="AQM17:AQP17"/>
    <mergeCell ref="APT17:APV17"/>
    <mergeCell ref="APX17:AQA17"/>
    <mergeCell ref="AQC17:AQF17"/>
    <mergeCell ref="AMP17:AMR17"/>
    <mergeCell ref="AMT17:AMW17"/>
    <mergeCell ref="ASU9:ASU12"/>
    <mergeCell ref="ASV9:ASZ10"/>
    <mergeCell ref="ATA9:ATD9"/>
    <mergeCell ref="APS11:APW12"/>
    <mergeCell ref="APX11:AQA11"/>
    <mergeCell ref="AQC11:AQF11"/>
    <mergeCell ref="AQG11:AQG16"/>
    <mergeCell ref="AQH11:AQK11"/>
    <mergeCell ref="AQL11:AQL16"/>
    <mergeCell ref="APX12:AQA12"/>
    <mergeCell ref="AQC12:AQF12"/>
    <mergeCell ref="AQH12:AQK12"/>
    <mergeCell ref="APX15:AQA15"/>
    <mergeCell ref="AQT11:AQX12"/>
    <mergeCell ref="AQY11:ARB11"/>
    <mergeCell ref="ARC11:ARC16"/>
    <mergeCell ref="ARD11:ARG11"/>
    <mergeCell ref="ARI11:ARL11"/>
    <mergeCell ref="ARN11:ARQ11"/>
    <mergeCell ref="ARI12:ARL12"/>
    <mergeCell ref="ARN12:ARQ12"/>
    <mergeCell ref="ARZ12:ASC12"/>
    <mergeCell ref="ASE12:ASH12"/>
    <mergeCell ref="ASJ12:ASM12"/>
    <mergeCell ref="ASO12:ASR12"/>
    <mergeCell ref="AQY12:ARB12"/>
    <mergeCell ref="ARD12:ARG12"/>
    <mergeCell ref="ARU11:ARY12"/>
    <mergeCell ref="ARI13:ARL13"/>
    <mergeCell ref="ARN13:ARQ13"/>
    <mergeCell ref="AQY14:ARB14"/>
    <mergeCell ref="ARD14:ARG14"/>
    <mergeCell ref="AYA11:AYE12"/>
    <mergeCell ref="AYF11:AYI11"/>
    <mergeCell ref="AZQ12:AZT12"/>
    <mergeCell ref="AZV12:AZY12"/>
    <mergeCell ref="AYF12:AYI12"/>
    <mergeCell ref="AXY9:AXY23"/>
    <mergeCell ref="AXZ9:AXZ12"/>
    <mergeCell ref="AYA9:AYE10"/>
    <mergeCell ref="AYF9:AYI9"/>
    <mergeCell ref="AYK9:AYN9"/>
    <mergeCell ref="AYP9:AYS9"/>
    <mergeCell ref="AYJ11:AYJ16"/>
    <mergeCell ref="AYK11:AYN11"/>
    <mergeCell ref="AYO11:AYO16"/>
    <mergeCell ref="AYP11:AYS11"/>
    <mergeCell ref="AVC11:AVF11"/>
    <mergeCell ref="AVG11:AVG16"/>
    <mergeCell ref="AVH11:AVK11"/>
    <mergeCell ref="AVL11:AVL16"/>
    <mergeCell ref="AVM11:AVP11"/>
    <mergeCell ref="AVQ11:AVQ16"/>
    <mergeCell ref="AVC12:AVF12"/>
    <mergeCell ref="AVH12:AVK12"/>
    <mergeCell ref="AVM12:AVP12"/>
    <mergeCell ref="AWD11:AWG11"/>
    <mergeCell ref="AWI11:AWL11"/>
    <mergeCell ref="AWN11:AWQ11"/>
    <mergeCell ref="AWS11:AWV11"/>
    <mergeCell ref="AWW11:AWW16"/>
    <mergeCell ref="AWD12:AWG12"/>
    <mergeCell ref="AWI12:AWL12"/>
    <mergeCell ref="AWN12:AWQ12"/>
    <mergeCell ref="BEU11:BEU16"/>
    <mergeCell ref="BEV11:BEY11"/>
    <mergeCell ref="BFA11:BFD11"/>
    <mergeCell ref="BDF11:BDJ12"/>
    <mergeCell ref="BDK11:BDN11"/>
    <mergeCell ref="BDP11:BDS11"/>
    <mergeCell ref="BFA13:BFD13"/>
    <mergeCell ref="BDE13:BDE19"/>
    <mergeCell ref="BDF13:BDJ15"/>
    <mergeCell ref="BDK13:BDN13"/>
    <mergeCell ref="H10:K10"/>
    <mergeCell ref="BO13:BR13"/>
    <mergeCell ref="IJ9:IJ23"/>
    <mergeCell ref="IK9:IK12"/>
    <mergeCell ref="IL9:IP10"/>
    <mergeCell ref="IQ9:IT9"/>
    <mergeCell ref="IV9:IY9"/>
    <mergeCell ref="JA9:JD9"/>
    <mergeCell ref="IQ10:IT10"/>
    <mergeCell ref="IV10:IY10"/>
    <mergeCell ref="JA10:JD10"/>
    <mergeCell ref="IV13:IY13"/>
    <mergeCell ref="JL9:JL12"/>
    <mergeCell ref="JM9:JQ10"/>
    <mergeCell ref="JR9:JU9"/>
    <mergeCell ref="JW9:JZ9"/>
    <mergeCell ref="AXE11:AXH11"/>
    <mergeCell ref="AXI11:AXI16"/>
    <mergeCell ref="AXJ11:AXM11"/>
    <mergeCell ref="AXN11:AXN16"/>
    <mergeCell ref="AXO11:AXR11"/>
    <mergeCell ref="AXT11:AXW11"/>
    <mergeCell ref="M10:P10"/>
    <mergeCell ref="R10:U10"/>
    <mergeCell ref="W10:Z10"/>
    <mergeCell ref="BFH11:BFL12"/>
    <mergeCell ref="BFM11:BFP11"/>
    <mergeCell ref="BFR11:BFU11"/>
    <mergeCell ref="BFW11:BFZ11"/>
    <mergeCell ref="BGB11:BGE11"/>
    <mergeCell ref="BEG11:BEK12"/>
    <mergeCell ref="AOK10:AON10"/>
    <mergeCell ref="AMT10:AMW10"/>
    <mergeCell ref="AMY10:ANB10"/>
    <mergeCell ref="AND10:ANG10"/>
    <mergeCell ref="ANI10:ANL10"/>
    <mergeCell ref="AZV10:AZY10"/>
    <mergeCell ref="AYF10:AYI10"/>
    <mergeCell ref="AYK10:AYN10"/>
    <mergeCell ref="AYP10:AYS10"/>
    <mergeCell ref="AYU10:AYX10"/>
    <mergeCell ref="AXE10:AXH10"/>
    <mergeCell ref="BD9:BD12"/>
    <mergeCell ref="BE9:BI10"/>
    <mergeCell ref="BJ9:BM9"/>
    <mergeCell ref="BO9:BR9"/>
    <mergeCell ref="CZ10:DC10"/>
    <mergeCell ref="BJ10:BM10"/>
    <mergeCell ref="BO10:BR10"/>
    <mergeCell ref="CD9:CD23"/>
    <mergeCell ref="CE9:CE12"/>
    <mergeCell ref="CF9:CJ10"/>
    <mergeCell ref="CK9:CN9"/>
    <mergeCell ref="BCE11:BCI12"/>
    <mergeCell ref="H9:K9"/>
    <mergeCell ref="M9:P9"/>
    <mergeCell ref="R9:U9"/>
    <mergeCell ref="W9:Z9"/>
    <mergeCell ref="BFM10:BFP10"/>
    <mergeCell ref="BFR10:BFU10"/>
    <mergeCell ref="BFW10:BFZ10"/>
    <mergeCell ref="BGB10:BGE10"/>
    <mergeCell ref="BEL10:BEO10"/>
    <mergeCell ref="BEQ10:BET10"/>
    <mergeCell ref="AN9:AQ9"/>
    <mergeCell ref="AS9:AV9"/>
    <mergeCell ref="AX9:BA9"/>
    <mergeCell ref="A9:A23"/>
    <mergeCell ref="B9:B12"/>
    <mergeCell ref="C9:G10"/>
    <mergeCell ref="AN10:AQ10"/>
    <mergeCell ref="AS10:AV10"/>
    <mergeCell ref="AX10:BA10"/>
    <mergeCell ref="AX11:BA11"/>
    <mergeCell ref="BT9:BW9"/>
    <mergeCell ref="BY9:CB9"/>
    <mergeCell ref="AB9:AB23"/>
    <mergeCell ref="AC9:AC12"/>
    <mergeCell ref="AD9:AH10"/>
    <mergeCell ref="AI9:AL9"/>
    <mergeCell ref="BT10:BW10"/>
    <mergeCell ref="BY10:CB10"/>
    <mergeCell ref="AI10:AL10"/>
    <mergeCell ref="BT11:BW11"/>
    <mergeCell ref="CZ9:DC9"/>
    <mergeCell ref="BC9:BC23"/>
    <mergeCell ref="CP9:CS9"/>
    <mergeCell ref="CU9:CX9"/>
    <mergeCell ref="CK10:CN10"/>
    <mergeCell ref="CP10:CS10"/>
    <mergeCell ref="CU10:CX10"/>
    <mergeCell ref="CP11:CS11"/>
    <mergeCell ref="DF9:DF12"/>
    <mergeCell ref="DG9:DK10"/>
    <mergeCell ref="DL9:DO9"/>
    <mergeCell ref="DQ9:DT9"/>
    <mergeCell ref="DV9:DY9"/>
    <mergeCell ref="EA9:ED9"/>
    <mergeCell ref="DL10:DO10"/>
    <mergeCell ref="DQ10:DT10"/>
    <mergeCell ref="DV10:DY10"/>
    <mergeCell ref="EA10:ED10"/>
    <mergeCell ref="EH9:EL10"/>
    <mergeCell ref="DE9:DE23"/>
    <mergeCell ref="CP13:CS13"/>
    <mergeCell ref="CU13:CX13"/>
    <mergeCell ref="EA14:ED14"/>
    <mergeCell ref="CK14:CN14"/>
    <mergeCell ref="CP14:CS14"/>
    <mergeCell ref="CU14:CX14"/>
    <mergeCell ref="DF13:DF19"/>
    <mergeCell ref="DG13:DK15"/>
    <mergeCell ref="DL13:DO13"/>
    <mergeCell ref="DQ13:DT13"/>
    <mergeCell ref="DV13:DY13"/>
    <mergeCell ref="DL14:DO14"/>
    <mergeCell ref="DQ14:DT14"/>
    <mergeCell ref="DV14:DY14"/>
    <mergeCell ref="FN9:FQ9"/>
    <mergeCell ref="FS9:FV9"/>
    <mergeCell ref="FX9:GA9"/>
    <mergeCell ref="GC9:GF9"/>
    <mergeCell ref="EF9:EF23"/>
    <mergeCell ref="EG9:EG12"/>
    <mergeCell ref="FN10:FQ10"/>
    <mergeCell ref="FS10:FV10"/>
    <mergeCell ref="FX10:GA10"/>
    <mergeCell ref="GC10:GF10"/>
    <mergeCell ref="GT9:GW9"/>
    <mergeCell ref="GY9:HB9"/>
    <mergeCell ref="HD9:HG9"/>
    <mergeCell ref="FG9:FG23"/>
    <mergeCell ref="FH9:FH12"/>
    <mergeCell ref="FI9:FM10"/>
    <mergeCell ref="GT10:GW10"/>
    <mergeCell ref="GY10:HB10"/>
    <mergeCell ref="HD10:HG10"/>
    <mergeCell ref="GY13:HB13"/>
    <mergeCell ref="EM9:EP9"/>
    <mergeCell ref="ER9:EU9"/>
    <mergeCell ref="EW9:EZ9"/>
    <mergeCell ref="FB9:FE9"/>
    <mergeCell ref="EM10:EP10"/>
    <mergeCell ref="ER10:EU10"/>
    <mergeCell ref="EW10:EZ10"/>
    <mergeCell ref="FB10:FE10"/>
    <mergeCell ref="FB13:FE13"/>
    <mergeCell ref="FB14:FE14"/>
    <mergeCell ref="GC13:GF13"/>
    <mergeCell ref="EG13:EG19"/>
    <mergeCell ref="HZ9:IC9"/>
    <mergeCell ref="IE9:IH9"/>
    <mergeCell ref="GH9:GH23"/>
    <mergeCell ref="GI9:GI12"/>
    <mergeCell ref="GJ9:GN10"/>
    <mergeCell ref="GO9:GR9"/>
    <mergeCell ref="HZ10:IC10"/>
    <mergeCell ref="IE10:IH10"/>
    <mergeCell ref="GO10:GR10"/>
    <mergeCell ref="IE11:IH11"/>
    <mergeCell ref="JF9:JI9"/>
    <mergeCell ref="HI9:HI23"/>
    <mergeCell ref="HJ9:HJ12"/>
    <mergeCell ref="HK9:HO10"/>
    <mergeCell ref="HP9:HS9"/>
    <mergeCell ref="HU9:HX9"/>
    <mergeCell ref="JF10:JI10"/>
    <mergeCell ref="HP10:HS10"/>
    <mergeCell ref="HU10:HX10"/>
    <mergeCell ref="HL17:HN17"/>
    <mergeCell ref="IL11:IP12"/>
    <mergeCell ref="IQ11:IT11"/>
    <mergeCell ref="IV11:IY11"/>
    <mergeCell ref="JA11:JD11"/>
    <mergeCell ref="JA13:JD13"/>
    <mergeCell ref="JF13:JI13"/>
    <mergeCell ref="HJ13:HJ19"/>
    <mergeCell ref="HK13:HO15"/>
    <mergeCell ref="HP13:HS13"/>
    <mergeCell ref="HU13:HX13"/>
    <mergeCell ref="JA15:JD15"/>
    <mergeCell ref="JF15:JI15"/>
    <mergeCell ref="KB9:KE9"/>
    <mergeCell ref="KG9:KJ9"/>
    <mergeCell ref="JR10:JU10"/>
    <mergeCell ref="JW10:JZ10"/>
    <mergeCell ref="KB10:KE10"/>
    <mergeCell ref="KG10:KJ10"/>
    <mergeCell ref="KN9:KR10"/>
    <mergeCell ref="KS9:KV9"/>
    <mergeCell ref="KX9:LA9"/>
    <mergeCell ref="LC9:LF9"/>
    <mergeCell ref="LH9:LK9"/>
    <mergeCell ref="JK9:JK23"/>
    <mergeCell ref="KS10:KV10"/>
    <mergeCell ref="KX10:LA10"/>
    <mergeCell ref="LC10:LF10"/>
    <mergeCell ref="LH10:LK10"/>
    <mergeCell ref="LT9:LW9"/>
    <mergeCell ref="KL9:KL23"/>
    <mergeCell ref="KM9:KM12"/>
    <mergeCell ref="LT10:LW10"/>
    <mergeCell ref="KB11:KE11"/>
    <mergeCell ref="KG11:KJ11"/>
    <mergeCell ref="KX11:LA11"/>
    <mergeCell ref="LC11:LF11"/>
    <mergeCell ref="LH11:LK11"/>
    <mergeCell ref="JM11:JQ12"/>
    <mergeCell ref="JR11:JU11"/>
    <mergeCell ref="JW11:JZ11"/>
    <mergeCell ref="KX12:LA12"/>
    <mergeCell ref="LC12:LF12"/>
    <mergeCell ref="LH12:LK12"/>
    <mergeCell ref="JR12:JU12"/>
    <mergeCell ref="MZ9:NC9"/>
    <mergeCell ref="NE9:NH9"/>
    <mergeCell ref="NJ9:NM9"/>
    <mergeCell ref="LM9:LM23"/>
    <mergeCell ref="LN9:LN12"/>
    <mergeCell ref="LO9:LS10"/>
    <mergeCell ref="MZ10:NC10"/>
    <mergeCell ref="NE10:NH10"/>
    <mergeCell ref="NJ10:NM10"/>
    <mergeCell ref="MZ11:NC11"/>
    <mergeCell ref="OK9:ON9"/>
    <mergeCell ref="MN9:MN23"/>
    <mergeCell ref="MO9:MO12"/>
    <mergeCell ref="MP9:MT10"/>
    <mergeCell ref="MU9:MX9"/>
    <mergeCell ref="OK10:ON10"/>
    <mergeCell ref="MU10:MX10"/>
    <mergeCell ref="LY9:MB9"/>
    <mergeCell ref="MD9:MG9"/>
    <mergeCell ref="MI9:ML9"/>
    <mergeCell ref="LY10:MB10"/>
    <mergeCell ref="MD10:MG10"/>
    <mergeCell ref="MI10:ML10"/>
    <mergeCell ref="NV9:NY9"/>
    <mergeCell ref="OA9:OD9"/>
    <mergeCell ref="OF9:OI9"/>
    <mergeCell ref="LY11:MB11"/>
    <mergeCell ref="MD11:MG11"/>
    <mergeCell ref="MH11:MH16"/>
    <mergeCell ref="MI11:ML11"/>
    <mergeCell ref="MZ12:NC12"/>
    <mergeCell ref="NE12:NH12"/>
    <mergeCell ref="NV10:NY10"/>
    <mergeCell ref="OA10:OD10"/>
    <mergeCell ref="OF10:OI10"/>
    <mergeCell ref="OF11:OI11"/>
    <mergeCell ref="OQ9:OQ12"/>
    <mergeCell ref="OR9:OV10"/>
    <mergeCell ref="OW9:OZ9"/>
    <mergeCell ref="PB9:PE9"/>
    <mergeCell ref="PG9:PJ9"/>
    <mergeCell ref="PL9:PO9"/>
    <mergeCell ref="OW10:OZ10"/>
    <mergeCell ref="PB10:PE10"/>
    <mergeCell ref="PG10:PJ10"/>
    <mergeCell ref="PL10:PO10"/>
    <mergeCell ref="PS9:PW10"/>
    <mergeCell ref="PX9:QA9"/>
    <mergeCell ref="QC9:QF9"/>
    <mergeCell ref="OP9:OP23"/>
    <mergeCell ref="PX10:QA10"/>
    <mergeCell ref="QC10:QF10"/>
    <mergeCell ref="PS11:PW12"/>
    <mergeCell ref="PX11:QA11"/>
    <mergeCell ref="QB11:QB16"/>
    <mergeCell ref="QC11:QF11"/>
    <mergeCell ref="PX12:QA12"/>
    <mergeCell ref="QC12:QF12"/>
    <mergeCell ref="NV18:NY18"/>
    <mergeCell ref="OA18:OD18"/>
    <mergeCell ref="OF18:OI18"/>
    <mergeCell ref="OK18:ON18"/>
    <mergeCell ref="OS18:OU18"/>
    <mergeCell ref="OW18:OZ18"/>
    <mergeCell ref="QY9:RB9"/>
    <mergeCell ref="RD9:RG9"/>
    <mergeCell ref="RI9:RL9"/>
    <mergeCell ref="RN9:RQ9"/>
    <mergeCell ref="PQ9:PQ23"/>
    <mergeCell ref="PR9:PR12"/>
    <mergeCell ref="QY10:RB10"/>
    <mergeCell ref="RD10:RG10"/>
    <mergeCell ref="RI10:RL10"/>
    <mergeCell ref="RN10:RQ10"/>
    <mergeCell ref="SE9:SH9"/>
    <mergeCell ref="SJ9:SM9"/>
    <mergeCell ref="SO9:SR9"/>
    <mergeCell ref="QR9:QR23"/>
    <mergeCell ref="QS9:QS12"/>
    <mergeCell ref="QT9:QX10"/>
    <mergeCell ref="SE10:SH10"/>
    <mergeCell ref="SJ10:SM10"/>
    <mergeCell ref="SO10:SR10"/>
    <mergeCell ref="SJ11:SM11"/>
    <mergeCell ref="QH9:QK9"/>
    <mergeCell ref="QM9:QP9"/>
    <mergeCell ref="QH10:QK10"/>
    <mergeCell ref="QM10:QP10"/>
    <mergeCell ref="QH11:QK11"/>
    <mergeCell ref="QL11:QL16"/>
    <mergeCell ref="QH12:QK12"/>
    <mergeCell ref="RD11:RG11"/>
    <mergeCell ref="RH11:RH16"/>
    <mergeCell ref="RI11:RL11"/>
    <mergeCell ref="RM11:RM16"/>
    <mergeCell ref="RN11:RQ11"/>
    <mergeCell ref="UV9:UV23"/>
    <mergeCell ref="WD10:WG10"/>
    <mergeCell ref="WI10:WL10"/>
    <mergeCell ref="WN10:WQ10"/>
    <mergeCell ref="WS10:WV10"/>
    <mergeCell ref="TK9:TN9"/>
    <mergeCell ref="TP9:TS9"/>
    <mergeCell ref="RS9:RS23"/>
    <mergeCell ref="RT9:RT12"/>
    <mergeCell ref="RU9:RY10"/>
    <mergeCell ref="RZ9:SC9"/>
    <mergeCell ref="TK10:TN10"/>
    <mergeCell ref="TP10:TS10"/>
    <mergeCell ref="RZ10:SC10"/>
    <mergeCell ref="TP11:TS11"/>
    <mergeCell ref="UQ9:UT9"/>
    <mergeCell ref="ST9:ST23"/>
    <mergeCell ref="SU9:SU12"/>
    <mergeCell ref="SV9:SZ10"/>
    <mergeCell ref="TA9:TD9"/>
    <mergeCell ref="TF9:TI9"/>
    <mergeCell ref="UQ10:UT10"/>
    <mergeCell ref="TA10:TD10"/>
    <mergeCell ref="TF10:TI10"/>
    <mergeCell ref="SV11:SZ12"/>
    <mergeCell ref="TW11:UA12"/>
    <mergeCell ref="VC12:VF12"/>
    <mergeCell ref="VH12:VK12"/>
    <mergeCell ref="VH13:VK13"/>
    <mergeCell ref="TU9:TU23"/>
    <mergeCell ref="TV9:TV12"/>
    <mergeCell ref="TW9:UA10"/>
    <mergeCell ref="VW9:VW23"/>
    <mergeCell ref="VX9:VX12"/>
    <mergeCell ref="XE10:XH10"/>
    <mergeCell ref="XJ10:XM10"/>
    <mergeCell ref="XO10:XR10"/>
    <mergeCell ref="XT10:XW10"/>
    <mergeCell ref="YK9:YN9"/>
    <mergeCell ref="YP9:YS9"/>
    <mergeCell ref="YU9:YX9"/>
    <mergeCell ref="WX9:WX23"/>
    <mergeCell ref="WY9:WY12"/>
    <mergeCell ref="WZ9:XD10"/>
    <mergeCell ref="YK10:YN10"/>
    <mergeCell ref="YP10:YS10"/>
    <mergeCell ref="YU10:YX10"/>
    <mergeCell ref="YU18:YX18"/>
    <mergeCell ref="UW9:UW12"/>
    <mergeCell ref="UX9:VB10"/>
    <mergeCell ref="VC9:VF9"/>
    <mergeCell ref="VH9:VK9"/>
    <mergeCell ref="VM9:VP9"/>
    <mergeCell ref="VR9:VU9"/>
    <mergeCell ref="VC10:VF10"/>
    <mergeCell ref="VH10:VK10"/>
    <mergeCell ref="VM10:VP10"/>
    <mergeCell ref="VR10:VU10"/>
    <mergeCell ref="VY9:WC10"/>
    <mergeCell ref="WD9:WG9"/>
    <mergeCell ref="WI9:WL9"/>
    <mergeCell ref="WN9:WQ9"/>
    <mergeCell ref="WS9:WV9"/>
    <mergeCell ref="XE12:XH12"/>
    <mergeCell ref="XY9:XY23"/>
    <mergeCell ref="XZ9:XZ12"/>
    <mergeCell ref="YA9:YE10"/>
    <mergeCell ref="YF9:YI9"/>
    <mergeCell ref="ZQ10:ZT10"/>
    <mergeCell ref="ZV10:ZY10"/>
    <mergeCell ref="YF10:YI10"/>
    <mergeCell ref="YF11:YI11"/>
    <mergeCell ref="YZ9:YZ23"/>
    <mergeCell ref="ZA9:ZA12"/>
    <mergeCell ref="ZB9:ZF10"/>
    <mergeCell ref="ZG9:ZJ9"/>
    <mergeCell ref="ZL9:ZO9"/>
    <mergeCell ref="ZG10:ZJ10"/>
    <mergeCell ref="ZL10:ZO10"/>
    <mergeCell ref="ZG11:ZJ11"/>
    <mergeCell ref="XE9:XH9"/>
    <mergeCell ref="XJ9:XM9"/>
    <mergeCell ref="XO9:XR9"/>
    <mergeCell ref="XT9:XW9"/>
    <mergeCell ref="XJ12:XM12"/>
    <mergeCell ref="XO12:XR12"/>
    <mergeCell ref="XT12:XW12"/>
    <mergeCell ref="YJ11:YJ16"/>
    <mergeCell ref="YK11:YN11"/>
    <mergeCell ref="YO11:YO16"/>
    <mergeCell ref="YP11:YS11"/>
    <mergeCell ref="YU11:YX11"/>
    <mergeCell ref="ZG18:ZJ18"/>
    <mergeCell ref="ZL18:ZO18"/>
    <mergeCell ref="YB18:YD18"/>
    <mergeCell ref="YF18:YI18"/>
    <mergeCell ref="ABD9:ABH10"/>
    <mergeCell ref="ABI9:ABL9"/>
    <mergeCell ref="ABN9:ABQ9"/>
    <mergeCell ref="ABS9:ABV9"/>
    <mergeCell ref="ABX9:ACA9"/>
    <mergeCell ref="AAA9:AAA23"/>
    <mergeCell ref="ABI10:ABL10"/>
    <mergeCell ref="ABN10:ABQ10"/>
    <mergeCell ref="ABS10:ABV10"/>
    <mergeCell ref="ABX10:ACA10"/>
    <mergeCell ref="ACT9:ACW9"/>
    <mergeCell ref="ACY9:ADB9"/>
    <mergeCell ref="ABB9:ABB23"/>
    <mergeCell ref="ABC9:ABC12"/>
    <mergeCell ref="ACT10:ACW10"/>
    <mergeCell ref="ACY10:ADB10"/>
    <mergeCell ref="ZQ9:ZT9"/>
    <mergeCell ref="ZV9:ZY9"/>
    <mergeCell ref="ABD11:ABH12"/>
    <mergeCell ref="ABI11:ABL11"/>
    <mergeCell ref="ABN11:ABQ11"/>
    <mergeCell ref="ABS11:ABV11"/>
    <mergeCell ref="ABI12:ABL12"/>
    <mergeCell ref="ABN12:ABQ12"/>
    <mergeCell ref="ACE11:ACI12"/>
    <mergeCell ref="ACJ11:ACM11"/>
    <mergeCell ref="ACO11:ACR11"/>
    <mergeCell ref="ACT11:ACW11"/>
    <mergeCell ref="ACY11:ADB11"/>
    <mergeCell ref="ACY13:ADB13"/>
    <mergeCell ref="ACY14:ADB14"/>
    <mergeCell ref="ACO15:ACR15"/>
    <mergeCell ref="ADZ9:AEC9"/>
    <mergeCell ref="ACC9:ACC23"/>
    <mergeCell ref="ACD9:ACD12"/>
    <mergeCell ref="ACE9:ACI10"/>
    <mergeCell ref="ACJ9:ACM9"/>
    <mergeCell ref="ACO9:ACR9"/>
    <mergeCell ref="ADZ10:AEC10"/>
    <mergeCell ref="ACJ10:ACM10"/>
    <mergeCell ref="ACO10:ACR10"/>
    <mergeCell ref="ADZ11:AEC11"/>
    <mergeCell ref="ADD9:ADD23"/>
    <mergeCell ref="ADE9:ADE12"/>
    <mergeCell ref="ADF9:ADJ10"/>
    <mergeCell ref="ADK9:ADN9"/>
    <mergeCell ref="ADP9:ADS9"/>
    <mergeCell ref="ADU9:ADX9"/>
    <mergeCell ref="ADK10:ADN10"/>
    <mergeCell ref="ADP10:ADS10"/>
    <mergeCell ref="ADU10:ADX10"/>
    <mergeCell ref="ADU11:ADX11"/>
    <mergeCell ref="ADC11:ADC16"/>
    <mergeCell ref="ACT15:ACW15"/>
    <mergeCell ref="ADU12:ADX12"/>
    <mergeCell ref="ADZ12:AEC12"/>
    <mergeCell ref="ACJ12:ACM12"/>
    <mergeCell ref="ACO12:ACR12"/>
    <mergeCell ref="ACT12:ACW12"/>
    <mergeCell ref="ACY12:ADB12"/>
    <mergeCell ref="ADK12:ADN12"/>
    <mergeCell ref="ADP12:ADS12"/>
    <mergeCell ref="ACT14:ACW14"/>
    <mergeCell ref="ACO14:ACR14"/>
    <mergeCell ref="AEL10:AEO10"/>
    <mergeCell ref="AEQ10:AET10"/>
    <mergeCell ref="AEV10:AEY10"/>
    <mergeCell ref="AFA10:AFD10"/>
    <mergeCell ref="AFH9:AFL10"/>
    <mergeCell ref="AFM9:AFP9"/>
    <mergeCell ref="AFR9:AFU9"/>
    <mergeCell ref="AFW9:AFZ9"/>
    <mergeCell ref="AGB9:AGE9"/>
    <mergeCell ref="AEE9:AEE23"/>
    <mergeCell ref="AFM10:AFP10"/>
    <mergeCell ref="AFR10:AFU10"/>
    <mergeCell ref="AFW10:AFZ10"/>
    <mergeCell ref="AGB10:AGE10"/>
    <mergeCell ref="AGS9:AGV9"/>
    <mergeCell ref="AGX9:AHA9"/>
    <mergeCell ref="AHC9:AHF9"/>
    <mergeCell ref="AFF9:AFF23"/>
    <mergeCell ref="AFG9:AFG12"/>
    <mergeCell ref="AGS10:AGV10"/>
    <mergeCell ref="AGX10:AHA10"/>
    <mergeCell ref="AHC10:AHF10"/>
    <mergeCell ref="AEF9:AEF12"/>
    <mergeCell ref="AEG9:AEK10"/>
    <mergeCell ref="AEL9:AEO9"/>
    <mergeCell ref="AEQ9:AET9"/>
    <mergeCell ref="AEV9:AEY9"/>
    <mergeCell ref="AFA9:AFD9"/>
    <mergeCell ref="AEL12:AEO12"/>
    <mergeCell ref="AEQ12:AET12"/>
    <mergeCell ref="AEV12:AEY12"/>
    <mergeCell ref="AFA12:AFD12"/>
    <mergeCell ref="ALG9:ALJ9"/>
    <mergeCell ref="AJJ9:AJJ23"/>
    <mergeCell ref="AKR10:AKU10"/>
    <mergeCell ref="AKW10:AKZ10"/>
    <mergeCell ref="ALB10:ALE10"/>
    <mergeCell ref="ALG10:ALJ10"/>
    <mergeCell ref="AHY9:AIB9"/>
    <mergeCell ref="AID9:AIG9"/>
    <mergeCell ref="AGG9:AGG23"/>
    <mergeCell ref="AGH9:AGH12"/>
    <mergeCell ref="AGI9:AGM10"/>
    <mergeCell ref="AGN9:AGQ9"/>
    <mergeCell ref="AHY10:AIB10"/>
    <mergeCell ref="AID10:AIG10"/>
    <mergeCell ref="AGN10:AGQ10"/>
    <mergeCell ref="AGI11:AGM12"/>
    <mergeCell ref="AJE9:AJH9"/>
    <mergeCell ref="AHH9:AHH23"/>
    <mergeCell ref="AHI9:AHI12"/>
    <mergeCell ref="AHJ9:AHN10"/>
    <mergeCell ref="AHO9:AHR9"/>
    <mergeCell ref="AHT9:AHW9"/>
    <mergeCell ref="AJE10:AJH10"/>
    <mergeCell ref="AHO10:AHR10"/>
    <mergeCell ref="AHT10:AHW10"/>
    <mergeCell ref="AJE11:AJH11"/>
    <mergeCell ref="AKF12:AKI12"/>
    <mergeCell ref="AIP12:AIS12"/>
    <mergeCell ref="AIU12:AIX12"/>
    <mergeCell ref="AIZ12:AJC12"/>
    <mergeCell ref="AJL11:AJP12"/>
    <mergeCell ref="AJQ11:AJT11"/>
    <mergeCell ref="ALS9:ALV9"/>
    <mergeCell ref="ALX9:AMA9"/>
    <mergeCell ref="AMC9:AMF9"/>
    <mergeCell ref="AMH9:AMK9"/>
    <mergeCell ref="AKK9:AKK23"/>
    <mergeCell ref="AKL9:AKL12"/>
    <mergeCell ref="ALS10:ALV10"/>
    <mergeCell ref="ALX10:AMA10"/>
    <mergeCell ref="AMC10:AMF10"/>
    <mergeCell ref="AMH10:AMK10"/>
    <mergeCell ref="ANI9:ANL9"/>
    <mergeCell ref="ALL9:ALL23"/>
    <mergeCell ref="ALM9:ALM12"/>
    <mergeCell ref="ALN9:ALR10"/>
    <mergeCell ref="ALO17:ALQ17"/>
    <mergeCell ref="ANI18:ANL18"/>
    <mergeCell ref="AIZ10:AJC10"/>
    <mergeCell ref="AIZ13:AJC13"/>
    <mergeCell ref="AJK9:AJK12"/>
    <mergeCell ref="AJL9:AJP10"/>
    <mergeCell ref="AJQ9:AJT9"/>
    <mergeCell ref="AJV9:AJY9"/>
    <mergeCell ref="AKA9:AKD9"/>
    <mergeCell ref="AKF9:AKI9"/>
    <mergeCell ref="AJQ10:AJT10"/>
    <mergeCell ref="AJV10:AJY10"/>
    <mergeCell ref="AKA10:AKD10"/>
    <mergeCell ref="AKF10:AKI10"/>
    <mergeCell ref="AKM9:AKQ10"/>
    <mergeCell ref="AKR9:AKU9"/>
    <mergeCell ref="AKW9:AKZ9"/>
    <mergeCell ref="ALB9:ALE9"/>
    <mergeCell ref="AMT9:AMW9"/>
    <mergeCell ref="AMY9:ANB9"/>
    <mergeCell ref="AND9:ANG9"/>
    <mergeCell ref="AMT11:AMW11"/>
    <mergeCell ref="AMY11:ANB11"/>
    <mergeCell ref="AND11:ANG11"/>
    <mergeCell ref="AMT12:AMW12"/>
    <mergeCell ref="ANP9:ANT10"/>
    <mergeCell ref="ANU9:ANX9"/>
    <mergeCell ref="ANZ9:AOC9"/>
    <mergeCell ref="AOE9:AOH9"/>
    <mergeCell ref="AOI9:AOJ9"/>
    <mergeCell ref="AOK9:AON9"/>
    <mergeCell ref="ANU10:ANX10"/>
    <mergeCell ref="ANZ10:AOC10"/>
    <mergeCell ref="AOE10:AOH10"/>
    <mergeCell ref="AOI10:AOJ10"/>
    <mergeCell ref="AOE12:AOH12"/>
    <mergeCell ref="AOK12:AON12"/>
    <mergeCell ref="ANO9:ANO12"/>
    <mergeCell ref="AOW10:AOZ10"/>
    <mergeCell ref="APB10:APE10"/>
    <mergeCell ref="APG10:APJ10"/>
    <mergeCell ref="APL10:APO10"/>
    <mergeCell ref="AQC9:AQF9"/>
    <mergeCell ref="AQH9:AQK9"/>
    <mergeCell ref="AQM9:AQP9"/>
    <mergeCell ref="AOP9:AOP23"/>
    <mergeCell ref="AOQ9:AOQ12"/>
    <mergeCell ref="AOR9:AOV10"/>
    <mergeCell ref="AQC10:AQF10"/>
    <mergeCell ref="AQH10:AQK10"/>
    <mergeCell ref="AQM10:AQP10"/>
    <mergeCell ref="AQM11:AQP11"/>
    <mergeCell ref="ARI9:ARL9"/>
    <mergeCell ref="ARN9:ARQ9"/>
    <mergeCell ref="APQ9:APQ23"/>
    <mergeCell ref="APR9:APR12"/>
    <mergeCell ref="APS9:APW10"/>
    <mergeCell ref="APX9:AQA9"/>
    <mergeCell ref="ARI10:ARL10"/>
    <mergeCell ref="ARN10:ARQ10"/>
    <mergeCell ref="APX10:AQA10"/>
    <mergeCell ref="ARI14:ARL14"/>
    <mergeCell ref="ARN14:ARQ14"/>
    <mergeCell ref="AQY15:ARB15"/>
    <mergeCell ref="ARD15:ARG15"/>
    <mergeCell ref="ARI15:ARL15"/>
    <mergeCell ref="ARN15:ARQ15"/>
    <mergeCell ref="ARD17:ARG17"/>
    <mergeCell ref="ARI17:ARL17"/>
    <mergeCell ref="ASO9:ASR9"/>
    <mergeCell ref="AQR9:AQR23"/>
    <mergeCell ref="AQS9:AQS12"/>
    <mergeCell ref="AQT9:AQX10"/>
    <mergeCell ref="AQY9:ARB9"/>
    <mergeCell ref="ARD9:ARG9"/>
    <mergeCell ref="ASO10:ASR10"/>
    <mergeCell ref="AQY10:ARB10"/>
    <mergeCell ref="ARD10:ARG10"/>
    <mergeCell ref="ASS11:ASS16"/>
    <mergeCell ref="ARS9:ARS23"/>
    <mergeCell ref="ART9:ART12"/>
    <mergeCell ref="ARU9:ARY10"/>
    <mergeCell ref="ARZ9:ASC9"/>
    <mergeCell ref="ASE9:ASH9"/>
    <mergeCell ref="ASJ9:ASM9"/>
    <mergeCell ref="ARZ10:ASC10"/>
    <mergeCell ref="ASE10:ASH10"/>
    <mergeCell ref="ASJ10:ASM10"/>
    <mergeCell ref="ARZ11:ASC11"/>
    <mergeCell ref="ARR11:ARR16"/>
    <mergeCell ref="ASJ15:ASM15"/>
    <mergeCell ref="ASO15:ASR15"/>
    <mergeCell ref="ARN17:ARQ17"/>
    <mergeCell ref="ARZ17:ASC17"/>
    <mergeCell ref="ASE17:ASH17"/>
    <mergeCell ref="ASJ17:ASM17"/>
    <mergeCell ref="ASO17:ASR17"/>
    <mergeCell ref="AQU17:AQW17"/>
    <mergeCell ref="AQY17:ARB17"/>
    <mergeCell ref="ARN19:ARQ19"/>
    <mergeCell ref="ARN23:ARQ23"/>
    <mergeCell ref="ATF9:ATI9"/>
    <mergeCell ref="ATK9:ATN9"/>
    <mergeCell ref="ATP9:ATS9"/>
    <mergeCell ref="ATA10:ATD10"/>
    <mergeCell ref="ATF10:ATI10"/>
    <mergeCell ref="ATK10:ATN10"/>
    <mergeCell ref="ATP10:ATS10"/>
    <mergeCell ref="ATW9:AUA10"/>
    <mergeCell ref="AUB9:AUE9"/>
    <mergeCell ref="AUG9:AUJ9"/>
    <mergeCell ref="AUL9:AUO9"/>
    <mergeCell ref="AUQ9:AUT9"/>
    <mergeCell ref="AST9:AST23"/>
    <mergeCell ref="AUB10:AUE10"/>
    <mergeCell ref="AUG10:AUJ10"/>
    <mergeCell ref="AUL10:AUO10"/>
    <mergeCell ref="AUQ10:AUT10"/>
    <mergeCell ref="AUL11:AUO11"/>
    <mergeCell ref="AUP11:AUP16"/>
    <mergeCell ref="AUQ11:AUT11"/>
    <mergeCell ref="ASV11:ASZ12"/>
    <mergeCell ref="ATA11:ATD11"/>
    <mergeCell ref="AUL12:AUO12"/>
    <mergeCell ref="AUQ12:AUT12"/>
    <mergeCell ref="ATA12:ATD12"/>
    <mergeCell ref="ATA13:ATD13"/>
    <mergeCell ref="ATW11:AUA12"/>
    <mergeCell ref="AUB11:AUE11"/>
    <mergeCell ref="AUF11:AUF16"/>
    <mergeCell ref="AUG11:AUJ11"/>
    <mergeCell ref="AUK11:AUK16"/>
    <mergeCell ref="AUB12:AUE12"/>
    <mergeCell ref="AVC9:AVF9"/>
    <mergeCell ref="AVH9:AVK9"/>
    <mergeCell ref="AVM9:AVP9"/>
    <mergeCell ref="AVR9:AVU9"/>
    <mergeCell ref="ATU9:ATU23"/>
    <mergeCell ref="ATV9:ATV12"/>
    <mergeCell ref="AVC10:AVF10"/>
    <mergeCell ref="AVH10:AVK10"/>
    <mergeCell ref="AVM10:AVP10"/>
    <mergeCell ref="AVR10:AVU10"/>
    <mergeCell ref="AWI9:AWL9"/>
    <mergeCell ref="AWN9:AWQ9"/>
    <mergeCell ref="AWS9:AWV9"/>
    <mergeCell ref="AUV9:AUV23"/>
    <mergeCell ref="AUW9:AUW12"/>
    <mergeCell ref="AUX9:AVB10"/>
    <mergeCell ref="AWI10:AWL10"/>
    <mergeCell ref="AWN10:AWQ10"/>
    <mergeCell ref="AWS10:AWV10"/>
    <mergeCell ref="AUW13:AUW19"/>
    <mergeCell ref="AUX11:AVB12"/>
    <mergeCell ref="AWS12:AWV12"/>
    <mergeCell ref="AUU11:AUU16"/>
    <mergeCell ref="AVR11:AVU11"/>
    <mergeCell ref="AVR12:AVU12"/>
    <mergeCell ref="AUG12:AUJ12"/>
    <mergeCell ref="ATW13:AUA15"/>
    <mergeCell ref="AWD15:AWG15"/>
    <mergeCell ref="AWI15:AWL15"/>
    <mergeCell ref="AWN15:AWQ15"/>
    <mergeCell ref="AVX13:AVX19"/>
    <mergeCell ref="AVY13:AWC15"/>
    <mergeCell ref="AYZ9:AYZ23"/>
    <mergeCell ref="AZA9:AZA12"/>
    <mergeCell ref="BAH10:BAK10"/>
    <mergeCell ref="BAM10:BAP10"/>
    <mergeCell ref="BAR10:BAU10"/>
    <mergeCell ref="BAW10:BAZ10"/>
    <mergeCell ref="AXO9:AXR9"/>
    <mergeCell ref="AXT9:AXW9"/>
    <mergeCell ref="AVW9:AVW23"/>
    <mergeCell ref="AVX9:AVX12"/>
    <mergeCell ref="AVY9:AWC10"/>
    <mergeCell ref="AWD9:AWG9"/>
    <mergeCell ref="AXO10:AXR10"/>
    <mergeCell ref="AXT10:AXW10"/>
    <mergeCell ref="AWD10:AWG10"/>
    <mergeCell ref="AVY11:AWC12"/>
    <mergeCell ref="AYU9:AYX9"/>
    <mergeCell ref="AWX9:AWX23"/>
    <mergeCell ref="AWY9:AWY12"/>
    <mergeCell ref="AWZ9:AXD10"/>
    <mergeCell ref="AXE9:AXH9"/>
    <mergeCell ref="AXJ9:AXM9"/>
    <mergeCell ref="AXJ10:AXM10"/>
    <mergeCell ref="AYU11:AYX11"/>
    <mergeCell ref="AYY11:AYY16"/>
    <mergeCell ref="AWZ11:AXD12"/>
    <mergeCell ref="AXT12:AXW12"/>
    <mergeCell ref="AXJ13:AXM13"/>
    <mergeCell ref="AXO13:AXR13"/>
    <mergeCell ref="AXT13:AXW13"/>
    <mergeCell ref="AZQ11:AZT11"/>
    <mergeCell ref="AZV11:AZY11"/>
    <mergeCell ref="BBB9:BBB23"/>
    <mergeCell ref="BBC9:BBC12"/>
    <mergeCell ref="BBD9:BBH10"/>
    <mergeCell ref="BBI9:BBL9"/>
    <mergeCell ref="BCT10:BCW10"/>
    <mergeCell ref="BCY10:BDB10"/>
    <mergeCell ref="BBI10:BBL10"/>
    <mergeCell ref="BBI11:BBL11"/>
    <mergeCell ref="AZB9:AZF10"/>
    <mergeCell ref="AZG9:AZJ9"/>
    <mergeCell ref="AZL9:AZO9"/>
    <mergeCell ref="AZQ9:AZT9"/>
    <mergeCell ref="AZV9:AZY9"/>
    <mergeCell ref="AZG10:AZJ10"/>
    <mergeCell ref="AZL10:AZO10"/>
    <mergeCell ref="AZQ10:AZT10"/>
    <mergeCell ref="BAH9:BAK9"/>
    <mergeCell ref="BAM9:BAP9"/>
    <mergeCell ref="BAR9:BAU9"/>
    <mergeCell ref="BAW9:BAZ9"/>
    <mergeCell ref="BCJ11:BCM11"/>
    <mergeCell ref="BCO11:BCR11"/>
    <mergeCell ref="BCT11:BCW11"/>
    <mergeCell ref="BCY11:BDB11"/>
    <mergeCell ref="BBD11:BBH12"/>
    <mergeCell ref="BAH13:BAK13"/>
    <mergeCell ref="BBN14:BBQ14"/>
    <mergeCell ref="BBS14:BBV14"/>
    <mergeCell ref="BBX14:BCA14"/>
    <mergeCell ref="BAH14:BAK14"/>
    <mergeCell ref="BBC13:BBC19"/>
    <mergeCell ref="BBD13:BBH15"/>
    <mergeCell ref="BFW9:BFZ9"/>
    <mergeCell ref="BGB9:BGE9"/>
    <mergeCell ref="BEE9:BEE23"/>
    <mergeCell ref="AN8:AR8"/>
    <mergeCell ref="AS8:AW8"/>
    <mergeCell ref="AX8:BB8"/>
    <mergeCell ref="A8:G8"/>
    <mergeCell ref="H8:L8"/>
    <mergeCell ref="M8:Q8"/>
    <mergeCell ref="BJ8:BN8"/>
    <mergeCell ref="BO8:BS8"/>
    <mergeCell ref="BT8:BX8"/>
    <mergeCell ref="BY8:CC8"/>
    <mergeCell ref="AB8:AH8"/>
    <mergeCell ref="AI8:AM8"/>
    <mergeCell ref="BDZ9:BEC9"/>
    <mergeCell ref="BCC9:BCC23"/>
    <mergeCell ref="BCD9:BCD12"/>
    <mergeCell ref="BCE9:BCI10"/>
    <mergeCell ref="BCJ9:BCM9"/>
    <mergeCell ref="BCO9:BCR9"/>
    <mergeCell ref="BDZ10:BEC10"/>
    <mergeCell ref="BCJ10:BCM10"/>
    <mergeCell ref="BCO10:BCR10"/>
    <mergeCell ref="BDZ11:BEC11"/>
    <mergeCell ref="BDD9:BDD23"/>
    <mergeCell ref="BDE9:BDE12"/>
    <mergeCell ref="BDF9:BDJ10"/>
    <mergeCell ref="BDK9:BDN9"/>
    <mergeCell ref="BDP9:BDS9"/>
    <mergeCell ref="BDU9:BDX9"/>
    <mergeCell ref="BDK10:BDN10"/>
    <mergeCell ref="BEF9:BEF12"/>
    <mergeCell ref="BEG9:BEK10"/>
    <mergeCell ref="BEL9:BEO9"/>
    <mergeCell ref="BEQ9:BET9"/>
    <mergeCell ref="BEV9:BEY9"/>
    <mergeCell ref="BFA9:BFD9"/>
    <mergeCell ref="BEV10:BEY10"/>
    <mergeCell ref="BFA10:BFD10"/>
    <mergeCell ref="BEL11:BEO11"/>
    <mergeCell ref="BEQ11:BET11"/>
    <mergeCell ref="R8:V8"/>
    <mergeCell ref="W8:AA8"/>
    <mergeCell ref="BFF9:BFF23"/>
    <mergeCell ref="BFG9:BFG12"/>
    <mergeCell ref="BFH9:BFL10"/>
    <mergeCell ref="BFM9:BFP9"/>
    <mergeCell ref="BFR9:BFU9"/>
    <mergeCell ref="BDP10:BDS10"/>
    <mergeCell ref="BDU10:BDX10"/>
    <mergeCell ref="BDU11:BDX11"/>
    <mergeCell ref="BBN9:BBQ9"/>
    <mergeCell ref="BBS9:BBV9"/>
    <mergeCell ref="BBX9:BCA9"/>
    <mergeCell ref="BAA9:BAA23"/>
    <mergeCell ref="BAB9:BAB12"/>
    <mergeCell ref="BAC9:BAG10"/>
    <mergeCell ref="BBN10:BBQ10"/>
    <mergeCell ref="BBS10:BBV10"/>
    <mergeCell ref="BBX10:BCA10"/>
    <mergeCell ref="BBN11:BBQ11"/>
    <mergeCell ref="BCT9:BCW9"/>
    <mergeCell ref="BCY9:BDB9"/>
    <mergeCell ref="CD8:CJ8"/>
    <mergeCell ref="CK8:CO8"/>
    <mergeCell ref="CP8:CT8"/>
    <mergeCell ref="CU8:CY8"/>
    <mergeCell ref="CZ8:DD8"/>
    <mergeCell ref="BC8:BI8"/>
    <mergeCell ref="FB8:FF8"/>
    <mergeCell ref="DE8:DK8"/>
    <mergeCell ref="DL8:DP8"/>
    <mergeCell ref="DQ8:DU8"/>
    <mergeCell ref="DV8:DZ8"/>
    <mergeCell ref="EA8:EE8"/>
    <mergeCell ref="FX8:GB8"/>
    <mergeCell ref="GC8:GG8"/>
    <mergeCell ref="EF8:EL8"/>
    <mergeCell ref="EM8:EQ8"/>
    <mergeCell ref="ER8:EV8"/>
    <mergeCell ref="EW8:FA8"/>
    <mergeCell ref="GT8:GX8"/>
    <mergeCell ref="GY8:HC8"/>
    <mergeCell ref="HD8:HH8"/>
    <mergeCell ref="FG8:FM8"/>
    <mergeCell ref="FN8:FR8"/>
    <mergeCell ref="FS8:FW8"/>
    <mergeCell ref="HP8:HT8"/>
    <mergeCell ref="HU8:HY8"/>
    <mergeCell ref="HZ8:ID8"/>
    <mergeCell ref="IE8:II8"/>
    <mergeCell ref="GH8:GN8"/>
    <mergeCell ref="GO8:GS8"/>
    <mergeCell ref="IJ8:IP8"/>
    <mergeCell ref="IQ8:IU8"/>
    <mergeCell ref="IV8:IZ8"/>
    <mergeCell ref="JA8:JE8"/>
    <mergeCell ref="JF8:JJ8"/>
    <mergeCell ref="HI8:HO8"/>
    <mergeCell ref="LH8:LL8"/>
    <mergeCell ref="JK8:JQ8"/>
    <mergeCell ref="JR8:JV8"/>
    <mergeCell ref="JW8:KA8"/>
    <mergeCell ref="KB8:KF8"/>
    <mergeCell ref="KG8:KK8"/>
    <mergeCell ref="MD8:MH8"/>
    <mergeCell ref="MI8:MM8"/>
    <mergeCell ref="KL8:KR8"/>
    <mergeCell ref="KS8:KW8"/>
    <mergeCell ref="KX8:LB8"/>
    <mergeCell ref="LC8:LG8"/>
    <mergeCell ref="MZ8:ND8"/>
    <mergeCell ref="NE8:NI8"/>
    <mergeCell ref="NJ8:NN8"/>
    <mergeCell ref="LM8:LS8"/>
    <mergeCell ref="LT8:LX8"/>
    <mergeCell ref="LY8:MC8"/>
    <mergeCell ref="OA8:OE8"/>
    <mergeCell ref="OF8:OJ8"/>
    <mergeCell ref="OK8:OO8"/>
    <mergeCell ref="MN8:MT8"/>
    <mergeCell ref="MU8:MY8"/>
    <mergeCell ref="OW8:PA8"/>
    <mergeCell ref="PB8:PF8"/>
    <mergeCell ref="PG8:PK8"/>
    <mergeCell ref="PL8:PP8"/>
    <mergeCell ref="NO8:NU8"/>
    <mergeCell ref="NV8:NZ8"/>
    <mergeCell ref="PQ8:PW8"/>
    <mergeCell ref="PX8:QB8"/>
    <mergeCell ref="QC8:QG8"/>
    <mergeCell ref="QH8:QL8"/>
    <mergeCell ref="QM8:QQ8"/>
    <mergeCell ref="OP8:OV8"/>
    <mergeCell ref="SO8:SS8"/>
    <mergeCell ref="QR8:QX8"/>
    <mergeCell ref="QY8:RC8"/>
    <mergeCell ref="RD8:RH8"/>
    <mergeCell ref="RI8:RM8"/>
    <mergeCell ref="RN8:RR8"/>
    <mergeCell ref="TK8:TO8"/>
    <mergeCell ref="TP8:TT8"/>
    <mergeCell ref="RS8:RY8"/>
    <mergeCell ref="RZ8:SD8"/>
    <mergeCell ref="SE8:SI8"/>
    <mergeCell ref="SJ8:SN8"/>
    <mergeCell ref="UG8:UK8"/>
    <mergeCell ref="UL8:UP8"/>
    <mergeCell ref="UQ8:UU8"/>
    <mergeCell ref="ST8:SZ8"/>
    <mergeCell ref="TA8:TE8"/>
    <mergeCell ref="TF8:TJ8"/>
    <mergeCell ref="VC8:VG8"/>
    <mergeCell ref="VH8:VL8"/>
    <mergeCell ref="VM8:VQ8"/>
    <mergeCell ref="VR8:VV8"/>
    <mergeCell ref="TU8:UA8"/>
    <mergeCell ref="UB8:UF8"/>
    <mergeCell ref="VW8:WC8"/>
    <mergeCell ref="WD8:WH8"/>
    <mergeCell ref="WI8:WM8"/>
    <mergeCell ref="WN8:WR8"/>
    <mergeCell ref="WS8:WW8"/>
    <mergeCell ref="UV8:VB8"/>
    <mergeCell ref="YU8:YY8"/>
    <mergeCell ref="WX8:XD8"/>
    <mergeCell ref="XE8:XI8"/>
    <mergeCell ref="XJ8:XN8"/>
    <mergeCell ref="XO8:XS8"/>
    <mergeCell ref="XT8:XX8"/>
    <mergeCell ref="ZQ8:ZU8"/>
    <mergeCell ref="ZV8:ZZ8"/>
    <mergeCell ref="XY8:YE8"/>
    <mergeCell ref="YF8:YJ8"/>
    <mergeCell ref="YK8:YO8"/>
    <mergeCell ref="YP8:YT8"/>
    <mergeCell ref="AAR8:AAV8"/>
    <mergeCell ref="AAW8:ABA8"/>
    <mergeCell ref="YZ8:ZF8"/>
    <mergeCell ref="ZG8:ZK8"/>
    <mergeCell ref="ZL8:ZP8"/>
    <mergeCell ref="ABN8:ABR8"/>
    <mergeCell ref="ABS8:ABW8"/>
    <mergeCell ref="ABX8:ACB8"/>
    <mergeCell ref="AAA8:AAG8"/>
    <mergeCell ref="AAH8:AAL8"/>
    <mergeCell ref="AAM8:AAQ8"/>
    <mergeCell ref="AEE8:AEK8"/>
    <mergeCell ref="AGG8:AGM8"/>
    <mergeCell ref="AGN8:AGR8"/>
    <mergeCell ref="AGS8:AGW8"/>
    <mergeCell ref="AGX8:AHB8"/>
    <mergeCell ref="AHC8:AHG8"/>
    <mergeCell ref="AJE8:AJI8"/>
    <mergeCell ref="AHH8:AHN8"/>
    <mergeCell ref="AHO8:AHS8"/>
    <mergeCell ref="AHT8:AHX8"/>
    <mergeCell ref="AHY8:AIC8"/>
    <mergeCell ref="AID8:AIH8"/>
    <mergeCell ref="ACT8:ACX8"/>
    <mergeCell ref="ACY8:ADC8"/>
    <mergeCell ref="ABB8:ABH8"/>
    <mergeCell ref="ABI8:ABM8"/>
    <mergeCell ref="ADP8:ADT8"/>
    <mergeCell ref="ADU8:ADY8"/>
    <mergeCell ref="ADZ8:AED8"/>
    <mergeCell ref="ACC8:ACI8"/>
    <mergeCell ref="ACJ8:ACN8"/>
    <mergeCell ref="ACO8:ACS8"/>
    <mergeCell ref="AEL8:AEP8"/>
    <mergeCell ref="AEQ8:AEU8"/>
    <mergeCell ref="AEV8:AEZ8"/>
    <mergeCell ref="AFA8:AFE8"/>
    <mergeCell ref="ADD8:ADJ8"/>
    <mergeCell ref="ADK8:ADO8"/>
    <mergeCell ref="AII8:AIO8"/>
    <mergeCell ref="AIP8:AIT8"/>
    <mergeCell ref="AIU8:AIY8"/>
    <mergeCell ref="AIZ8:AJD8"/>
    <mergeCell ref="AKW8:ALA8"/>
    <mergeCell ref="ALB8:ALF8"/>
    <mergeCell ref="ALG8:ALK8"/>
    <mergeCell ref="AJJ8:AJP8"/>
    <mergeCell ref="AJQ8:AJU8"/>
    <mergeCell ref="AJV8:AJZ8"/>
    <mergeCell ref="ALS8:ALW8"/>
    <mergeCell ref="ALX8:AMB8"/>
    <mergeCell ref="AMC8:AMG8"/>
    <mergeCell ref="AMH8:AML8"/>
    <mergeCell ref="AKK8:AKQ8"/>
    <mergeCell ref="AKR8:AKV8"/>
    <mergeCell ref="AFF8:AFL8"/>
    <mergeCell ref="AFM8:AFQ8"/>
    <mergeCell ref="AFR8:AFV8"/>
    <mergeCell ref="AFW8:AGA8"/>
    <mergeCell ref="AGB8:AGF8"/>
    <mergeCell ref="AMY8:ANC8"/>
    <mergeCell ref="AND8:ANH8"/>
    <mergeCell ref="ANI8:ANM8"/>
    <mergeCell ref="ALL8:ALR8"/>
    <mergeCell ref="ANU8:ANY8"/>
    <mergeCell ref="ANZ8:AOD8"/>
    <mergeCell ref="AOE8:AOJ8"/>
    <mergeCell ref="AOK8:AOO8"/>
    <mergeCell ref="AMM8:AMS8"/>
    <mergeCell ref="AMT8:AMX8"/>
    <mergeCell ref="AOP8:AOV8"/>
    <mergeCell ref="AOW8:APA8"/>
    <mergeCell ref="APB8:APF8"/>
    <mergeCell ref="APG8:APK8"/>
    <mergeCell ref="APL8:APP8"/>
    <mergeCell ref="ANN8:ANT8"/>
    <mergeCell ref="AKA8:AKE8"/>
    <mergeCell ref="AKF8:AKJ8"/>
    <mergeCell ref="ARN8:ARR8"/>
    <mergeCell ref="APQ8:APW8"/>
    <mergeCell ref="APX8:AQB8"/>
    <mergeCell ref="AQC8:AQG8"/>
    <mergeCell ref="AQH8:AQL8"/>
    <mergeCell ref="AQM8:AQQ8"/>
    <mergeCell ref="ASJ8:ASN8"/>
    <mergeCell ref="ASO8:ASS8"/>
    <mergeCell ref="AQR8:AQX8"/>
    <mergeCell ref="AQY8:ARC8"/>
    <mergeCell ref="ARD8:ARH8"/>
    <mergeCell ref="ARI8:ARM8"/>
    <mergeCell ref="ATF8:ATJ8"/>
    <mergeCell ref="ATK8:ATO8"/>
    <mergeCell ref="ATP8:ATT8"/>
    <mergeCell ref="ARS8:ARY8"/>
    <mergeCell ref="ARZ8:ASD8"/>
    <mergeCell ref="ASE8:ASI8"/>
    <mergeCell ref="AUB8:AUF8"/>
    <mergeCell ref="AUG8:AUK8"/>
    <mergeCell ref="AUL8:AUP8"/>
    <mergeCell ref="AUQ8:AUU8"/>
    <mergeCell ref="AST8:ASZ8"/>
    <mergeCell ref="ATA8:ATE8"/>
    <mergeCell ref="AUV8:AVB8"/>
    <mergeCell ref="AVC8:AVG8"/>
    <mergeCell ref="AVH8:AVL8"/>
    <mergeCell ref="AVM8:AVQ8"/>
    <mergeCell ref="AVR8:AVV8"/>
    <mergeCell ref="ATU8:AUA8"/>
    <mergeCell ref="AXT8:AXX8"/>
    <mergeCell ref="AVW8:AWC8"/>
    <mergeCell ref="AWD8:AWH8"/>
    <mergeCell ref="AWI8:AWM8"/>
    <mergeCell ref="AWN8:AWR8"/>
    <mergeCell ref="AWS8:AWW8"/>
    <mergeCell ref="AYP8:AYT8"/>
    <mergeCell ref="AYU8:AYY8"/>
    <mergeCell ref="AWX8:AXD8"/>
    <mergeCell ref="AXE8:AXI8"/>
    <mergeCell ref="AXJ8:AXN8"/>
    <mergeCell ref="AXO8:AXS8"/>
    <mergeCell ref="AZL8:AZP8"/>
    <mergeCell ref="AZQ8:AZU8"/>
    <mergeCell ref="AZV8:AZZ8"/>
    <mergeCell ref="AXY8:AYE8"/>
    <mergeCell ref="AYF8:AYJ8"/>
    <mergeCell ref="AYK8:AYO8"/>
    <mergeCell ref="BAH8:BAL8"/>
    <mergeCell ref="BAM8:BAQ8"/>
    <mergeCell ref="BAR8:BAV8"/>
    <mergeCell ref="BAW8:BBA8"/>
    <mergeCell ref="AYZ8:AZF8"/>
    <mergeCell ref="AZG8:AZK8"/>
    <mergeCell ref="BBB8:BBH8"/>
    <mergeCell ref="BBI8:BBM8"/>
    <mergeCell ref="BBN8:BBR8"/>
    <mergeCell ref="BBS8:BBW8"/>
    <mergeCell ref="BBX8:BCB8"/>
    <mergeCell ref="BAA8:BAG8"/>
    <mergeCell ref="BDZ8:BED8"/>
    <mergeCell ref="BCC8:BCI8"/>
    <mergeCell ref="BCJ8:BCN8"/>
    <mergeCell ref="BCO8:BCS8"/>
    <mergeCell ref="BCT8:BCX8"/>
    <mergeCell ref="BCY8:BDC8"/>
    <mergeCell ref="BEV8:BEZ8"/>
    <mergeCell ref="BFA8:BFE8"/>
    <mergeCell ref="BDD8:BDJ8"/>
    <mergeCell ref="BDK8:BDO8"/>
    <mergeCell ref="BDP8:BDT8"/>
    <mergeCell ref="BDU8:BDY8"/>
    <mergeCell ref="AB7:AF7"/>
    <mergeCell ref="A7:E7"/>
    <mergeCell ref="BFF8:BFL8"/>
    <mergeCell ref="BFM8:BFQ8"/>
    <mergeCell ref="BFR8:BFV8"/>
    <mergeCell ref="BFW8:BFZ8"/>
    <mergeCell ref="BGB8:BGE8"/>
    <mergeCell ref="BEE8:BEK8"/>
    <mergeCell ref="BEL8:BEP8"/>
    <mergeCell ref="BEQ8:BEU8"/>
    <mergeCell ref="GH7:GL7"/>
    <mergeCell ref="FG7:FK7"/>
    <mergeCell ref="EF7:EJ7"/>
    <mergeCell ref="DE7:DI7"/>
    <mergeCell ref="CD7:CH7"/>
    <mergeCell ref="BC7:BG7"/>
    <mergeCell ref="MN7:MR7"/>
    <mergeCell ref="LM7:LQ7"/>
    <mergeCell ref="KL7:KP7"/>
    <mergeCell ref="JK7:JO7"/>
    <mergeCell ref="IJ7:IN7"/>
    <mergeCell ref="HI7:HM7"/>
    <mergeCell ref="UV7:UZ7"/>
    <mergeCell ref="TU7:TY7"/>
    <mergeCell ref="ST7:SX7"/>
    <mergeCell ref="PQ7:PU7"/>
    <mergeCell ref="OP7:OT7"/>
    <mergeCell ref="NO7:NS7"/>
    <mergeCell ref="YZ7:ZD7"/>
    <mergeCell ref="ZV7:ZZ7"/>
    <mergeCell ref="XY7:YC7"/>
    <mergeCell ref="YU7:YY7"/>
    <mergeCell ref="WX7:XB7"/>
    <mergeCell ref="VW7:WA7"/>
    <mergeCell ref="ADV7:AED7"/>
    <mergeCell ref="ACC7:ACG7"/>
    <mergeCell ref="ABB7:ABF7"/>
    <mergeCell ref="AAA7:AAE7"/>
    <mergeCell ref="AHH7:AHL7"/>
    <mergeCell ref="AGG7:AGK7"/>
    <mergeCell ref="AFF7:AFJ7"/>
    <mergeCell ref="AGA7:AGF7"/>
    <mergeCell ref="AEE7:AEI7"/>
    <mergeCell ref="ADD7:ADH7"/>
    <mergeCell ref="ANN7:ANR7"/>
    <mergeCell ref="AMM7:AMQ7"/>
    <mergeCell ref="ALL7:ALP7"/>
    <mergeCell ref="AJJ7:AJN7"/>
    <mergeCell ref="AII7:AIM7"/>
    <mergeCell ref="AST7:ASX7"/>
    <mergeCell ref="ARS7:ARW7"/>
    <mergeCell ref="AQR7:AQV7"/>
    <mergeCell ref="APQ7:APU7"/>
    <mergeCell ref="AOP7:AOT7"/>
    <mergeCell ref="APG7:APP7"/>
    <mergeCell ref="AYZ7:AZD7"/>
    <mergeCell ref="AXY7:AYC7"/>
    <mergeCell ref="AWX7:AXB7"/>
    <mergeCell ref="AVW7:AWA7"/>
    <mergeCell ref="AUV7:AUZ7"/>
    <mergeCell ref="ATU7:ATY7"/>
    <mergeCell ref="CD2:DD2"/>
    <mergeCell ref="BC2:CC2"/>
    <mergeCell ref="AB2:BB2"/>
    <mergeCell ref="A2:AA2"/>
    <mergeCell ref="BFF7:BFJ7"/>
    <mergeCell ref="BEE7:BEI7"/>
    <mergeCell ref="BDD7:BDH7"/>
    <mergeCell ref="BCC7:BCG7"/>
    <mergeCell ref="BBB7:BBF7"/>
    <mergeCell ref="BAA7:BAE7"/>
    <mergeCell ref="IJ2:JJ2"/>
    <mergeCell ref="HI2:II2"/>
    <mergeCell ref="GH2:HH2"/>
    <mergeCell ref="FG2:GG2"/>
    <mergeCell ref="EF2:FF2"/>
    <mergeCell ref="DE2:EE2"/>
    <mergeCell ref="OP2:PP2"/>
    <mergeCell ref="NO2:OO2"/>
    <mergeCell ref="MN2:NN2"/>
    <mergeCell ref="LM2:MM2"/>
    <mergeCell ref="JK2:KK2"/>
    <mergeCell ref="UV2:VV2"/>
    <mergeCell ref="TU2:UU2"/>
    <mergeCell ref="ST2:TT2"/>
    <mergeCell ref="RS2:SS2"/>
    <mergeCell ref="QR2:RR2"/>
    <mergeCell ref="PQ2:QQ2"/>
    <mergeCell ref="ABB2:ACB2"/>
    <mergeCell ref="AAA2:ABA2"/>
    <mergeCell ref="YZ2:ZZ2"/>
    <mergeCell ref="XY2:YY2"/>
    <mergeCell ref="WX2:XX2"/>
    <mergeCell ref="VW2:WW2"/>
    <mergeCell ref="AHH2:AIH2"/>
    <mergeCell ref="AGG2:AHG2"/>
    <mergeCell ref="AFF2:AGF2"/>
    <mergeCell ref="AEE2:AFE2"/>
    <mergeCell ref="ADD2:AED2"/>
    <mergeCell ref="ACC2:ADC2"/>
    <mergeCell ref="ALL2:AML2"/>
    <mergeCell ref="AKK2:ALK2"/>
    <mergeCell ref="AJJ2:AKJ2"/>
    <mergeCell ref="AII2:AJI2"/>
    <mergeCell ref="ATU2:AUU2"/>
    <mergeCell ref="AST2:ATT2"/>
    <mergeCell ref="ARS2:ASS2"/>
    <mergeCell ref="AQR2:ARR2"/>
    <mergeCell ref="APQ2:AQQ2"/>
    <mergeCell ref="AOP2:APP2"/>
    <mergeCell ref="BAA2:BBA2"/>
    <mergeCell ref="AYZ2:AZZ2"/>
    <mergeCell ref="AXY2:AYY2"/>
    <mergeCell ref="AWX2:AXX2"/>
    <mergeCell ref="AVW2:AWW2"/>
    <mergeCell ref="AUV2:AVV2"/>
    <mergeCell ref="KL2:LL2"/>
    <mergeCell ref="AYV1:AYY1"/>
    <mergeCell ref="AXT1:AXX1"/>
    <mergeCell ref="KG1:KK1"/>
    <mergeCell ref="JF1:JJ1"/>
    <mergeCell ref="CZ1:DD1"/>
    <mergeCell ref="AX1:BB1"/>
    <mergeCell ref="W1:AA1"/>
    <mergeCell ref="BFF2:BGF2"/>
    <mergeCell ref="BEE2:BFE2"/>
    <mergeCell ref="BDD2:BED2"/>
    <mergeCell ref="BCC2:BDC2"/>
    <mergeCell ref="BBB2:BCB2"/>
    <mergeCell ref="YQ1:YY1"/>
    <mergeCell ref="WS1:WW1"/>
    <mergeCell ref="NJ1:NN1"/>
    <mergeCell ref="MI1:MM1"/>
    <mergeCell ref="LH1:LL1"/>
    <mergeCell ref="AHC1:AHG1"/>
    <mergeCell ref="AGA1:AGF1"/>
    <mergeCell ref="ADV1:AED1"/>
    <mergeCell ref="ZR1:ZZ1"/>
    <mergeCell ref="AWT1:AWW1"/>
    <mergeCell ref="AVS1:AVV1"/>
    <mergeCell ref="AUQ1:AUU1"/>
    <mergeCell ref="ARN1:ARR1"/>
    <mergeCell ref="APG1:APP1"/>
    <mergeCell ref="BGA1:BGF1"/>
    <mergeCell ref="BBX1:BCB1"/>
    <mergeCell ref="BAW1:BBA1"/>
    <mergeCell ref="AZW1:AZZ1"/>
    <mergeCell ref="ANN2:AOO2"/>
    <mergeCell ref="AMM2:ANM2"/>
  </mergeCells>
  <phoneticPr fontId="2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  <colBreaks count="56" manualBreakCount="56">
    <brk id="27" max="29" man="1"/>
    <brk id="54" max="29" man="1"/>
    <brk id="81" max="29" man="1"/>
    <brk id="108" max="29" man="1"/>
    <brk id="135" max="29" man="1"/>
    <brk id="162" max="29" man="1"/>
    <brk id="189" max="29" man="1"/>
    <brk id="216" max="29" man="1"/>
    <brk id="243" max="29" man="1"/>
    <brk id="270" max="29" man="1"/>
    <brk id="297" max="29" man="1"/>
    <brk id="324" max="29" man="1"/>
    <brk id="351" max="29" man="1"/>
    <brk id="378" max="29" man="1"/>
    <brk id="405" max="29" man="1"/>
    <brk id="432" max="29" man="1"/>
    <brk id="459" max="29" man="1"/>
    <brk id="486" max="29" man="1"/>
    <brk id="513" max="29" man="1"/>
    <brk id="540" max="29" man="1"/>
    <brk id="567" max="29" man="1"/>
    <brk id="594" max="29" man="1"/>
    <brk id="621" max="29" man="1"/>
    <brk id="648" max="29" man="1"/>
    <brk id="675" max="29" man="1"/>
    <brk id="702" max="29" man="1"/>
    <brk id="729" max="29" man="1"/>
    <brk id="756" max="29" man="1"/>
    <brk id="783" max="29" man="1"/>
    <brk id="810" max="29" man="1"/>
    <brk id="837" max="29" man="1"/>
    <brk id="864" max="29" man="1"/>
    <brk id="891" max="29" man="1"/>
    <brk id="918" max="29" man="1"/>
    <brk id="945" max="29" man="1"/>
    <brk id="972" max="29" man="1"/>
    <brk id="999" max="29" man="1"/>
    <brk id="1026" max="29" man="1"/>
    <brk id="1053" max="29" man="1"/>
    <brk id="1081" max="29" man="1"/>
    <brk id="1108" max="29" man="1"/>
    <brk id="1135" max="29" man="1"/>
    <brk id="1162" max="29" man="1"/>
    <brk id="1189" max="29" man="1"/>
    <brk id="1216" max="29" man="1"/>
    <brk id="1243" max="29" man="1"/>
    <brk id="1270" max="29" man="1"/>
    <brk id="1297" max="29" man="1"/>
    <brk id="1324" max="29" man="1"/>
    <brk id="1351" max="29" man="1"/>
    <brk id="1378" max="29" man="1"/>
    <brk id="1405" max="29" man="1"/>
    <brk id="1432" max="29" man="1"/>
    <brk id="1459" max="29" man="1"/>
    <brk id="1486" max="29" man="1"/>
    <brk id="151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C719-3207-4B8A-94BA-101445659115}">
  <sheetPr codeName="Sheet4"/>
  <dimension ref="A1:AKZ49"/>
  <sheetViews>
    <sheetView view="pageBreakPreview" zoomScale="40" zoomScaleNormal="25" zoomScaleSheetLayoutView="40" workbookViewId="0">
      <selection activeCell="P20" sqref="P20"/>
    </sheetView>
  </sheetViews>
  <sheetFormatPr defaultColWidth="8" defaultRowHeight="21" x14ac:dyDescent="0.4"/>
  <cols>
    <col min="1" max="1" width="6.625" style="2" bestFit="1" customWidth="1"/>
    <col min="2" max="2" width="3.625" style="2" customWidth="1"/>
    <col min="3" max="5" width="14.625" style="2" customWidth="1"/>
    <col min="6" max="6" width="7.125" style="2" customWidth="1"/>
    <col min="7" max="7" width="11.625" style="2" customWidth="1"/>
    <col min="8" max="8" width="2.125" style="2" customWidth="1"/>
    <col min="9" max="9" width="5.125" style="2" customWidth="1"/>
    <col min="10" max="10" width="11.625" style="2" customWidth="1"/>
    <col min="11" max="11" width="29.625" style="2" customWidth="1"/>
    <col min="12" max="12" width="11.625" style="2" customWidth="1"/>
    <col min="13" max="13" width="2.125" style="2" customWidth="1"/>
    <col min="14" max="14" width="5.125" style="2" customWidth="1"/>
    <col min="15" max="15" width="11.625" style="2" customWidth="1"/>
    <col min="16" max="16" width="29.625" style="2" customWidth="1"/>
    <col min="17" max="17" width="11.625" style="2" customWidth="1"/>
    <col min="18" max="18" width="2.125" style="2" customWidth="1"/>
    <col min="19" max="19" width="5.125" style="2" customWidth="1"/>
    <col min="20" max="20" width="11.625" style="2" customWidth="1"/>
    <col min="21" max="21" width="29.625" style="2" customWidth="1"/>
    <col min="22" max="22" width="11.625" style="2" customWidth="1"/>
    <col min="23" max="23" width="2.125" style="2" customWidth="1"/>
    <col min="24" max="24" width="5.125" style="2" customWidth="1"/>
    <col min="25" max="25" width="11.625" style="2" customWidth="1"/>
    <col min="26" max="26" width="29.625" style="2" customWidth="1"/>
    <col min="27" max="27" width="6.625" style="2" bestFit="1" customWidth="1"/>
    <col min="28" max="28" width="3.625" style="2" customWidth="1"/>
    <col min="29" max="31" width="14.625" style="2" customWidth="1"/>
    <col min="32" max="32" width="7.125" style="2" customWidth="1"/>
    <col min="33" max="33" width="11.625" style="2" customWidth="1"/>
    <col min="34" max="34" width="2.125" style="2" customWidth="1"/>
    <col min="35" max="35" width="5.125" style="2" customWidth="1"/>
    <col min="36" max="36" width="11.625" style="2" customWidth="1"/>
    <col min="37" max="37" width="29.625" style="2" customWidth="1"/>
    <col min="38" max="38" width="11.625" style="2" customWidth="1"/>
    <col min="39" max="39" width="2.125" style="2" customWidth="1"/>
    <col min="40" max="40" width="5.125" style="2" customWidth="1"/>
    <col min="41" max="41" width="11.625" style="2" customWidth="1"/>
    <col min="42" max="42" width="29.625" style="2" customWidth="1"/>
    <col min="43" max="43" width="11.625" style="2" customWidth="1"/>
    <col min="44" max="44" width="2.125" style="2" customWidth="1"/>
    <col min="45" max="45" width="5.125" style="2" customWidth="1"/>
    <col min="46" max="46" width="11.625" style="2" customWidth="1"/>
    <col min="47" max="47" width="29.625" style="2" customWidth="1"/>
    <col min="48" max="48" width="11.625" style="2" customWidth="1"/>
    <col min="49" max="49" width="2.125" style="2" customWidth="1"/>
    <col min="50" max="50" width="5.125" style="2" customWidth="1"/>
    <col min="51" max="51" width="11.625" style="2" customWidth="1"/>
    <col min="52" max="52" width="29.625" style="2" customWidth="1"/>
    <col min="53" max="53" width="6.625" style="2" bestFit="1" customWidth="1"/>
    <col min="54" max="54" width="3.625" style="2" customWidth="1"/>
    <col min="55" max="57" width="14.625" style="2" customWidth="1"/>
    <col min="58" max="58" width="7.125" style="2" customWidth="1"/>
    <col min="59" max="59" width="11.625" style="2" customWidth="1"/>
    <col min="60" max="60" width="2.125" style="2" customWidth="1"/>
    <col min="61" max="61" width="5.125" style="2" customWidth="1"/>
    <col min="62" max="62" width="11.625" style="2" customWidth="1"/>
    <col min="63" max="63" width="29.625" style="2" customWidth="1"/>
    <col min="64" max="64" width="11.625" style="2" customWidth="1"/>
    <col min="65" max="65" width="2.125" style="2" customWidth="1"/>
    <col min="66" max="66" width="5.125" style="2" customWidth="1"/>
    <col min="67" max="67" width="11.625" style="2" customWidth="1"/>
    <col min="68" max="68" width="29.625" style="2" customWidth="1"/>
    <col min="69" max="69" width="11.625" style="2" customWidth="1"/>
    <col min="70" max="70" width="2.125" style="2" customWidth="1"/>
    <col min="71" max="71" width="5.125" style="2" customWidth="1"/>
    <col min="72" max="72" width="11.625" style="2" customWidth="1"/>
    <col min="73" max="73" width="29.625" style="2" customWidth="1"/>
    <col min="74" max="74" width="11.625" style="2" customWidth="1"/>
    <col min="75" max="75" width="2.125" style="2" customWidth="1"/>
    <col min="76" max="76" width="5.125" style="2" customWidth="1"/>
    <col min="77" max="77" width="11.625" style="2" customWidth="1"/>
    <col min="78" max="78" width="29.625" style="2" customWidth="1"/>
    <col min="79" max="79" width="6.625" style="2" bestFit="1" customWidth="1"/>
    <col min="80" max="80" width="3.625" style="2" customWidth="1"/>
    <col min="81" max="83" width="14.625" style="2" customWidth="1"/>
    <col min="84" max="84" width="7.125" style="2" customWidth="1"/>
    <col min="85" max="85" width="11.625" style="2" customWidth="1"/>
    <col min="86" max="86" width="2.125" style="2" customWidth="1"/>
    <col min="87" max="87" width="5.125" style="2" customWidth="1"/>
    <col min="88" max="88" width="11.625" style="2" customWidth="1"/>
    <col min="89" max="89" width="29.625" style="2" customWidth="1"/>
    <col min="90" max="90" width="11.625" style="2" customWidth="1"/>
    <col min="91" max="91" width="2.125" style="2" customWidth="1"/>
    <col min="92" max="92" width="5.125" style="2" customWidth="1"/>
    <col min="93" max="93" width="11.625" style="2" customWidth="1"/>
    <col min="94" max="94" width="29.625" style="2" customWidth="1"/>
    <col min="95" max="95" width="11.625" style="2" customWidth="1"/>
    <col min="96" max="96" width="2.125" style="2" customWidth="1"/>
    <col min="97" max="97" width="5.125" style="2" customWidth="1"/>
    <col min="98" max="98" width="11.625" style="2" customWidth="1"/>
    <col min="99" max="99" width="29.625" style="2" customWidth="1"/>
    <col min="100" max="100" width="11.625" style="2" customWidth="1"/>
    <col min="101" max="101" width="2.125" style="2" customWidth="1"/>
    <col min="102" max="102" width="5.125" style="2" customWidth="1"/>
    <col min="103" max="103" width="11.625" style="2" customWidth="1"/>
    <col min="104" max="104" width="29.625" style="2" customWidth="1"/>
    <col min="105" max="105" width="6.625" style="2" bestFit="1" customWidth="1"/>
    <col min="106" max="106" width="3.625" style="2" customWidth="1"/>
    <col min="107" max="109" width="14.625" style="2" customWidth="1"/>
    <col min="110" max="110" width="7.125" style="2" customWidth="1"/>
    <col min="111" max="111" width="11.625" style="2" customWidth="1"/>
    <col min="112" max="112" width="2.125" style="2" customWidth="1"/>
    <col min="113" max="113" width="5.125" style="2" customWidth="1"/>
    <col min="114" max="114" width="11.625" style="2" customWidth="1"/>
    <col min="115" max="115" width="29.625" style="2" customWidth="1"/>
    <col min="116" max="116" width="11.625" style="2" customWidth="1"/>
    <col min="117" max="117" width="2.125" style="2" customWidth="1"/>
    <col min="118" max="118" width="5.125" style="2" customWidth="1"/>
    <col min="119" max="119" width="11.625" style="2" customWidth="1"/>
    <col min="120" max="120" width="29.625" style="2" customWidth="1"/>
    <col min="121" max="121" width="11.625" style="2" customWidth="1"/>
    <col min="122" max="122" width="2.125" style="2" customWidth="1"/>
    <col min="123" max="123" width="5.125" style="2" customWidth="1"/>
    <col min="124" max="124" width="11.625" style="2" customWidth="1"/>
    <col min="125" max="125" width="29.625" style="2" customWidth="1"/>
    <col min="126" max="126" width="11.625" style="2" customWidth="1"/>
    <col min="127" max="127" width="2.125" style="2" customWidth="1"/>
    <col min="128" max="128" width="5.125" style="2" customWidth="1"/>
    <col min="129" max="129" width="11.625" style="2" customWidth="1"/>
    <col min="130" max="130" width="29.625" style="2" customWidth="1"/>
    <col min="131" max="131" width="6.625" style="2" bestFit="1" customWidth="1"/>
    <col min="132" max="132" width="3.625" style="2" customWidth="1"/>
    <col min="133" max="135" width="14.625" style="2" customWidth="1"/>
    <col min="136" max="136" width="7.125" style="2" customWidth="1"/>
    <col min="137" max="137" width="11.625" style="2" customWidth="1"/>
    <col min="138" max="138" width="2.125" style="2" customWidth="1"/>
    <col min="139" max="139" width="5.125" style="2" customWidth="1"/>
    <col min="140" max="140" width="11.625" style="2" customWidth="1"/>
    <col min="141" max="141" width="29.625" style="2" customWidth="1"/>
    <col min="142" max="142" width="11.625" style="2" customWidth="1"/>
    <col min="143" max="143" width="2.125" style="2" customWidth="1"/>
    <col min="144" max="144" width="5.125" style="2" customWidth="1"/>
    <col min="145" max="145" width="11.625" style="2" customWidth="1"/>
    <col min="146" max="146" width="29.625" style="2" customWidth="1"/>
    <col min="147" max="147" width="11.625" style="2" customWidth="1"/>
    <col min="148" max="148" width="2.125" style="2" customWidth="1"/>
    <col min="149" max="149" width="5.125" style="2" customWidth="1"/>
    <col min="150" max="150" width="11.625" style="2" customWidth="1"/>
    <col min="151" max="151" width="29.625" style="2" customWidth="1"/>
    <col min="152" max="152" width="11.625" style="2" customWidth="1"/>
    <col min="153" max="153" width="2.125" style="2" customWidth="1"/>
    <col min="154" max="154" width="5.125" style="2" customWidth="1"/>
    <col min="155" max="155" width="11.625" style="2" customWidth="1"/>
    <col min="156" max="156" width="29.625" style="2" customWidth="1"/>
    <col min="157" max="157" width="6.625" style="2" bestFit="1" customWidth="1"/>
    <col min="158" max="158" width="3.625" style="2" customWidth="1"/>
    <col min="159" max="161" width="14.625" style="2" customWidth="1"/>
    <col min="162" max="162" width="7.125" style="2" customWidth="1"/>
    <col min="163" max="163" width="11.625" style="2" customWidth="1"/>
    <col min="164" max="164" width="2.125" style="2" customWidth="1"/>
    <col min="165" max="165" width="5.125" style="2" customWidth="1"/>
    <col min="166" max="166" width="11.625" style="2" customWidth="1"/>
    <col min="167" max="167" width="29.625" style="2" customWidth="1"/>
    <col min="168" max="168" width="11.625" style="2" customWidth="1"/>
    <col min="169" max="169" width="2.125" style="2" customWidth="1"/>
    <col min="170" max="170" width="5.125" style="2" customWidth="1"/>
    <col min="171" max="171" width="11.625" style="2" customWidth="1"/>
    <col min="172" max="172" width="29.625" style="2" customWidth="1"/>
    <col min="173" max="173" width="11.625" style="2" customWidth="1"/>
    <col min="174" max="174" width="2.125" style="2" customWidth="1"/>
    <col min="175" max="175" width="5.125" style="2" customWidth="1"/>
    <col min="176" max="176" width="11.625" style="2" customWidth="1"/>
    <col min="177" max="177" width="29.625" style="2" customWidth="1"/>
    <col min="178" max="178" width="11.625" style="2" customWidth="1"/>
    <col min="179" max="179" width="2.125" style="2" customWidth="1"/>
    <col min="180" max="180" width="5.125" style="2" customWidth="1"/>
    <col min="181" max="181" width="11.625" style="2" customWidth="1"/>
    <col min="182" max="182" width="29.625" style="2" customWidth="1"/>
    <col min="183" max="183" width="6.625" style="2" bestFit="1" customWidth="1"/>
    <col min="184" max="184" width="3.625" style="2" customWidth="1"/>
    <col min="185" max="187" width="14.625" style="2" customWidth="1"/>
    <col min="188" max="188" width="7.125" style="2" customWidth="1"/>
    <col min="189" max="189" width="11.625" style="2" customWidth="1"/>
    <col min="190" max="190" width="2.125" style="2" customWidth="1"/>
    <col min="191" max="191" width="5.125" style="2" customWidth="1"/>
    <col min="192" max="192" width="11.625" style="2" customWidth="1"/>
    <col min="193" max="193" width="29.625" style="2" customWidth="1"/>
    <col min="194" max="194" width="11.625" style="2" customWidth="1"/>
    <col min="195" max="195" width="2.125" style="2" customWidth="1"/>
    <col min="196" max="196" width="5.125" style="2" customWidth="1"/>
    <col min="197" max="197" width="11.625" style="2" customWidth="1"/>
    <col min="198" max="198" width="29.625" style="2" customWidth="1"/>
    <col min="199" max="199" width="11.625" style="2" customWidth="1"/>
    <col min="200" max="200" width="2.125" style="2" customWidth="1"/>
    <col min="201" max="201" width="5.125" style="2" customWidth="1"/>
    <col min="202" max="202" width="11.625" style="2" customWidth="1"/>
    <col min="203" max="203" width="29.625" style="2" customWidth="1"/>
    <col min="204" max="204" width="11.625" style="2" customWidth="1"/>
    <col min="205" max="205" width="2.125" style="2" customWidth="1"/>
    <col min="206" max="206" width="5.125" style="2" customWidth="1"/>
    <col min="207" max="207" width="11.625" style="2" customWidth="1"/>
    <col min="208" max="208" width="29.625" style="2" customWidth="1"/>
    <col min="209" max="209" width="6.625" style="2" bestFit="1" customWidth="1"/>
    <col min="210" max="210" width="3.625" style="2" customWidth="1"/>
    <col min="211" max="213" width="14.625" style="2" customWidth="1"/>
    <col min="214" max="214" width="7.125" style="2" customWidth="1"/>
    <col min="215" max="215" width="11.625" style="2" customWidth="1"/>
    <col min="216" max="216" width="2.125" style="2" customWidth="1"/>
    <col min="217" max="217" width="5.125" style="2" customWidth="1"/>
    <col min="218" max="218" width="11.625" style="2" customWidth="1"/>
    <col min="219" max="219" width="29.625" style="2" customWidth="1"/>
    <col min="220" max="220" width="11.625" style="2" customWidth="1"/>
    <col min="221" max="221" width="2.125" style="2" customWidth="1"/>
    <col min="222" max="222" width="5.125" style="2" customWidth="1"/>
    <col min="223" max="223" width="11.625" style="2" customWidth="1"/>
    <col min="224" max="224" width="29.625" style="2" customWidth="1"/>
    <col min="225" max="225" width="11.625" style="2" customWidth="1"/>
    <col min="226" max="226" width="2.125" style="2" customWidth="1"/>
    <col min="227" max="227" width="5.125" style="2" customWidth="1"/>
    <col min="228" max="228" width="11.625" style="2" customWidth="1"/>
    <col min="229" max="229" width="29.625" style="2" customWidth="1"/>
    <col min="230" max="230" width="11.625" style="2" customWidth="1"/>
    <col min="231" max="231" width="2.125" style="2" customWidth="1"/>
    <col min="232" max="232" width="5.125" style="2" customWidth="1"/>
    <col min="233" max="233" width="11.625" style="2" customWidth="1"/>
    <col min="234" max="234" width="29.625" style="2" customWidth="1"/>
    <col min="235" max="235" width="6.625" style="2" bestFit="1" customWidth="1"/>
    <col min="236" max="236" width="3.625" style="2" customWidth="1"/>
    <col min="237" max="239" width="14.625" style="2" customWidth="1"/>
    <col min="240" max="240" width="7.125" style="2" customWidth="1"/>
    <col min="241" max="241" width="11.625" style="2" customWidth="1"/>
    <col min="242" max="242" width="2.125" style="2" customWidth="1"/>
    <col min="243" max="243" width="5.125" style="2" customWidth="1"/>
    <col min="244" max="244" width="11.625" style="2" customWidth="1"/>
    <col min="245" max="245" width="29.625" style="2" customWidth="1"/>
    <col min="246" max="246" width="11.625" style="2" customWidth="1"/>
    <col min="247" max="247" width="2.125" style="2" customWidth="1"/>
    <col min="248" max="248" width="5.125" style="2" customWidth="1"/>
    <col min="249" max="249" width="11.625" style="2" customWidth="1"/>
    <col min="250" max="250" width="29.625" style="2" customWidth="1"/>
    <col min="251" max="251" width="11.625" style="2" customWidth="1"/>
    <col min="252" max="252" width="2.125" style="2" customWidth="1"/>
    <col min="253" max="253" width="5.125" style="2" customWidth="1"/>
    <col min="254" max="254" width="11.625" style="2" customWidth="1"/>
    <col min="255" max="255" width="29.625" style="2" customWidth="1"/>
    <col min="256" max="256" width="11.625" style="2" customWidth="1"/>
    <col min="257" max="257" width="2.125" style="2" customWidth="1"/>
    <col min="258" max="258" width="5.125" style="2" customWidth="1"/>
    <col min="259" max="259" width="11.625" style="2" customWidth="1"/>
    <col min="260" max="260" width="29.625" style="2" customWidth="1"/>
    <col min="261" max="261" width="6.625" style="2" bestFit="1" customWidth="1"/>
    <col min="262" max="262" width="3.625" style="2" customWidth="1"/>
    <col min="263" max="265" width="14.625" style="2" customWidth="1"/>
    <col min="266" max="266" width="7.125" style="2" customWidth="1"/>
    <col min="267" max="267" width="11.625" style="2" customWidth="1"/>
    <col min="268" max="268" width="2.125" style="2" customWidth="1"/>
    <col min="269" max="269" width="5.125" style="2" customWidth="1"/>
    <col min="270" max="270" width="11.625" style="2" customWidth="1"/>
    <col min="271" max="271" width="29.625" style="2" customWidth="1"/>
    <col min="272" max="272" width="11.625" style="2" customWidth="1"/>
    <col min="273" max="273" width="2.125" style="2" customWidth="1"/>
    <col min="274" max="274" width="5.125" style="2" customWidth="1"/>
    <col min="275" max="275" width="11.625" style="2" customWidth="1"/>
    <col min="276" max="276" width="29.625" style="2" customWidth="1"/>
    <col min="277" max="277" width="11.625" style="2" customWidth="1"/>
    <col min="278" max="278" width="2.125" style="2" customWidth="1"/>
    <col min="279" max="279" width="5.125" style="2" customWidth="1"/>
    <col min="280" max="280" width="11.625" style="2" customWidth="1"/>
    <col min="281" max="281" width="29.625" style="2" customWidth="1"/>
    <col min="282" max="282" width="11.625" style="2" customWidth="1"/>
    <col min="283" max="283" width="2.125" style="2" customWidth="1"/>
    <col min="284" max="284" width="5.125" style="2" customWidth="1"/>
    <col min="285" max="285" width="11.625" style="2" customWidth="1"/>
    <col min="286" max="286" width="29.625" style="2" customWidth="1"/>
    <col min="287" max="287" width="6.625" style="2" bestFit="1" customWidth="1"/>
    <col min="288" max="288" width="3.625" style="2" customWidth="1"/>
    <col min="289" max="291" width="14.625" style="2" customWidth="1"/>
    <col min="292" max="292" width="7.125" style="2" customWidth="1"/>
    <col min="293" max="293" width="11.625" style="2" customWidth="1"/>
    <col min="294" max="294" width="2.125" style="2" customWidth="1"/>
    <col min="295" max="295" width="5.125" style="2" customWidth="1"/>
    <col min="296" max="296" width="11.625" style="2" customWidth="1"/>
    <col min="297" max="297" width="29.625" style="2" customWidth="1"/>
    <col min="298" max="298" width="11.625" style="2" customWidth="1"/>
    <col min="299" max="299" width="2.125" style="2" customWidth="1"/>
    <col min="300" max="300" width="5.125" style="2" customWidth="1"/>
    <col min="301" max="301" width="11.625" style="2" customWidth="1"/>
    <col min="302" max="302" width="29.625" style="2" customWidth="1"/>
    <col min="303" max="303" width="11.625" style="2" customWidth="1"/>
    <col min="304" max="304" width="2.125" style="2" customWidth="1"/>
    <col min="305" max="305" width="5.125" style="2" customWidth="1"/>
    <col min="306" max="306" width="11.625" style="2" customWidth="1"/>
    <col min="307" max="307" width="29.625" style="2" customWidth="1"/>
    <col min="308" max="308" width="11.625" style="2" customWidth="1"/>
    <col min="309" max="309" width="2.125" style="2" customWidth="1"/>
    <col min="310" max="310" width="5.125" style="2" customWidth="1"/>
    <col min="311" max="311" width="11.625" style="2" customWidth="1"/>
    <col min="312" max="312" width="29.625" style="2" customWidth="1"/>
    <col min="313" max="313" width="6.625" style="2" bestFit="1" customWidth="1"/>
    <col min="314" max="314" width="3.625" style="2" customWidth="1"/>
    <col min="315" max="317" width="14.625" style="2" customWidth="1"/>
    <col min="318" max="318" width="7.125" style="2" customWidth="1"/>
    <col min="319" max="319" width="11.625" style="2" customWidth="1"/>
    <col min="320" max="320" width="2.125" style="2" customWidth="1"/>
    <col min="321" max="321" width="5.125" style="2" customWidth="1"/>
    <col min="322" max="322" width="11.625" style="2" customWidth="1"/>
    <col min="323" max="323" width="29.625" style="2" customWidth="1"/>
    <col min="324" max="324" width="11.625" style="2" customWidth="1"/>
    <col min="325" max="325" width="2.125" style="2" customWidth="1"/>
    <col min="326" max="326" width="5.125" style="2" customWidth="1"/>
    <col min="327" max="327" width="11.625" style="2" customWidth="1"/>
    <col min="328" max="328" width="29.625" style="2" customWidth="1"/>
    <col min="329" max="329" width="11.625" style="2" customWidth="1"/>
    <col min="330" max="330" width="2.125" style="2" customWidth="1"/>
    <col min="331" max="331" width="5.125" style="2" customWidth="1"/>
    <col min="332" max="332" width="11.625" style="2" customWidth="1"/>
    <col min="333" max="333" width="29.625" style="2" customWidth="1"/>
    <col min="334" max="334" width="11.625" style="2" customWidth="1"/>
    <col min="335" max="335" width="2.125" style="2" customWidth="1"/>
    <col min="336" max="336" width="5.125" style="2" customWidth="1"/>
    <col min="337" max="337" width="11.625" style="2" customWidth="1"/>
    <col min="338" max="338" width="29.625" style="2" customWidth="1"/>
    <col min="339" max="339" width="6.625" style="2" bestFit="1" customWidth="1"/>
    <col min="340" max="340" width="3.625" style="2" customWidth="1"/>
    <col min="341" max="343" width="14.625" style="2" customWidth="1"/>
    <col min="344" max="344" width="7.125" style="2" customWidth="1"/>
    <col min="345" max="345" width="11.625" style="2" customWidth="1"/>
    <col min="346" max="346" width="2.125" style="2" customWidth="1"/>
    <col min="347" max="347" width="5.125" style="2" customWidth="1"/>
    <col min="348" max="348" width="11.625" style="2" customWidth="1"/>
    <col min="349" max="349" width="29.625" style="2" customWidth="1"/>
    <col min="350" max="350" width="11.625" style="2" customWidth="1"/>
    <col min="351" max="351" width="2.125" style="2" customWidth="1"/>
    <col min="352" max="352" width="5.125" style="2" customWidth="1"/>
    <col min="353" max="353" width="11.625" style="2" customWidth="1"/>
    <col min="354" max="354" width="29.625" style="2" customWidth="1"/>
    <col min="355" max="355" width="11.625" style="2" customWidth="1"/>
    <col min="356" max="356" width="2.125" style="2" customWidth="1"/>
    <col min="357" max="357" width="5.125" style="2" customWidth="1"/>
    <col min="358" max="358" width="11.625" style="2" customWidth="1"/>
    <col min="359" max="359" width="29.625" style="2" customWidth="1"/>
    <col min="360" max="360" width="11.625" style="2" customWidth="1"/>
    <col min="361" max="361" width="2.125" style="2" customWidth="1"/>
    <col min="362" max="362" width="5.125" style="2" customWidth="1"/>
    <col min="363" max="363" width="11.625" style="2" customWidth="1"/>
    <col min="364" max="364" width="29.625" style="2" customWidth="1"/>
    <col min="365" max="365" width="6.625" style="2" bestFit="1" customWidth="1"/>
    <col min="366" max="366" width="3.625" style="2" customWidth="1"/>
    <col min="367" max="369" width="14.625" style="2" customWidth="1"/>
    <col min="370" max="370" width="7.125" style="2" customWidth="1"/>
    <col min="371" max="371" width="11.625" style="2" customWidth="1"/>
    <col min="372" max="372" width="2.125" style="2" customWidth="1"/>
    <col min="373" max="373" width="5.125" style="2" customWidth="1"/>
    <col min="374" max="374" width="11.625" style="2" customWidth="1"/>
    <col min="375" max="375" width="29.625" style="2" customWidth="1"/>
    <col min="376" max="376" width="11.625" style="2" customWidth="1"/>
    <col min="377" max="377" width="2.125" style="2" customWidth="1"/>
    <col min="378" max="378" width="5.125" style="2" customWidth="1"/>
    <col min="379" max="379" width="11.625" style="2" customWidth="1"/>
    <col min="380" max="380" width="29.625" style="2" customWidth="1"/>
    <col min="381" max="381" width="11.625" style="2" customWidth="1"/>
    <col min="382" max="382" width="2.125" style="2" customWidth="1"/>
    <col min="383" max="383" width="5.125" style="2" customWidth="1"/>
    <col min="384" max="384" width="11.625" style="2" customWidth="1"/>
    <col min="385" max="385" width="29.625" style="2" customWidth="1"/>
    <col min="386" max="386" width="11.625" style="2" customWidth="1"/>
    <col min="387" max="387" width="2.125" style="2" customWidth="1"/>
    <col min="388" max="388" width="5.125" style="2" customWidth="1"/>
    <col min="389" max="389" width="11.625" style="2" customWidth="1"/>
    <col min="390" max="390" width="29.625" style="2" customWidth="1"/>
    <col min="391" max="391" width="6.625" style="2" bestFit="1" customWidth="1"/>
    <col min="392" max="392" width="3.625" style="2" customWidth="1"/>
    <col min="393" max="395" width="14.625" style="2" customWidth="1"/>
    <col min="396" max="396" width="7.125" style="2" customWidth="1"/>
    <col min="397" max="397" width="11.625" style="2" customWidth="1"/>
    <col min="398" max="398" width="2.125" style="2" customWidth="1"/>
    <col min="399" max="399" width="5.125" style="2" customWidth="1"/>
    <col min="400" max="400" width="11.625" style="2" customWidth="1"/>
    <col min="401" max="401" width="29.625" style="2" customWidth="1"/>
    <col min="402" max="402" width="11.625" style="2" customWidth="1"/>
    <col min="403" max="403" width="2.125" style="2" customWidth="1"/>
    <col min="404" max="404" width="5.125" style="2" customWidth="1"/>
    <col min="405" max="405" width="11.625" style="2" customWidth="1"/>
    <col min="406" max="406" width="29.625" style="2" customWidth="1"/>
    <col min="407" max="407" width="11.625" style="2" customWidth="1"/>
    <col min="408" max="408" width="2.125" style="2" customWidth="1"/>
    <col min="409" max="409" width="5.125" style="2" customWidth="1"/>
    <col min="410" max="410" width="11.625" style="2" customWidth="1"/>
    <col min="411" max="411" width="29.625" style="2" customWidth="1"/>
    <col min="412" max="412" width="11.625" style="2" customWidth="1"/>
    <col min="413" max="413" width="2.125" style="2" customWidth="1"/>
    <col min="414" max="414" width="5.125" style="2" customWidth="1"/>
    <col min="415" max="415" width="11.625" style="2" customWidth="1"/>
    <col min="416" max="416" width="29.625" style="2" customWidth="1"/>
    <col min="417" max="417" width="6.625" style="2" bestFit="1" customWidth="1"/>
    <col min="418" max="418" width="3.625" style="2" customWidth="1"/>
    <col min="419" max="421" width="14.625" style="2" customWidth="1"/>
    <col min="422" max="422" width="7.125" style="2" customWidth="1"/>
    <col min="423" max="423" width="11.625" style="2" customWidth="1"/>
    <col min="424" max="424" width="2.125" style="2" customWidth="1"/>
    <col min="425" max="425" width="5.125" style="2" customWidth="1"/>
    <col min="426" max="426" width="11.625" style="2" customWidth="1"/>
    <col min="427" max="427" width="29.625" style="2" customWidth="1"/>
    <col min="428" max="428" width="11.625" style="2" customWidth="1"/>
    <col min="429" max="429" width="2.125" style="2" customWidth="1"/>
    <col min="430" max="430" width="5.125" style="2" customWidth="1"/>
    <col min="431" max="431" width="11.625" style="2" customWidth="1"/>
    <col min="432" max="432" width="29.625" style="2" customWidth="1"/>
    <col min="433" max="433" width="11.625" style="2" customWidth="1"/>
    <col min="434" max="434" width="2.125" style="2" customWidth="1"/>
    <col min="435" max="435" width="5.125" style="2" customWidth="1"/>
    <col min="436" max="436" width="11.625" style="2" customWidth="1"/>
    <col min="437" max="437" width="29.625" style="2" customWidth="1"/>
    <col min="438" max="438" width="11.625" style="2" customWidth="1"/>
    <col min="439" max="439" width="2.125" style="2" customWidth="1"/>
    <col min="440" max="440" width="5.125" style="2" customWidth="1"/>
    <col min="441" max="441" width="11.625" style="2" customWidth="1"/>
    <col min="442" max="442" width="29.625" style="2" customWidth="1"/>
    <col min="443" max="443" width="6.625" style="2" bestFit="1" customWidth="1"/>
    <col min="444" max="444" width="3.625" style="2" customWidth="1"/>
    <col min="445" max="447" width="14.625" style="2" customWidth="1"/>
    <col min="448" max="448" width="7.125" style="2" customWidth="1"/>
    <col min="449" max="449" width="11.625" style="2" customWidth="1"/>
    <col min="450" max="450" width="2.125" style="2" customWidth="1"/>
    <col min="451" max="451" width="5.125" style="2" customWidth="1"/>
    <col min="452" max="452" width="11.625" style="2" customWidth="1"/>
    <col min="453" max="453" width="29.625" style="2" customWidth="1"/>
    <col min="454" max="454" width="11.625" style="2" customWidth="1"/>
    <col min="455" max="455" width="2.125" style="2" customWidth="1"/>
    <col min="456" max="456" width="5.125" style="2" customWidth="1"/>
    <col min="457" max="457" width="11.625" style="2" customWidth="1"/>
    <col min="458" max="458" width="29.625" style="2" customWidth="1"/>
    <col min="459" max="459" width="11.625" style="2" customWidth="1"/>
    <col min="460" max="460" width="2.125" style="2" customWidth="1"/>
    <col min="461" max="461" width="5.125" style="2" customWidth="1"/>
    <col min="462" max="462" width="11.625" style="2" customWidth="1"/>
    <col min="463" max="463" width="29.625" style="2" customWidth="1"/>
    <col min="464" max="464" width="11.625" style="2" customWidth="1"/>
    <col min="465" max="465" width="2.125" style="2" customWidth="1"/>
    <col min="466" max="466" width="5.125" style="2" customWidth="1"/>
    <col min="467" max="467" width="11.625" style="2" customWidth="1"/>
    <col min="468" max="468" width="29.625" style="2" customWidth="1"/>
    <col min="469" max="469" width="6.625" style="2" bestFit="1" customWidth="1"/>
    <col min="470" max="470" width="3.625" style="2" customWidth="1"/>
    <col min="471" max="473" width="14.625" style="2" customWidth="1"/>
    <col min="474" max="474" width="7.125" style="2" customWidth="1"/>
    <col min="475" max="475" width="11.625" style="2" customWidth="1"/>
    <col min="476" max="476" width="2.125" style="2" customWidth="1"/>
    <col min="477" max="477" width="5.125" style="2" customWidth="1"/>
    <col min="478" max="478" width="11.625" style="2" customWidth="1"/>
    <col min="479" max="479" width="29.625" style="2" customWidth="1"/>
    <col min="480" max="480" width="11.625" style="2" customWidth="1"/>
    <col min="481" max="481" width="2.125" style="2" customWidth="1"/>
    <col min="482" max="482" width="5.125" style="2" customWidth="1"/>
    <col min="483" max="483" width="11.625" style="2" customWidth="1"/>
    <col min="484" max="484" width="29.625" style="2" customWidth="1"/>
    <col min="485" max="485" width="11.625" style="2" customWidth="1"/>
    <col min="486" max="486" width="2.125" style="2" customWidth="1"/>
    <col min="487" max="487" width="5.125" style="2" customWidth="1"/>
    <col min="488" max="488" width="11.625" style="2" customWidth="1"/>
    <col min="489" max="489" width="29.625" style="2" customWidth="1"/>
    <col min="490" max="490" width="11.625" style="2" customWidth="1"/>
    <col min="491" max="491" width="2.125" style="2" customWidth="1"/>
    <col min="492" max="492" width="5.125" style="2" customWidth="1"/>
    <col min="493" max="493" width="11.625" style="2" customWidth="1"/>
    <col min="494" max="494" width="29.625" style="2" customWidth="1"/>
    <col min="495" max="495" width="6.625" style="2" bestFit="1" customWidth="1"/>
    <col min="496" max="496" width="3.625" style="2" customWidth="1"/>
    <col min="497" max="499" width="14.625" style="2" customWidth="1"/>
    <col min="500" max="500" width="7.125" style="2" customWidth="1"/>
    <col min="501" max="501" width="11.625" style="2" customWidth="1"/>
    <col min="502" max="502" width="2.125" style="2" customWidth="1"/>
    <col min="503" max="503" width="5.125" style="2" customWidth="1"/>
    <col min="504" max="504" width="11.625" style="2" customWidth="1"/>
    <col min="505" max="505" width="29.625" style="2" customWidth="1"/>
    <col min="506" max="506" width="11.625" style="2" customWidth="1"/>
    <col min="507" max="507" width="2.125" style="2" customWidth="1"/>
    <col min="508" max="508" width="5.125" style="2" customWidth="1"/>
    <col min="509" max="509" width="11.625" style="2" customWidth="1"/>
    <col min="510" max="510" width="29.625" style="2" customWidth="1"/>
    <col min="511" max="511" width="11.625" style="2" customWidth="1"/>
    <col min="512" max="512" width="2.125" style="2" customWidth="1"/>
    <col min="513" max="513" width="5.125" style="2" customWidth="1"/>
    <col min="514" max="514" width="11.625" style="2" customWidth="1"/>
    <col min="515" max="515" width="29.625" style="2" customWidth="1"/>
    <col min="516" max="516" width="11.625" style="2" customWidth="1"/>
    <col min="517" max="517" width="2.125" style="2" customWidth="1"/>
    <col min="518" max="518" width="5.125" style="2" customWidth="1"/>
    <col min="519" max="519" width="11.625" style="2" customWidth="1"/>
    <col min="520" max="520" width="29.625" style="2" customWidth="1"/>
    <col min="521" max="521" width="6.625" style="2" bestFit="1" customWidth="1"/>
    <col min="522" max="522" width="3.625" style="2" customWidth="1"/>
    <col min="523" max="525" width="14.625" style="2" customWidth="1"/>
    <col min="526" max="526" width="7.125" style="2" customWidth="1"/>
    <col min="527" max="527" width="11.625" style="2" customWidth="1"/>
    <col min="528" max="528" width="2.125" style="2" customWidth="1"/>
    <col min="529" max="529" width="5.125" style="2" customWidth="1"/>
    <col min="530" max="530" width="11.625" style="2" customWidth="1"/>
    <col min="531" max="531" width="29.625" style="2" customWidth="1"/>
    <col min="532" max="532" width="11.625" style="2" customWidth="1"/>
    <col min="533" max="533" width="2.125" style="2" customWidth="1"/>
    <col min="534" max="534" width="5.125" style="2" customWidth="1"/>
    <col min="535" max="535" width="11.625" style="2" customWidth="1"/>
    <col min="536" max="536" width="29.625" style="2" customWidth="1"/>
    <col min="537" max="537" width="11.625" style="2" customWidth="1"/>
    <col min="538" max="538" width="2.125" style="2" customWidth="1"/>
    <col min="539" max="539" width="5.125" style="2" customWidth="1"/>
    <col min="540" max="540" width="11.625" style="2" customWidth="1"/>
    <col min="541" max="541" width="29.625" style="2" customWidth="1"/>
    <col min="542" max="542" width="11.625" style="2" customWidth="1"/>
    <col min="543" max="543" width="2.125" style="2" customWidth="1"/>
    <col min="544" max="544" width="5.125" style="2" customWidth="1"/>
    <col min="545" max="545" width="11.625" style="2" customWidth="1"/>
    <col min="546" max="546" width="29.625" style="2" customWidth="1"/>
    <col min="547" max="547" width="6.625" style="2" bestFit="1" customWidth="1"/>
    <col min="548" max="548" width="3.625" style="2" customWidth="1"/>
    <col min="549" max="551" width="14.625" style="2" customWidth="1"/>
    <col min="552" max="552" width="7.125" style="2" customWidth="1"/>
    <col min="553" max="553" width="11.625" style="2" customWidth="1"/>
    <col min="554" max="554" width="2.125" style="2" customWidth="1"/>
    <col min="555" max="555" width="5.125" style="2" customWidth="1"/>
    <col min="556" max="556" width="11.625" style="2" customWidth="1"/>
    <col min="557" max="557" width="29.625" style="2" customWidth="1"/>
    <col min="558" max="558" width="11.625" style="2" customWidth="1"/>
    <col min="559" max="559" width="2.125" style="2" customWidth="1"/>
    <col min="560" max="560" width="5.125" style="2" customWidth="1"/>
    <col min="561" max="561" width="11.625" style="2" customWidth="1"/>
    <col min="562" max="562" width="29.625" style="2" customWidth="1"/>
    <col min="563" max="563" width="11.625" style="2" customWidth="1"/>
    <col min="564" max="564" width="2.125" style="2" customWidth="1"/>
    <col min="565" max="565" width="5.125" style="2" customWidth="1"/>
    <col min="566" max="566" width="11.625" style="2" customWidth="1"/>
    <col min="567" max="567" width="29.625" style="2" customWidth="1"/>
    <col min="568" max="568" width="11.625" style="2" customWidth="1"/>
    <col min="569" max="569" width="2.125" style="2" customWidth="1"/>
    <col min="570" max="570" width="5.125" style="2" customWidth="1"/>
    <col min="571" max="571" width="11.625" style="2" customWidth="1"/>
    <col min="572" max="572" width="29.625" style="2" customWidth="1"/>
    <col min="573" max="573" width="6.625" style="2" bestFit="1" customWidth="1"/>
    <col min="574" max="574" width="3.625" style="2" customWidth="1"/>
    <col min="575" max="577" width="14.625" style="2" customWidth="1"/>
    <col min="578" max="578" width="7.125" style="2" customWidth="1"/>
    <col min="579" max="579" width="11.625" style="2" customWidth="1"/>
    <col min="580" max="580" width="2.125" style="2" customWidth="1"/>
    <col min="581" max="581" width="5.125" style="2" customWidth="1"/>
    <col min="582" max="582" width="11.625" style="2" customWidth="1"/>
    <col min="583" max="583" width="29.625" style="2" customWidth="1"/>
    <col min="584" max="584" width="11.625" style="2" customWidth="1"/>
    <col min="585" max="585" width="2.125" style="2" customWidth="1"/>
    <col min="586" max="586" width="5.125" style="2" customWidth="1"/>
    <col min="587" max="587" width="11.625" style="2" customWidth="1"/>
    <col min="588" max="588" width="29.625" style="2" customWidth="1"/>
    <col min="589" max="589" width="11.625" style="2" customWidth="1"/>
    <col min="590" max="590" width="2.125" style="2" customWidth="1"/>
    <col min="591" max="591" width="5.125" style="2" customWidth="1"/>
    <col min="592" max="592" width="11.625" style="2" customWidth="1"/>
    <col min="593" max="593" width="29.625" style="2" customWidth="1"/>
    <col min="594" max="594" width="11.625" style="2" customWidth="1"/>
    <col min="595" max="595" width="2.125" style="2" customWidth="1"/>
    <col min="596" max="596" width="5.125" style="2" customWidth="1"/>
    <col min="597" max="597" width="11.625" style="2" customWidth="1"/>
    <col min="598" max="598" width="29.625" style="2" customWidth="1"/>
    <col min="599" max="599" width="6.625" style="2" bestFit="1" customWidth="1"/>
    <col min="600" max="600" width="3.625" style="2" customWidth="1"/>
    <col min="601" max="603" width="14.625" style="2" customWidth="1"/>
    <col min="604" max="604" width="7.125" style="2" customWidth="1"/>
    <col min="605" max="605" width="11.625" style="2" customWidth="1"/>
    <col min="606" max="606" width="2.125" style="2" customWidth="1"/>
    <col min="607" max="607" width="5.125" style="2" customWidth="1"/>
    <col min="608" max="608" width="11.625" style="2" customWidth="1"/>
    <col min="609" max="609" width="29.625" style="2" customWidth="1"/>
    <col min="610" max="610" width="11.625" style="2" customWidth="1"/>
    <col min="611" max="611" width="2.125" style="2" customWidth="1"/>
    <col min="612" max="612" width="5.125" style="2" customWidth="1"/>
    <col min="613" max="613" width="11.625" style="2" customWidth="1"/>
    <col min="614" max="614" width="29.625" style="2" customWidth="1"/>
    <col min="615" max="615" width="11.625" style="2" customWidth="1"/>
    <col min="616" max="616" width="2.125" style="2" customWidth="1"/>
    <col min="617" max="617" width="5.125" style="2" customWidth="1"/>
    <col min="618" max="618" width="11.625" style="2" customWidth="1"/>
    <col min="619" max="619" width="29.625" style="2" customWidth="1"/>
    <col min="620" max="620" width="11.625" style="2" customWidth="1"/>
    <col min="621" max="621" width="2.125" style="2" customWidth="1"/>
    <col min="622" max="622" width="5.125" style="2" customWidth="1"/>
    <col min="623" max="623" width="11.625" style="2" customWidth="1"/>
    <col min="624" max="624" width="29.625" style="2" customWidth="1"/>
    <col min="625" max="625" width="6.625" style="2" bestFit="1" customWidth="1"/>
    <col min="626" max="626" width="3.625" style="2" customWidth="1"/>
    <col min="627" max="629" width="14.625" style="2" customWidth="1"/>
    <col min="630" max="630" width="7.125" style="2" customWidth="1"/>
    <col min="631" max="631" width="11.625" style="2" customWidth="1"/>
    <col min="632" max="632" width="2.125" style="2" customWidth="1"/>
    <col min="633" max="633" width="5.125" style="2" customWidth="1"/>
    <col min="634" max="634" width="11.625" style="2" customWidth="1"/>
    <col min="635" max="635" width="29.625" style="2" customWidth="1"/>
    <col min="636" max="636" width="11.625" style="2" customWidth="1"/>
    <col min="637" max="637" width="2.125" style="2" customWidth="1"/>
    <col min="638" max="638" width="5.125" style="2" customWidth="1"/>
    <col min="639" max="639" width="11.625" style="2" customWidth="1"/>
    <col min="640" max="640" width="29.625" style="2" customWidth="1"/>
    <col min="641" max="641" width="11.625" style="2" customWidth="1"/>
    <col min="642" max="642" width="2.125" style="2" customWidth="1"/>
    <col min="643" max="643" width="5.125" style="2" customWidth="1"/>
    <col min="644" max="644" width="11.625" style="2" customWidth="1"/>
    <col min="645" max="645" width="29.625" style="2" customWidth="1"/>
    <col min="646" max="646" width="11.625" style="2" customWidth="1"/>
    <col min="647" max="647" width="2.125" style="2" customWidth="1"/>
    <col min="648" max="648" width="5.125" style="2" customWidth="1"/>
    <col min="649" max="649" width="11.625" style="2" customWidth="1"/>
    <col min="650" max="650" width="29.625" style="2" customWidth="1"/>
    <col min="651" max="651" width="6.625" style="2" bestFit="1" customWidth="1"/>
    <col min="652" max="652" width="3.625" style="2" customWidth="1"/>
    <col min="653" max="655" width="14.625" style="2" customWidth="1"/>
    <col min="656" max="656" width="7.125" style="2" customWidth="1"/>
    <col min="657" max="657" width="11.625" style="2" customWidth="1"/>
    <col min="658" max="658" width="2.125" style="2" customWidth="1"/>
    <col min="659" max="659" width="5.125" style="2" customWidth="1"/>
    <col min="660" max="660" width="11.625" style="2" customWidth="1"/>
    <col min="661" max="661" width="29.625" style="2" customWidth="1"/>
    <col min="662" max="662" width="11.625" style="2" customWidth="1"/>
    <col min="663" max="663" width="2.125" style="2" customWidth="1"/>
    <col min="664" max="664" width="5.125" style="2" customWidth="1"/>
    <col min="665" max="665" width="11.625" style="2" customWidth="1"/>
    <col min="666" max="666" width="29.625" style="2" customWidth="1"/>
    <col min="667" max="667" width="11.625" style="2" customWidth="1"/>
    <col min="668" max="668" width="2.125" style="2" customWidth="1"/>
    <col min="669" max="669" width="5.125" style="2" customWidth="1"/>
    <col min="670" max="670" width="11.625" style="2" customWidth="1"/>
    <col min="671" max="671" width="29.625" style="2" customWidth="1"/>
    <col min="672" max="672" width="11.625" style="2" customWidth="1"/>
    <col min="673" max="673" width="2.125" style="2" customWidth="1"/>
    <col min="674" max="674" width="5.125" style="2" customWidth="1"/>
    <col min="675" max="675" width="11.625" style="2" customWidth="1"/>
    <col min="676" max="676" width="29.625" style="2" customWidth="1"/>
    <col min="677" max="677" width="6.625" style="2" bestFit="1" customWidth="1"/>
    <col min="678" max="678" width="3.625" style="2" customWidth="1"/>
    <col min="679" max="681" width="14.625" style="2" customWidth="1"/>
    <col min="682" max="682" width="7.125" style="2" customWidth="1"/>
    <col min="683" max="683" width="11.625" style="2" customWidth="1"/>
    <col min="684" max="684" width="2.125" style="2" customWidth="1"/>
    <col min="685" max="685" width="5.125" style="2" customWidth="1"/>
    <col min="686" max="686" width="11.625" style="2" customWidth="1"/>
    <col min="687" max="687" width="29.625" style="2" customWidth="1"/>
    <col min="688" max="688" width="11.625" style="2" customWidth="1"/>
    <col min="689" max="689" width="2.125" style="2" customWidth="1"/>
    <col min="690" max="690" width="5.125" style="2" customWidth="1"/>
    <col min="691" max="691" width="11.625" style="2" customWidth="1"/>
    <col min="692" max="692" width="29.625" style="2" customWidth="1"/>
    <col min="693" max="693" width="11.625" style="2" customWidth="1"/>
    <col min="694" max="694" width="2.125" style="2" customWidth="1"/>
    <col min="695" max="695" width="5.125" style="2" customWidth="1"/>
    <col min="696" max="696" width="11.625" style="2" customWidth="1"/>
    <col min="697" max="697" width="29.625" style="2" customWidth="1"/>
    <col min="698" max="698" width="11.625" style="2" customWidth="1"/>
    <col min="699" max="699" width="2.125" style="2" customWidth="1"/>
    <col min="700" max="700" width="5.125" style="2" customWidth="1"/>
    <col min="701" max="701" width="11.625" style="2" customWidth="1"/>
    <col min="702" max="702" width="29.625" style="2" customWidth="1"/>
    <col min="703" max="703" width="6.625" style="2" bestFit="1" customWidth="1"/>
    <col min="704" max="704" width="3.625" style="2" customWidth="1"/>
    <col min="705" max="707" width="14.625" style="2" customWidth="1"/>
    <col min="708" max="708" width="7.125" style="2" customWidth="1"/>
    <col min="709" max="709" width="11.625" style="2" customWidth="1"/>
    <col min="710" max="710" width="2.125" style="2" customWidth="1"/>
    <col min="711" max="711" width="5.125" style="2" customWidth="1"/>
    <col min="712" max="712" width="11.625" style="2" customWidth="1"/>
    <col min="713" max="713" width="29.625" style="2" customWidth="1"/>
    <col min="714" max="714" width="11.625" style="2" customWidth="1"/>
    <col min="715" max="715" width="2.125" style="2" customWidth="1"/>
    <col min="716" max="716" width="5.125" style="2" customWidth="1"/>
    <col min="717" max="717" width="11.625" style="2" customWidth="1"/>
    <col min="718" max="718" width="29.625" style="2" customWidth="1"/>
    <col min="719" max="719" width="11.625" style="2" customWidth="1"/>
    <col min="720" max="720" width="2.125" style="2" customWidth="1"/>
    <col min="721" max="721" width="5.125" style="2" customWidth="1"/>
    <col min="722" max="722" width="11.625" style="2" customWidth="1"/>
    <col min="723" max="723" width="29.625" style="2" customWidth="1"/>
    <col min="724" max="724" width="11.625" style="2" customWidth="1"/>
    <col min="725" max="725" width="2.125" style="2" customWidth="1"/>
    <col min="726" max="726" width="5.125" style="2" customWidth="1"/>
    <col min="727" max="727" width="11.625" style="2" customWidth="1"/>
    <col min="728" max="728" width="29.625" style="2" customWidth="1"/>
    <col min="729" max="729" width="6.625" style="2" bestFit="1" customWidth="1"/>
    <col min="730" max="730" width="3.625" style="2" customWidth="1"/>
    <col min="731" max="733" width="14.625" style="2" customWidth="1"/>
    <col min="734" max="734" width="7.125" style="2" customWidth="1"/>
    <col min="735" max="735" width="11.625" style="2" customWidth="1"/>
    <col min="736" max="736" width="2.125" style="2" customWidth="1"/>
    <col min="737" max="737" width="5.125" style="2" customWidth="1"/>
    <col min="738" max="738" width="11.625" style="2" customWidth="1"/>
    <col min="739" max="739" width="29.625" style="2" customWidth="1"/>
    <col min="740" max="740" width="11.625" style="2" customWidth="1"/>
    <col min="741" max="741" width="2.125" style="2" customWidth="1"/>
    <col min="742" max="742" width="5.125" style="2" customWidth="1"/>
    <col min="743" max="743" width="11.625" style="2" customWidth="1"/>
    <col min="744" max="744" width="29.625" style="2" customWidth="1"/>
    <col min="745" max="745" width="11.625" style="2" customWidth="1"/>
    <col min="746" max="746" width="2.125" style="2" customWidth="1"/>
    <col min="747" max="747" width="5.125" style="2" customWidth="1"/>
    <col min="748" max="748" width="11.625" style="2" customWidth="1"/>
    <col min="749" max="749" width="29.625" style="2" customWidth="1"/>
    <col min="750" max="750" width="11.625" style="2" customWidth="1"/>
    <col min="751" max="751" width="2.125" style="2" customWidth="1"/>
    <col min="752" max="752" width="5.125" style="2" customWidth="1"/>
    <col min="753" max="753" width="11.625" style="2" customWidth="1"/>
    <col min="754" max="754" width="29.625" style="2" customWidth="1"/>
    <col min="755" max="755" width="6.625" style="2" bestFit="1" customWidth="1"/>
    <col min="756" max="756" width="3.625" style="2" customWidth="1"/>
    <col min="757" max="759" width="14.625" style="2" customWidth="1"/>
    <col min="760" max="760" width="7.125" style="2" customWidth="1"/>
    <col min="761" max="761" width="11.625" style="2" customWidth="1"/>
    <col min="762" max="762" width="2.125" style="2" customWidth="1"/>
    <col min="763" max="763" width="5.125" style="2" customWidth="1"/>
    <col min="764" max="764" width="11.625" style="2" customWidth="1"/>
    <col min="765" max="765" width="29.625" style="2" customWidth="1"/>
    <col min="766" max="766" width="11.625" style="2" customWidth="1"/>
    <col min="767" max="767" width="2.125" style="2" customWidth="1"/>
    <col min="768" max="768" width="5.125" style="2" customWidth="1"/>
    <col min="769" max="769" width="11.625" style="2" customWidth="1"/>
    <col min="770" max="770" width="29.625" style="2" customWidth="1"/>
    <col min="771" max="771" width="11.625" style="2" customWidth="1"/>
    <col min="772" max="772" width="2.125" style="2" customWidth="1"/>
    <col min="773" max="773" width="5.125" style="2" customWidth="1"/>
    <col min="774" max="774" width="11.625" style="2" customWidth="1"/>
    <col min="775" max="775" width="29.625" style="2" customWidth="1"/>
    <col min="776" max="776" width="11.625" style="2" customWidth="1"/>
    <col min="777" max="777" width="2.125" style="2" customWidth="1"/>
    <col min="778" max="778" width="5.125" style="2" customWidth="1"/>
    <col min="779" max="779" width="11.625" style="2" customWidth="1"/>
    <col min="780" max="780" width="29.625" style="2" customWidth="1"/>
    <col min="781" max="781" width="6.625" style="2" bestFit="1" customWidth="1"/>
    <col min="782" max="782" width="3.625" style="2" customWidth="1"/>
    <col min="783" max="785" width="14.625" style="2" customWidth="1"/>
    <col min="786" max="786" width="7.125" style="2" customWidth="1"/>
    <col min="787" max="787" width="11.625" style="2" customWidth="1"/>
    <col min="788" max="788" width="2.125" style="2" customWidth="1"/>
    <col min="789" max="789" width="5.125" style="2" customWidth="1"/>
    <col min="790" max="790" width="11.625" style="2" customWidth="1"/>
    <col min="791" max="791" width="29.625" style="2" customWidth="1"/>
    <col min="792" max="792" width="11.625" style="2" customWidth="1"/>
    <col min="793" max="793" width="2.125" style="2" customWidth="1"/>
    <col min="794" max="794" width="5.125" style="2" customWidth="1"/>
    <col min="795" max="795" width="11.625" style="2" customWidth="1"/>
    <col min="796" max="796" width="29.625" style="2" customWidth="1"/>
    <col min="797" max="797" width="11.625" style="2" customWidth="1"/>
    <col min="798" max="798" width="2.125" style="2" customWidth="1"/>
    <col min="799" max="799" width="5.125" style="2" customWidth="1"/>
    <col min="800" max="800" width="11.625" style="2" customWidth="1"/>
    <col min="801" max="801" width="29.625" style="2" customWidth="1"/>
    <col min="802" max="802" width="11.625" style="2" customWidth="1"/>
    <col min="803" max="803" width="2.125" style="2" customWidth="1"/>
    <col min="804" max="804" width="5.125" style="2" customWidth="1"/>
    <col min="805" max="805" width="11.625" style="2" customWidth="1"/>
    <col min="806" max="806" width="29.625" style="2" customWidth="1"/>
    <col min="807" max="807" width="6.625" style="2" bestFit="1" customWidth="1"/>
    <col min="808" max="808" width="3.625" style="2" customWidth="1"/>
    <col min="809" max="811" width="14.625" style="2" customWidth="1"/>
    <col min="812" max="812" width="7.125" style="2" customWidth="1"/>
    <col min="813" max="813" width="11.625" style="2" customWidth="1"/>
    <col min="814" max="814" width="2.125" style="2" customWidth="1"/>
    <col min="815" max="815" width="5.125" style="2" customWidth="1"/>
    <col min="816" max="816" width="11.625" style="2" customWidth="1"/>
    <col min="817" max="817" width="29.625" style="2" customWidth="1"/>
    <col min="818" max="818" width="11.625" style="2" customWidth="1"/>
    <col min="819" max="819" width="2.125" style="2" customWidth="1"/>
    <col min="820" max="820" width="5.125" style="2" customWidth="1"/>
    <col min="821" max="821" width="11.625" style="2" customWidth="1"/>
    <col min="822" max="822" width="29.625" style="2" customWidth="1"/>
    <col min="823" max="823" width="11.625" style="2" customWidth="1"/>
    <col min="824" max="824" width="2.125" style="2" customWidth="1"/>
    <col min="825" max="825" width="5.125" style="2" customWidth="1"/>
    <col min="826" max="826" width="11.625" style="2" customWidth="1"/>
    <col min="827" max="827" width="29.625" style="2" customWidth="1"/>
    <col min="828" max="828" width="11.625" style="2" customWidth="1"/>
    <col min="829" max="829" width="2.125" style="2" customWidth="1"/>
    <col min="830" max="830" width="5.125" style="2" customWidth="1"/>
    <col min="831" max="831" width="11.625" style="2" customWidth="1"/>
    <col min="832" max="832" width="29.625" style="2" customWidth="1"/>
    <col min="833" max="833" width="6.625" style="2" bestFit="1" customWidth="1"/>
    <col min="834" max="834" width="3.625" style="2" customWidth="1"/>
    <col min="835" max="837" width="14.625" style="2" customWidth="1"/>
    <col min="838" max="838" width="7.125" style="2" customWidth="1"/>
    <col min="839" max="839" width="11.625" style="2" customWidth="1"/>
    <col min="840" max="840" width="2.125" style="2" customWidth="1"/>
    <col min="841" max="841" width="5.125" style="2" customWidth="1"/>
    <col min="842" max="842" width="11.625" style="2" customWidth="1"/>
    <col min="843" max="843" width="29.625" style="2" customWidth="1"/>
    <col min="844" max="844" width="11.625" style="2" customWidth="1"/>
    <col min="845" max="845" width="2.125" style="2" customWidth="1"/>
    <col min="846" max="846" width="5.125" style="2" customWidth="1"/>
    <col min="847" max="847" width="11.625" style="2" customWidth="1"/>
    <col min="848" max="848" width="29.625" style="2" customWidth="1"/>
    <col min="849" max="849" width="11.625" style="2" customWidth="1"/>
    <col min="850" max="850" width="2.125" style="2" customWidth="1"/>
    <col min="851" max="851" width="5.125" style="2" customWidth="1"/>
    <col min="852" max="852" width="11.625" style="2" customWidth="1"/>
    <col min="853" max="853" width="29.625" style="2" customWidth="1"/>
    <col min="854" max="854" width="11.625" style="2" customWidth="1"/>
    <col min="855" max="855" width="2.125" style="2" customWidth="1"/>
    <col min="856" max="856" width="5.125" style="2" customWidth="1"/>
    <col min="857" max="857" width="11.625" style="2" customWidth="1"/>
    <col min="858" max="858" width="29.625" style="2" customWidth="1"/>
    <col min="859" max="859" width="6.625" style="2" bestFit="1" customWidth="1"/>
    <col min="860" max="860" width="3.625" style="2" customWidth="1"/>
    <col min="861" max="863" width="14.625" style="2" customWidth="1"/>
    <col min="864" max="864" width="7.125" style="2" customWidth="1"/>
    <col min="865" max="865" width="11.625" style="2" customWidth="1"/>
    <col min="866" max="866" width="2.125" style="2" customWidth="1"/>
    <col min="867" max="867" width="5.125" style="2" customWidth="1"/>
    <col min="868" max="868" width="11.625" style="2" customWidth="1"/>
    <col min="869" max="869" width="29.625" style="2" customWidth="1"/>
    <col min="870" max="870" width="11.625" style="2" customWidth="1"/>
    <col min="871" max="871" width="2.125" style="2" customWidth="1"/>
    <col min="872" max="872" width="5.125" style="2" customWidth="1"/>
    <col min="873" max="873" width="11.625" style="2" customWidth="1"/>
    <col min="874" max="874" width="29.625" style="2" customWidth="1"/>
    <col min="875" max="875" width="11.625" style="2" customWidth="1"/>
    <col min="876" max="876" width="2.125" style="2" customWidth="1"/>
    <col min="877" max="877" width="5.125" style="2" customWidth="1"/>
    <col min="878" max="878" width="11.625" style="2" customWidth="1"/>
    <col min="879" max="879" width="29.625" style="2" customWidth="1"/>
    <col min="880" max="880" width="11.625" style="2" customWidth="1"/>
    <col min="881" max="881" width="2.125" style="2" customWidth="1"/>
    <col min="882" max="882" width="5.125" style="2" customWidth="1"/>
    <col min="883" max="883" width="11.625" style="2" customWidth="1"/>
    <col min="884" max="884" width="29.625" style="2" customWidth="1"/>
    <col min="885" max="885" width="6.625" style="2" bestFit="1" customWidth="1"/>
    <col min="886" max="886" width="3.625" style="2" customWidth="1"/>
    <col min="887" max="889" width="14.625" style="2" customWidth="1"/>
    <col min="890" max="890" width="7.125" style="2" customWidth="1"/>
    <col min="891" max="891" width="11.625" style="2" customWidth="1"/>
    <col min="892" max="892" width="2.125" style="2" customWidth="1"/>
    <col min="893" max="893" width="5.125" style="2" customWidth="1"/>
    <col min="894" max="894" width="11.625" style="2" customWidth="1"/>
    <col min="895" max="895" width="29.625" style="2" customWidth="1"/>
    <col min="896" max="896" width="11.625" style="2" customWidth="1"/>
    <col min="897" max="897" width="2.125" style="2" customWidth="1"/>
    <col min="898" max="898" width="5.125" style="2" customWidth="1"/>
    <col min="899" max="899" width="11.625" style="2" customWidth="1"/>
    <col min="900" max="900" width="29.625" style="2" customWidth="1"/>
    <col min="901" max="901" width="11.625" style="2" customWidth="1"/>
    <col min="902" max="902" width="2.125" style="2" customWidth="1"/>
    <col min="903" max="903" width="5.125" style="2" customWidth="1"/>
    <col min="904" max="904" width="11.625" style="2" customWidth="1"/>
    <col min="905" max="905" width="29.625" style="2" customWidth="1"/>
    <col min="906" max="906" width="11.625" style="2" customWidth="1"/>
    <col min="907" max="907" width="2.125" style="2" customWidth="1"/>
    <col min="908" max="908" width="5.125" style="2" customWidth="1"/>
    <col min="909" max="909" width="11.625" style="2" customWidth="1"/>
    <col min="910" max="910" width="29.625" style="2" customWidth="1"/>
    <col min="911" max="911" width="6.625" style="2" bestFit="1" customWidth="1"/>
    <col min="912" max="912" width="3.625" style="2" customWidth="1"/>
    <col min="913" max="915" width="14.625" style="2" customWidth="1"/>
    <col min="916" max="916" width="7.125" style="2" customWidth="1"/>
    <col min="917" max="917" width="11.625" style="2" customWidth="1"/>
    <col min="918" max="918" width="2.125" style="2" customWidth="1"/>
    <col min="919" max="919" width="5.125" style="2" customWidth="1"/>
    <col min="920" max="920" width="11.625" style="2" customWidth="1"/>
    <col min="921" max="921" width="29.625" style="2" customWidth="1"/>
    <col min="922" max="922" width="11.625" style="2" customWidth="1"/>
    <col min="923" max="923" width="2.125" style="2" customWidth="1"/>
    <col min="924" max="924" width="5.125" style="2" customWidth="1"/>
    <col min="925" max="925" width="11.625" style="2" customWidth="1"/>
    <col min="926" max="926" width="29.625" style="2" customWidth="1"/>
    <col min="927" max="927" width="11.625" style="2" customWidth="1"/>
    <col min="928" max="928" width="2.125" style="2" customWidth="1"/>
    <col min="929" max="929" width="5.125" style="2" customWidth="1"/>
    <col min="930" max="930" width="11.625" style="2" customWidth="1"/>
    <col min="931" max="931" width="29.625" style="2" customWidth="1"/>
    <col min="932" max="932" width="11.625" style="2" customWidth="1"/>
    <col min="933" max="933" width="2.125" style="2" customWidth="1"/>
    <col min="934" max="934" width="5.125" style="2" customWidth="1"/>
    <col min="935" max="935" width="11.625" style="2" customWidth="1"/>
    <col min="936" max="936" width="29.625" style="2" customWidth="1"/>
    <col min="937" max="937" width="6.625" style="2" bestFit="1" customWidth="1"/>
    <col min="938" max="938" width="3.625" style="2" customWidth="1"/>
    <col min="939" max="941" width="14.625" style="2" customWidth="1"/>
    <col min="942" max="942" width="7.125" style="2" customWidth="1"/>
    <col min="943" max="943" width="11.625" style="2" customWidth="1"/>
    <col min="944" max="944" width="2.125" style="2" customWidth="1"/>
    <col min="945" max="945" width="5.125" style="2" customWidth="1"/>
    <col min="946" max="946" width="11.625" style="2" customWidth="1"/>
    <col min="947" max="947" width="29.625" style="2" customWidth="1"/>
    <col min="948" max="948" width="11.625" style="2" customWidth="1"/>
    <col min="949" max="949" width="2.125" style="2" customWidth="1"/>
    <col min="950" max="950" width="5.125" style="2" customWidth="1"/>
    <col min="951" max="951" width="11.625" style="2" customWidth="1"/>
    <col min="952" max="952" width="29.625" style="2" customWidth="1"/>
    <col min="953" max="953" width="11.625" style="2" customWidth="1"/>
    <col min="954" max="954" width="2.125" style="2" customWidth="1"/>
    <col min="955" max="955" width="5.125" style="2" customWidth="1"/>
    <col min="956" max="956" width="11.625" style="2" customWidth="1"/>
    <col min="957" max="957" width="29.625" style="2" customWidth="1"/>
    <col min="958" max="958" width="11.625" style="2" customWidth="1"/>
    <col min="959" max="959" width="2.125" style="2" customWidth="1"/>
    <col min="960" max="960" width="5.125" style="2" customWidth="1"/>
    <col min="961" max="961" width="11.625" style="2" customWidth="1"/>
    <col min="962" max="962" width="29.625" style="2" customWidth="1"/>
    <col min="963" max="963" width="6.625" style="2" bestFit="1" customWidth="1"/>
    <col min="964" max="964" width="3.625" style="2" customWidth="1"/>
    <col min="965" max="967" width="14.625" style="2" customWidth="1"/>
    <col min="968" max="968" width="7.125" style="2" customWidth="1"/>
    <col min="969" max="969" width="11.625" style="2" customWidth="1"/>
    <col min="970" max="970" width="2.125" style="2" customWidth="1"/>
    <col min="971" max="971" width="5.125" style="2" customWidth="1"/>
    <col min="972" max="972" width="11.625" style="2" customWidth="1"/>
    <col min="973" max="973" width="29.625" style="2" customWidth="1"/>
    <col min="974" max="974" width="11.625" style="2" customWidth="1"/>
    <col min="975" max="975" width="2.125" style="2" customWidth="1"/>
    <col min="976" max="976" width="5.125" style="2" customWidth="1"/>
    <col min="977" max="977" width="11.625" style="2" customWidth="1"/>
    <col min="978" max="978" width="29.625" style="2" customWidth="1"/>
    <col min="979" max="979" width="11.625" style="2" customWidth="1"/>
    <col min="980" max="980" width="2.125" style="2" customWidth="1"/>
    <col min="981" max="981" width="5.125" style="2" customWidth="1"/>
    <col min="982" max="982" width="11.625" style="2" customWidth="1"/>
    <col min="983" max="983" width="29.625" style="2" customWidth="1"/>
    <col min="984" max="984" width="11.625" style="2" customWidth="1"/>
    <col min="985" max="985" width="2.125" style="2" customWidth="1"/>
    <col min="986" max="986" width="5.125" style="2" customWidth="1"/>
    <col min="987" max="987" width="11.625" style="2" customWidth="1"/>
    <col min="988" max="988" width="29.625" style="2" customWidth="1"/>
    <col min="989" max="16384" width="8" style="2"/>
  </cols>
  <sheetData>
    <row r="1" spans="1:988" ht="27.75" customHeight="1" x14ac:dyDescent="0.4">
      <c r="B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B1" s="1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B1" s="1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B1" s="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B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B1" s="1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B1" s="1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B1" s="1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B1" s="1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B1" s="1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B1" s="1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B1" s="1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B1" s="1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B1" s="1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B1" s="1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B1" s="1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B1" s="1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B1" s="1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B1" s="1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B1" s="1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B1" s="1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B1" s="1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B1" s="1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B1" s="1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B1" s="1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B1" s="1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B1" s="1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B1" s="1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B1" s="1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B1" s="1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B1" s="1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B1" s="1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B1" s="1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B1" s="1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B1" s="1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B1" s="1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B1" s="1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</row>
    <row r="2" spans="1:988" ht="39" customHeight="1" x14ac:dyDescent="0.4">
      <c r="A2" s="454" t="s">
        <v>560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 t="s">
        <v>682</v>
      </c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 t="s">
        <v>682</v>
      </c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 t="s">
        <v>682</v>
      </c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 t="s">
        <v>682</v>
      </c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 t="s">
        <v>682</v>
      </c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 t="s">
        <v>682</v>
      </c>
      <c r="FB2" s="454"/>
      <c r="FC2" s="454"/>
      <c r="FD2" s="454"/>
      <c r="FE2" s="454"/>
      <c r="FF2" s="454"/>
      <c r="FG2" s="454"/>
      <c r="FH2" s="454"/>
      <c r="FI2" s="454"/>
      <c r="FJ2" s="454"/>
      <c r="FK2" s="454"/>
      <c r="FL2" s="454"/>
      <c r="FM2" s="454"/>
      <c r="FN2" s="454"/>
      <c r="FO2" s="454"/>
      <c r="FP2" s="454"/>
      <c r="FQ2" s="454"/>
      <c r="FR2" s="454"/>
      <c r="FS2" s="454"/>
      <c r="FT2" s="454"/>
      <c r="FU2" s="454"/>
      <c r="FV2" s="454"/>
      <c r="FW2" s="454"/>
      <c r="FX2" s="454"/>
      <c r="FY2" s="454"/>
      <c r="FZ2" s="454"/>
      <c r="GA2" s="454" t="s">
        <v>682</v>
      </c>
      <c r="GB2" s="454"/>
      <c r="GC2" s="454"/>
      <c r="GD2" s="454"/>
      <c r="GE2" s="454"/>
      <c r="GF2" s="454"/>
      <c r="GG2" s="454"/>
      <c r="GH2" s="454"/>
      <c r="GI2" s="454"/>
      <c r="GJ2" s="454"/>
      <c r="GK2" s="454"/>
      <c r="GL2" s="454"/>
      <c r="GM2" s="454"/>
      <c r="GN2" s="454"/>
      <c r="GO2" s="454"/>
      <c r="GP2" s="454"/>
      <c r="GQ2" s="454"/>
      <c r="GR2" s="454"/>
      <c r="GS2" s="454"/>
      <c r="GT2" s="454"/>
      <c r="GU2" s="454"/>
      <c r="GV2" s="454"/>
      <c r="GW2" s="454"/>
      <c r="GX2" s="454"/>
      <c r="GY2" s="454"/>
      <c r="GZ2" s="454"/>
      <c r="HA2" s="454" t="s">
        <v>682</v>
      </c>
      <c r="HB2" s="454"/>
      <c r="HC2" s="454"/>
      <c r="HD2" s="454"/>
      <c r="HE2" s="454"/>
      <c r="HF2" s="454"/>
      <c r="HG2" s="454"/>
      <c r="HH2" s="454"/>
      <c r="HI2" s="454"/>
      <c r="HJ2" s="454"/>
      <c r="HK2" s="454"/>
      <c r="HL2" s="454"/>
      <c r="HM2" s="454"/>
      <c r="HN2" s="454"/>
      <c r="HO2" s="454"/>
      <c r="HP2" s="454"/>
      <c r="HQ2" s="454"/>
      <c r="HR2" s="454"/>
      <c r="HS2" s="454"/>
      <c r="HT2" s="454"/>
      <c r="HU2" s="454"/>
      <c r="HV2" s="454"/>
      <c r="HW2" s="454"/>
      <c r="HX2" s="454"/>
      <c r="HY2" s="454"/>
      <c r="HZ2" s="454"/>
      <c r="IA2" s="454" t="s">
        <v>682</v>
      </c>
      <c r="IB2" s="454"/>
      <c r="IC2" s="454"/>
      <c r="ID2" s="454"/>
      <c r="IE2" s="454"/>
      <c r="IF2" s="454"/>
      <c r="IG2" s="454"/>
      <c r="IH2" s="454"/>
      <c r="II2" s="454"/>
      <c r="IJ2" s="454"/>
      <c r="IK2" s="454"/>
      <c r="IL2" s="454"/>
      <c r="IM2" s="454"/>
      <c r="IN2" s="454"/>
      <c r="IO2" s="454"/>
      <c r="IP2" s="454"/>
      <c r="IQ2" s="454"/>
      <c r="IR2" s="454"/>
      <c r="IS2" s="454"/>
      <c r="IT2" s="454"/>
      <c r="IU2" s="454"/>
      <c r="IV2" s="454"/>
      <c r="IW2" s="454"/>
      <c r="IX2" s="454"/>
      <c r="IY2" s="454"/>
      <c r="IZ2" s="454"/>
      <c r="JA2" s="454" t="s">
        <v>682</v>
      </c>
      <c r="JB2" s="454"/>
      <c r="JC2" s="454"/>
      <c r="JD2" s="454"/>
      <c r="JE2" s="454"/>
      <c r="JF2" s="454"/>
      <c r="JG2" s="454"/>
      <c r="JH2" s="454"/>
      <c r="JI2" s="454"/>
      <c r="JJ2" s="454"/>
      <c r="JK2" s="454"/>
      <c r="JL2" s="454"/>
      <c r="JM2" s="454"/>
      <c r="JN2" s="454"/>
      <c r="JO2" s="454"/>
      <c r="JP2" s="454"/>
      <c r="JQ2" s="454"/>
      <c r="JR2" s="454"/>
      <c r="JS2" s="454"/>
      <c r="JT2" s="454"/>
      <c r="JU2" s="454"/>
      <c r="JV2" s="454"/>
      <c r="JW2" s="454"/>
      <c r="JX2" s="454"/>
      <c r="JY2" s="454"/>
      <c r="JZ2" s="454"/>
      <c r="KA2" s="454" t="s">
        <v>682</v>
      </c>
      <c r="KB2" s="454"/>
      <c r="KC2" s="454"/>
      <c r="KD2" s="454"/>
      <c r="KE2" s="454"/>
      <c r="KF2" s="454"/>
      <c r="KG2" s="454"/>
      <c r="KH2" s="454"/>
      <c r="KI2" s="454"/>
      <c r="KJ2" s="454"/>
      <c r="KK2" s="454"/>
      <c r="KL2" s="454"/>
      <c r="KM2" s="454"/>
      <c r="KN2" s="454"/>
      <c r="KO2" s="454"/>
      <c r="KP2" s="454"/>
      <c r="KQ2" s="454"/>
      <c r="KR2" s="454"/>
      <c r="KS2" s="454"/>
      <c r="KT2" s="454"/>
      <c r="KU2" s="454"/>
      <c r="KV2" s="454"/>
      <c r="KW2" s="454"/>
      <c r="KX2" s="454"/>
      <c r="KY2" s="454"/>
      <c r="KZ2" s="454"/>
      <c r="LA2" s="454" t="s">
        <v>682</v>
      </c>
      <c r="LB2" s="454"/>
      <c r="LC2" s="454"/>
      <c r="LD2" s="454"/>
      <c r="LE2" s="454"/>
      <c r="LF2" s="454"/>
      <c r="LG2" s="454"/>
      <c r="LH2" s="454"/>
      <c r="LI2" s="454"/>
      <c r="LJ2" s="454"/>
      <c r="LK2" s="454"/>
      <c r="LL2" s="454"/>
      <c r="LM2" s="454"/>
      <c r="LN2" s="454"/>
      <c r="LO2" s="454"/>
      <c r="LP2" s="454"/>
      <c r="LQ2" s="454"/>
      <c r="LR2" s="454"/>
      <c r="LS2" s="454"/>
      <c r="LT2" s="454"/>
      <c r="LU2" s="454"/>
      <c r="LV2" s="454"/>
      <c r="LW2" s="454"/>
      <c r="LX2" s="454"/>
      <c r="LY2" s="454"/>
      <c r="LZ2" s="454"/>
      <c r="MA2" s="454" t="s">
        <v>76</v>
      </c>
      <c r="MB2" s="454"/>
      <c r="MC2" s="454"/>
      <c r="MD2" s="454"/>
      <c r="ME2" s="454"/>
      <c r="MF2" s="454"/>
      <c r="MG2" s="454"/>
      <c r="MH2" s="454"/>
      <c r="MI2" s="454"/>
      <c r="MJ2" s="454"/>
      <c r="MK2" s="454"/>
      <c r="ML2" s="454"/>
      <c r="MM2" s="454"/>
      <c r="MN2" s="454"/>
      <c r="MO2" s="454"/>
      <c r="MP2" s="454"/>
      <c r="MQ2" s="454"/>
      <c r="MR2" s="454"/>
      <c r="MS2" s="454"/>
      <c r="MT2" s="454"/>
      <c r="MU2" s="454"/>
      <c r="MV2" s="454"/>
      <c r="MW2" s="454"/>
      <c r="MX2" s="454"/>
      <c r="MY2" s="454"/>
      <c r="MZ2" s="454"/>
      <c r="NA2" s="454" t="s">
        <v>682</v>
      </c>
      <c r="NB2" s="454"/>
      <c r="NC2" s="454"/>
      <c r="ND2" s="454"/>
      <c r="NE2" s="454"/>
      <c r="NF2" s="454"/>
      <c r="NG2" s="454"/>
      <c r="NH2" s="454"/>
      <c r="NI2" s="454"/>
      <c r="NJ2" s="454"/>
      <c r="NK2" s="454"/>
      <c r="NL2" s="454"/>
      <c r="NM2" s="454"/>
      <c r="NN2" s="454"/>
      <c r="NO2" s="454"/>
      <c r="NP2" s="454"/>
      <c r="NQ2" s="454"/>
      <c r="NR2" s="454"/>
      <c r="NS2" s="454"/>
      <c r="NT2" s="454"/>
      <c r="NU2" s="454"/>
      <c r="NV2" s="454"/>
      <c r="NW2" s="454"/>
      <c r="NX2" s="454"/>
      <c r="NY2" s="454"/>
      <c r="NZ2" s="454"/>
      <c r="OA2" s="454" t="s">
        <v>682</v>
      </c>
      <c r="OB2" s="454"/>
      <c r="OC2" s="454"/>
      <c r="OD2" s="454"/>
      <c r="OE2" s="454"/>
      <c r="OF2" s="454"/>
      <c r="OG2" s="454"/>
      <c r="OH2" s="454"/>
      <c r="OI2" s="454"/>
      <c r="OJ2" s="454"/>
      <c r="OK2" s="454"/>
      <c r="OL2" s="454"/>
      <c r="OM2" s="454"/>
      <c r="ON2" s="454"/>
      <c r="OO2" s="454"/>
      <c r="OP2" s="454"/>
      <c r="OQ2" s="454"/>
      <c r="OR2" s="454"/>
      <c r="OS2" s="454"/>
      <c r="OT2" s="454"/>
      <c r="OU2" s="454"/>
      <c r="OV2" s="454"/>
      <c r="OW2" s="454"/>
      <c r="OX2" s="454"/>
      <c r="OY2" s="454"/>
      <c r="OZ2" s="454"/>
      <c r="PA2" s="454" t="s">
        <v>682</v>
      </c>
      <c r="PB2" s="454"/>
      <c r="PC2" s="454"/>
      <c r="PD2" s="454"/>
      <c r="PE2" s="454"/>
      <c r="PF2" s="454"/>
      <c r="PG2" s="454"/>
      <c r="PH2" s="454"/>
      <c r="PI2" s="454"/>
      <c r="PJ2" s="454"/>
      <c r="PK2" s="454"/>
      <c r="PL2" s="454"/>
      <c r="PM2" s="454"/>
      <c r="PN2" s="454"/>
      <c r="PO2" s="454"/>
      <c r="PP2" s="454"/>
      <c r="PQ2" s="454"/>
      <c r="PR2" s="454"/>
      <c r="PS2" s="454"/>
      <c r="PT2" s="454"/>
      <c r="PU2" s="454"/>
      <c r="PV2" s="454"/>
      <c r="PW2" s="454"/>
      <c r="PX2" s="454"/>
      <c r="PY2" s="454"/>
      <c r="PZ2" s="454"/>
      <c r="QA2" s="454" t="s">
        <v>682</v>
      </c>
      <c r="QB2" s="454"/>
      <c r="QC2" s="454"/>
      <c r="QD2" s="454"/>
      <c r="QE2" s="454"/>
      <c r="QF2" s="454"/>
      <c r="QG2" s="454"/>
      <c r="QH2" s="454"/>
      <c r="QI2" s="454"/>
      <c r="QJ2" s="454"/>
      <c r="QK2" s="454"/>
      <c r="QL2" s="454"/>
      <c r="QM2" s="454"/>
      <c r="QN2" s="454"/>
      <c r="QO2" s="454"/>
      <c r="QP2" s="454"/>
      <c r="QQ2" s="454"/>
      <c r="QR2" s="454"/>
      <c r="QS2" s="454"/>
      <c r="QT2" s="454"/>
      <c r="QU2" s="454"/>
      <c r="QV2" s="454"/>
      <c r="QW2" s="454"/>
      <c r="QX2" s="454"/>
      <c r="QY2" s="454"/>
      <c r="QZ2" s="454"/>
      <c r="RA2" s="454" t="s">
        <v>682</v>
      </c>
      <c r="RB2" s="454"/>
      <c r="RC2" s="454"/>
      <c r="RD2" s="454"/>
      <c r="RE2" s="454"/>
      <c r="RF2" s="454"/>
      <c r="RG2" s="454"/>
      <c r="RH2" s="454"/>
      <c r="RI2" s="454"/>
      <c r="RJ2" s="454"/>
      <c r="RK2" s="454"/>
      <c r="RL2" s="454"/>
      <c r="RM2" s="454"/>
      <c r="RN2" s="454"/>
      <c r="RO2" s="454"/>
      <c r="RP2" s="454"/>
      <c r="RQ2" s="454"/>
      <c r="RR2" s="454"/>
      <c r="RS2" s="454"/>
      <c r="RT2" s="454"/>
      <c r="RU2" s="454"/>
      <c r="RV2" s="454"/>
      <c r="RW2" s="454"/>
      <c r="RX2" s="454"/>
      <c r="RY2" s="454"/>
      <c r="RZ2" s="454"/>
      <c r="SA2" s="454" t="s">
        <v>682</v>
      </c>
      <c r="SB2" s="454"/>
      <c r="SC2" s="454"/>
      <c r="SD2" s="454"/>
      <c r="SE2" s="454"/>
      <c r="SF2" s="454"/>
      <c r="SG2" s="454"/>
      <c r="SH2" s="454"/>
      <c r="SI2" s="454"/>
      <c r="SJ2" s="454"/>
      <c r="SK2" s="454"/>
      <c r="SL2" s="454"/>
      <c r="SM2" s="454"/>
      <c r="SN2" s="454"/>
      <c r="SO2" s="454"/>
      <c r="SP2" s="454"/>
      <c r="SQ2" s="454"/>
      <c r="SR2" s="454"/>
      <c r="SS2" s="454"/>
      <c r="ST2" s="454"/>
      <c r="SU2" s="454"/>
      <c r="SV2" s="454"/>
      <c r="SW2" s="454"/>
      <c r="SX2" s="454"/>
      <c r="SY2" s="454"/>
      <c r="SZ2" s="454"/>
      <c r="TA2" s="454" t="s">
        <v>682</v>
      </c>
      <c r="TB2" s="454"/>
      <c r="TC2" s="454"/>
      <c r="TD2" s="454"/>
      <c r="TE2" s="454"/>
      <c r="TF2" s="454"/>
      <c r="TG2" s="454"/>
      <c r="TH2" s="454"/>
      <c r="TI2" s="454"/>
      <c r="TJ2" s="454"/>
      <c r="TK2" s="454"/>
      <c r="TL2" s="454"/>
      <c r="TM2" s="454"/>
      <c r="TN2" s="454"/>
      <c r="TO2" s="454"/>
      <c r="TP2" s="454"/>
      <c r="TQ2" s="454"/>
      <c r="TR2" s="454"/>
      <c r="TS2" s="454"/>
      <c r="TT2" s="454"/>
      <c r="TU2" s="454"/>
      <c r="TV2" s="454"/>
      <c r="TW2" s="454"/>
      <c r="TX2" s="454"/>
      <c r="TY2" s="454"/>
      <c r="TZ2" s="454"/>
      <c r="UA2" s="454" t="s">
        <v>682</v>
      </c>
      <c r="UB2" s="454"/>
      <c r="UC2" s="454"/>
      <c r="UD2" s="454"/>
      <c r="UE2" s="454"/>
      <c r="UF2" s="454"/>
      <c r="UG2" s="454"/>
      <c r="UH2" s="454"/>
      <c r="UI2" s="454"/>
      <c r="UJ2" s="454"/>
      <c r="UK2" s="454"/>
      <c r="UL2" s="454"/>
      <c r="UM2" s="454"/>
      <c r="UN2" s="454"/>
      <c r="UO2" s="454"/>
      <c r="UP2" s="454"/>
      <c r="UQ2" s="454"/>
      <c r="UR2" s="454"/>
      <c r="US2" s="454"/>
      <c r="UT2" s="454"/>
      <c r="UU2" s="454"/>
      <c r="UV2" s="454"/>
      <c r="UW2" s="454"/>
      <c r="UX2" s="454"/>
      <c r="UY2" s="454"/>
      <c r="UZ2" s="454"/>
      <c r="VA2" s="454" t="s">
        <v>682</v>
      </c>
      <c r="VB2" s="454"/>
      <c r="VC2" s="454"/>
      <c r="VD2" s="454"/>
      <c r="VE2" s="454"/>
      <c r="VF2" s="454"/>
      <c r="VG2" s="454"/>
      <c r="VH2" s="454"/>
      <c r="VI2" s="454"/>
      <c r="VJ2" s="454"/>
      <c r="VK2" s="454"/>
      <c r="VL2" s="454"/>
      <c r="VM2" s="454"/>
      <c r="VN2" s="454"/>
      <c r="VO2" s="454"/>
      <c r="VP2" s="454"/>
      <c r="VQ2" s="454"/>
      <c r="VR2" s="454"/>
      <c r="VS2" s="454"/>
      <c r="VT2" s="454"/>
      <c r="VU2" s="454"/>
      <c r="VV2" s="454"/>
      <c r="VW2" s="454"/>
      <c r="VX2" s="454"/>
      <c r="VY2" s="454"/>
      <c r="VZ2" s="454"/>
      <c r="WA2" s="454" t="s">
        <v>682</v>
      </c>
      <c r="WB2" s="454"/>
      <c r="WC2" s="454"/>
      <c r="WD2" s="454"/>
      <c r="WE2" s="454"/>
      <c r="WF2" s="454"/>
      <c r="WG2" s="454"/>
      <c r="WH2" s="454"/>
      <c r="WI2" s="454"/>
      <c r="WJ2" s="454"/>
      <c r="WK2" s="454"/>
      <c r="WL2" s="454"/>
      <c r="WM2" s="454"/>
      <c r="WN2" s="454"/>
      <c r="WO2" s="454"/>
      <c r="WP2" s="454"/>
      <c r="WQ2" s="454"/>
      <c r="WR2" s="454"/>
      <c r="WS2" s="454"/>
      <c r="WT2" s="454"/>
      <c r="WU2" s="454"/>
      <c r="WV2" s="454"/>
      <c r="WW2" s="454"/>
      <c r="WX2" s="454"/>
      <c r="WY2" s="454"/>
      <c r="WZ2" s="454"/>
      <c r="XA2" s="454" t="s">
        <v>682</v>
      </c>
      <c r="XB2" s="454"/>
      <c r="XC2" s="454"/>
      <c r="XD2" s="454"/>
      <c r="XE2" s="454"/>
      <c r="XF2" s="454"/>
      <c r="XG2" s="454"/>
      <c r="XH2" s="454"/>
      <c r="XI2" s="454"/>
      <c r="XJ2" s="454"/>
      <c r="XK2" s="454"/>
      <c r="XL2" s="454"/>
      <c r="XM2" s="454"/>
      <c r="XN2" s="454"/>
      <c r="XO2" s="454"/>
      <c r="XP2" s="454"/>
      <c r="XQ2" s="454"/>
      <c r="XR2" s="454"/>
      <c r="XS2" s="454"/>
      <c r="XT2" s="454"/>
      <c r="XU2" s="454"/>
      <c r="XV2" s="454"/>
      <c r="XW2" s="454"/>
      <c r="XX2" s="454"/>
      <c r="XY2" s="454"/>
      <c r="XZ2" s="454"/>
      <c r="YA2" s="454" t="s">
        <v>682</v>
      </c>
      <c r="YB2" s="454"/>
      <c r="YC2" s="454"/>
      <c r="YD2" s="454"/>
      <c r="YE2" s="454"/>
      <c r="YF2" s="454"/>
      <c r="YG2" s="454"/>
      <c r="YH2" s="454"/>
      <c r="YI2" s="454"/>
      <c r="YJ2" s="454"/>
      <c r="YK2" s="454"/>
      <c r="YL2" s="454"/>
      <c r="YM2" s="454"/>
      <c r="YN2" s="454"/>
      <c r="YO2" s="454"/>
      <c r="YP2" s="454"/>
      <c r="YQ2" s="454"/>
      <c r="YR2" s="454"/>
      <c r="YS2" s="454"/>
      <c r="YT2" s="454"/>
      <c r="YU2" s="454"/>
      <c r="YV2" s="454"/>
      <c r="YW2" s="454"/>
      <c r="YX2" s="454"/>
      <c r="YY2" s="454"/>
      <c r="YZ2" s="454"/>
      <c r="ZA2" s="454" t="s">
        <v>682</v>
      </c>
      <c r="ZB2" s="454"/>
      <c r="ZC2" s="454"/>
      <c r="ZD2" s="454"/>
      <c r="ZE2" s="454"/>
      <c r="ZF2" s="454"/>
      <c r="ZG2" s="454"/>
      <c r="ZH2" s="454"/>
      <c r="ZI2" s="454"/>
      <c r="ZJ2" s="454"/>
      <c r="ZK2" s="454"/>
      <c r="ZL2" s="454"/>
      <c r="ZM2" s="454"/>
      <c r="ZN2" s="454"/>
      <c r="ZO2" s="454"/>
      <c r="ZP2" s="454"/>
      <c r="ZQ2" s="454"/>
      <c r="ZR2" s="454"/>
      <c r="ZS2" s="454"/>
      <c r="ZT2" s="454"/>
      <c r="ZU2" s="454"/>
      <c r="ZV2" s="454"/>
      <c r="ZW2" s="454"/>
      <c r="ZX2" s="454"/>
      <c r="ZY2" s="454"/>
      <c r="ZZ2" s="454"/>
      <c r="AAA2" s="454" t="s">
        <v>682</v>
      </c>
      <c r="AAB2" s="454"/>
      <c r="AAC2" s="454"/>
      <c r="AAD2" s="454"/>
      <c r="AAE2" s="454"/>
      <c r="AAF2" s="454"/>
      <c r="AAG2" s="454"/>
      <c r="AAH2" s="454"/>
      <c r="AAI2" s="454"/>
      <c r="AAJ2" s="454"/>
      <c r="AAK2" s="454"/>
      <c r="AAL2" s="454"/>
      <c r="AAM2" s="454"/>
      <c r="AAN2" s="454"/>
      <c r="AAO2" s="454"/>
      <c r="AAP2" s="454"/>
      <c r="AAQ2" s="454"/>
      <c r="AAR2" s="454"/>
      <c r="AAS2" s="454"/>
      <c r="AAT2" s="454"/>
      <c r="AAU2" s="454"/>
      <c r="AAV2" s="454"/>
      <c r="AAW2" s="454"/>
      <c r="AAX2" s="454"/>
      <c r="AAY2" s="454"/>
      <c r="AAZ2" s="454"/>
      <c r="ABA2" s="454" t="s">
        <v>682</v>
      </c>
      <c r="ABB2" s="454"/>
      <c r="ABC2" s="454"/>
      <c r="ABD2" s="454"/>
      <c r="ABE2" s="454"/>
      <c r="ABF2" s="454"/>
      <c r="ABG2" s="454"/>
      <c r="ABH2" s="454"/>
      <c r="ABI2" s="454"/>
      <c r="ABJ2" s="454"/>
      <c r="ABK2" s="454"/>
      <c r="ABL2" s="454"/>
      <c r="ABM2" s="454"/>
      <c r="ABN2" s="454"/>
      <c r="ABO2" s="454"/>
      <c r="ABP2" s="454"/>
      <c r="ABQ2" s="454"/>
      <c r="ABR2" s="454"/>
      <c r="ABS2" s="454"/>
      <c r="ABT2" s="454"/>
      <c r="ABU2" s="454"/>
      <c r="ABV2" s="454"/>
      <c r="ABW2" s="454"/>
      <c r="ABX2" s="454"/>
      <c r="ABY2" s="454"/>
      <c r="ABZ2" s="454"/>
      <c r="ACA2" s="454" t="s">
        <v>682</v>
      </c>
      <c r="ACB2" s="454"/>
      <c r="ACC2" s="454"/>
      <c r="ACD2" s="454"/>
      <c r="ACE2" s="454"/>
      <c r="ACF2" s="454"/>
      <c r="ACG2" s="454"/>
      <c r="ACH2" s="454"/>
      <c r="ACI2" s="454"/>
      <c r="ACJ2" s="454"/>
      <c r="ACK2" s="454"/>
      <c r="ACL2" s="454"/>
      <c r="ACM2" s="454"/>
      <c r="ACN2" s="454"/>
      <c r="ACO2" s="454"/>
      <c r="ACP2" s="454"/>
      <c r="ACQ2" s="454"/>
      <c r="ACR2" s="454"/>
      <c r="ACS2" s="454"/>
      <c r="ACT2" s="454"/>
      <c r="ACU2" s="454"/>
      <c r="ACV2" s="454"/>
      <c r="ACW2" s="454"/>
      <c r="ACX2" s="454"/>
      <c r="ACY2" s="454"/>
      <c r="ACZ2" s="454"/>
      <c r="ADA2" s="454" t="s">
        <v>682</v>
      </c>
      <c r="ADB2" s="454"/>
      <c r="ADC2" s="454"/>
      <c r="ADD2" s="454"/>
      <c r="ADE2" s="454"/>
      <c r="ADF2" s="454"/>
      <c r="ADG2" s="454"/>
      <c r="ADH2" s="454"/>
      <c r="ADI2" s="454"/>
      <c r="ADJ2" s="454"/>
      <c r="ADK2" s="454"/>
      <c r="ADL2" s="454"/>
      <c r="ADM2" s="454"/>
      <c r="ADN2" s="454"/>
      <c r="ADO2" s="454"/>
      <c r="ADP2" s="454"/>
      <c r="ADQ2" s="454"/>
      <c r="ADR2" s="454"/>
      <c r="ADS2" s="454"/>
      <c r="ADT2" s="454"/>
      <c r="ADU2" s="454"/>
      <c r="ADV2" s="454"/>
      <c r="ADW2" s="454"/>
      <c r="ADX2" s="454"/>
      <c r="ADY2" s="454"/>
      <c r="ADZ2" s="454"/>
      <c r="AEA2" s="454" t="s">
        <v>682</v>
      </c>
      <c r="AEB2" s="454"/>
      <c r="AEC2" s="454"/>
      <c r="AED2" s="454"/>
      <c r="AEE2" s="454"/>
      <c r="AEF2" s="454"/>
      <c r="AEG2" s="454"/>
      <c r="AEH2" s="454"/>
      <c r="AEI2" s="454"/>
      <c r="AEJ2" s="454"/>
      <c r="AEK2" s="454"/>
      <c r="AEL2" s="454"/>
      <c r="AEM2" s="454"/>
      <c r="AEN2" s="454"/>
      <c r="AEO2" s="454"/>
      <c r="AEP2" s="454"/>
      <c r="AEQ2" s="454"/>
      <c r="AER2" s="454"/>
      <c r="AES2" s="454"/>
      <c r="AET2" s="454"/>
      <c r="AEU2" s="454"/>
      <c r="AEV2" s="454"/>
      <c r="AEW2" s="454"/>
      <c r="AEX2" s="454"/>
      <c r="AEY2" s="454"/>
      <c r="AEZ2" s="454"/>
      <c r="AFA2" s="454" t="s">
        <v>682</v>
      </c>
      <c r="AFB2" s="454"/>
      <c r="AFC2" s="454"/>
      <c r="AFD2" s="454"/>
      <c r="AFE2" s="454"/>
      <c r="AFF2" s="454"/>
      <c r="AFG2" s="454"/>
      <c r="AFH2" s="454"/>
      <c r="AFI2" s="454"/>
      <c r="AFJ2" s="454"/>
      <c r="AFK2" s="454"/>
      <c r="AFL2" s="454"/>
      <c r="AFM2" s="454"/>
      <c r="AFN2" s="454"/>
      <c r="AFO2" s="454"/>
      <c r="AFP2" s="454"/>
      <c r="AFQ2" s="454"/>
      <c r="AFR2" s="454"/>
      <c r="AFS2" s="454"/>
      <c r="AFT2" s="454"/>
      <c r="AFU2" s="454"/>
      <c r="AFV2" s="454"/>
      <c r="AFW2" s="454"/>
      <c r="AFX2" s="454"/>
      <c r="AFY2" s="454"/>
      <c r="AFZ2" s="454"/>
      <c r="AGA2" s="454" t="s">
        <v>682</v>
      </c>
      <c r="AGB2" s="454"/>
      <c r="AGC2" s="454"/>
      <c r="AGD2" s="454"/>
      <c r="AGE2" s="454"/>
      <c r="AGF2" s="454"/>
      <c r="AGG2" s="454"/>
      <c r="AGH2" s="454"/>
      <c r="AGI2" s="454"/>
      <c r="AGJ2" s="454"/>
      <c r="AGK2" s="454"/>
      <c r="AGL2" s="454"/>
      <c r="AGM2" s="454"/>
      <c r="AGN2" s="454"/>
      <c r="AGO2" s="454"/>
      <c r="AGP2" s="454"/>
      <c r="AGQ2" s="454"/>
      <c r="AGR2" s="454"/>
      <c r="AGS2" s="454"/>
      <c r="AGT2" s="454"/>
      <c r="AGU2" s="454"/>
      <c r="AGV2" s="454"/>
      <c r="AGW2" s="454"/>
      <c r="AGX2" s="454"/>
      <c r="AGY2" s="454"/>
      <c r="AGZ2" s="454"/>
      <c r="AHA2" s="454" t="s">
        <v>76</v>
      </c>
      <c r="AHB2" s="454"/>
      <c r="AHC2" s="454"/>
      <c r="AHD2" s="454"/>
      <c r="AHE2" s="454"/>
      <c r="AHF2" s="454"/>
      <c r="AHG2" s="454"/>
      <c r="AHH2" s="454"/>
      <c r="AHI2" s="454"/>
      <c r="AHJ2" s="454"/>
      <c r="AHK2" s="454"/>
      <c r="AHL2" s="454"/>
      <c r="AHM2" s="454"/>
      <c r="AHN2" s="454"/>
      <c r="AHO2" s="454"/>
      <c r="AHP2" s="454"/>
      <c r="AHQ2" s="454"/>
      <c r="AHR2" s="454"/>
      <c r="AHS2" s="454"/>
      <c r="AHT2" s="454"/>
      <c r="AHU2" s="454"/>
      <c r="AHV2" s="454"/>
      <c r="AHW2" s="454"/>
      <c r="AHX2" s="454"/>
      <c r="AHY2" s="454"/>
      <c r="AHZ2" s="454"/>
      <c r="AIA2" s="454" t="s">
        <v>682</v>
      </c>
      <c r="AIB2" s="454"/>
      <c r="AIC2" s="454"/>
      <c r="AID2" s="454"/>
      <c r="AIE2" s="454"/>
      <c r="AIF2" s="454"/>
      <c r="AIG2" s="454"/>
      <c r="AIH2" s="454"/>
      <c r="AII2" s="454"/>
      <c r="AIJ2" s="454"/>
      <c r="AIK2" s="454"/>
      <c r="AIL2" s="454"/>
      <c r="AIM2" s="454"/>
      <c r="AIN2" s="454"/>
      <c r="AIO2" s="454"/>
      <c r="AIP2" s="454"/>
      <c r="AIQ2" s="454"/>
      <c r="AIR2" s="454"/>
      <c r="AIS2" s="454"/>
      <c r="AIT2" s="454"/>
      <c r="AIU2" s="454"/>
      <c r="AIV2" s="454"/>
      <c r="AIW2" s="454"/>
      <c r="AIX2" s="454"/>
      <c r="AIY2" s="454"/>
      <c r="AIZ2" s="454"/>
      <c r="AJA2" s="454" t="s">
        <v>682</v>
      </c>
      <c r="AJB2" s="454"/>
      <c r="AJC2" s="454"/>
      <c r="AJD2" s="454"/>
      <c r="AJE2" s="454"/>
      <c r="AJF2" s="454"/>
      <c r="AJG2" s="454"/>
      <c r="AJH2" s="454"/>
      <c r="AJI2" s="454"/>
      <c r="AJJ2" s="454"/>
      <c r="AJK2" s="454"/>
      <c r="AJL2" s="454"/>
      <c r="AJM2" s="454"/>
      <c r="AJN2" s="454"/>
      <c r="AJO2" s="454"/>
      <c r="AJP2" s="454"/>
      <c r="AJQ2" s="454"/>
      <c r="AJR2" s="454"/>
      <c r="AJS2" s="454"/>
      <c r="AJT2" s="454"/>
      <c r="AJU2" s="454"/>
      <c r="AJV2" s="454"/>
      <c r="AJW2" s="454"/>
      <c r="AJX2" s="454"/>
      <c r="AJY2" s="454"/>
      <c r="AJZ2" s="454"/>
      <c r="AKA2" s="454" t="s">
        <v>682</v>
      </c>
      <c r="AKB2" s="454"/>
      <c r="AKC2" s="454"/>
      <c r="AKD2" s="454"/>
      <c r="AKE2" s="454"/>
      <c r="AKF2" s="454"/>
      <c r="AKG2" s="454"/>
      <c r="AKH2" s="454"/>
      <c r="AKI2" s="454"/>
      <c r="AKJ2" s="454"/>
      <c r="AKK2" s="454"/>
      <c r="AKL2" s="454"/>
      <c r="AKM2" s="454"/>
      <c r="AKN2" s="454"/>
      <c r="AKO2" s="454"/>
      <c r="AKP2" s="454"/>
      <c r="AKQ2" s="454"/>
      <c r="AKR2" s="454"/>
      <c r="AKS2" s="454"/>
      <c r="AKT2" s="454"/>
      <c r="AKU2" s="454"/>
      <c r="AKV2" s="454"/>
      <c r="AKW2" s="454"/>
      <c r="AKX2" s="454"/>
      <c r="AKY2" s="454"/>
      <c r="AKZ2" s="454"/>
    </row>
    <row r="3" spans="1:988" ht="25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</row>
    <row r="4" spans="1:988" ht="29.25" customHeight="1" x14ac:dyDescent="0.4">
      <c r="A4" s="2" t="s">
        <v>72</v>
      </c>
      <c r="B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 t="s">
        <v>72</v>
      </c>
      <c r="AB4" s="1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2" t="s">
        <v>72</v>
      </c>
      <c r="BB4" s="1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2" t="s">
        <v>72</v>
      </c>
      <c r="CB4" s="1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2" t="s">
        <v>72</v>
      </c>
      <c r="DB4" s="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2" t="s">
        <v>72</v>
      </c>
      <c r="EB4" s="1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2" t="s">
        <v>72</v>
      </c>
      <c r="FB4" s="1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2" t="s">
        <v>72</v>
      </c>
      <c r="GB4" s="1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2" t="s">
        <v>72</v>
      </c>
      <c r="HB4" s="1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2" t="s">
        <v>72</v>
      </c>
      <c r="IB4" s="1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2" t="s">
        <v>72</v>
      </c>
      <c r="JB4" s="1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2" t="s">
        <v>72</v>
      </c>
      <c r="KB4" s="1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2" t="s">
        <v>72</v>
      </c>
      <c r="LB4" s="1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2" t="s">
        <v>72</v>
      </c>
      <c r="MB4" s="1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2" t="s">
        <v>72</v>
      </c>
      <c r="NB4" s="1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2" t="s">
        <v>72</v>
      </c>
      <c r="OB4" s="1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2" t="s">
        <v>72</v>
      </c>
      <c r="PB4" s="1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2" t="s">
        <v>72</v>
      </c>
      <c r="QB4" s="1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2" t="s">
        <v>72</v>
      </c>
      <c r="RB4" s="1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2" t="s">
        <v>72</v>
      </c>
      <c r="SB4" s="1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2" t="s">
        <v>72</v>
      </c>
      <c r="TB4" s="1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2" t="s">
        <v>72</v>
      </c>
      <c r="UB4" s="1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2" t="s">
        <v>72</v>
      </c>
      <c r="VB4" s="1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2" t="s">
        <v>72</v>
      </c>
      <c r="WB4" s="1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2" t="s">
        <v>72</v>
      </c>
      <c r="XB4" s="1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2" t="s">
        <v>72</v>
      </c>
      <c r="YB4" s="1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2" t="s">
        <v>72</v>
      </c>
      <c r="ZB4" s="1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2" t="s">
        <v>72</v>
      </c>
      <c r="AAB4" s="1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2" t="s">
        <v>72</v>
      </c>
      <c r="ABB4" s="1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2" t="s">
        <v>72</v>
      </c>
      <c r="ACB4" s="1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2" t="s">
        <v>72</v>
      </c>
      <c r="ADB4" s="1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2" t="s">
        <v>72</v>
      </c>
      <c r="AEB4" s="1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2" t="s">
        <v>72</v>
      </c>
      <c r="AFB4" s="1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2" t="s">
        <v>72</v>
      </c>
      <c r="AGB4" s="1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2" t="s">
        <v>72</v>
      </c>
      <c r="AHB4" s="1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2" t="s">
        <v>72</v>
      </c>
      <c r="AIB4" s="1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2" t="s">
        <v>72</v>
      </c>
      <c r="AJB4" s="1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2" t="s">
        <v>72</v>
      </c>
      <c r="AKB4" s="1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</row>
    <row r="5" spans="1:988" ht="29.25" customHeight="1" x14ac:dyDescent="0.4">
      <c r="A5" s="1" t="s">
        <v>71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 t="s">
        <v>71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" t="s">
        <v>71</v>
      </c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" t="s">
        <v>71</v>
      </c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1" t="s">
        <v>71</v>
      </c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1" t="s">
        <v>71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1" t="s">
        <v>71</v>
      </c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1" t="s">
        <v>71</v>
      </c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1" t="s">
        <v>71</v>
      </c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1" t="s">
        <v>71</v>
      </c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1" t="s">
        <v>71</v>
      </c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1" t="s">
        <v>71</v>
      </c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1" t="s">
        <v>71</v>
      </c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1" t="s">
        <v>71</v>
      </c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1" t="s">
        <v>71</v>
      </c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1" t="s">
        <v>71</v>
      </c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1" t="s">
        <v>71</v>
      </c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1" t="s">
        <v>71</v>
      </c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1" t="s">
        <v>71</v>
      </c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1" t="s">
        <v>71</v>
      </c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1" t="s">
        <v>71</v>
      </c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1" t="s">
        <v>71</v>
      </c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1" t="s">
        <v>71</v>
      </c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1" t="s">
        <v>71</v>
      </c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1" t="s">
        <v>71</v>
      </c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1" t="s">
        <v>71</v>
      </c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1" t="s">
        <v>71</v>
      </c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1" t="s">
        <v>71</v>
      </c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1" t="s">
        <v>71</v>
      </c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1" t="s">
        <v>71</v>
      </c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1" t="s">
        <v>71</v>
      </c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1" t="s">
        <v>71</v>
      </c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1" t="s">
        <v>71</v>
      </c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1" t="s">
        <v>71</v>
      </c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1" t="s">
        <v>71</v>
      </c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1" t="s">
        <v>71</v>
      </c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1" t="s">
        <v>71</v>
      </c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1" t="s">
        <v>71</v>
      </c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</row>
    <row r="6" spans="1:988" ht="27" customHeight="1" x14ac:dyDescent="0.4">
      <c r="A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1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1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1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1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1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1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1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1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1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1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1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1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1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1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1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1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1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1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1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1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1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1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1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1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1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1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1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1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1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1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1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1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1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</row>
    <row r="7" spans="1:988" ht="21.75" customHeight="1" x14ac:dyDescent="0.4">
      <c r="A7" s="1" t="s">
        <v>0</v>
      </c>
      <c r="B7" s="1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 t="s">
        <v>0</v>
      </c>
      <c r="AB7" s="1"/>
      <c r="AD7" s="4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" t="s">
        <v>0</v>
      </c>
      <c r="BB7" s="1"/>
      <c r="BD7" s="4"/>
      <c r="BE7" s="4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" t="s">
        <v>0</v>
      </c>
      <c r="CB7" s="1"/>
      <c r="CD7" s="4"/>
      <c r="CE7" s="4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" t="s">
        <v>0</v>
      </c>
      <c r="DB7" s="1"/>
      <c r="DD7" s="4"/>
      <c r="DE7" s="4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1" t="s">
        <v>0</v>
      </c>
      <c r="EB7" s="1"/>
      <c r="ED7" s="4"/>
      <c r="EE7" s="4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1" t="s">
        <v>0</v>
      </c>
      <c r="FB7" s="1"/>
      <c r="FD7" s="4"/>
      <c r="FE7" s="4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1" t="s">
        <v>0</v>
      </c>
      <c r="GB7" s="1"/>
      <c r="GD7" s="4"/>
      <c r="GE7" s="4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1" t="s">
        <v>0</v>
      </c>
      <c r="HB7" s="1"/>
      <c r="HD7" s="4"/>
      <c r="HE7" s="4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1" t="s">
        <v>0</v>
      </c>
      <c r="IB7" s="1"/>
      <c r="ID7" s="4"/>
      <c r="IE7" s="4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1" t="s">
        <v>0</v>
      </c>
      <c r="JB7" s="1"/>
      <c r="JD7" s="4"/>
      <c r="JE7" s="4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1" t="s">
        <v>0</v>
      </c>
      <c r="KB7" s="1"/>
      <c r="KD7" s="4"/>
      <c r="KE7" s="4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1" t="s">
        <v>0</v>
      </c>
      <c r="LB7" s="1"/>
      <c r="LD7" s="4"/>
      <c r="LE7" s="4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1" t="s">
        <v>0</v>
      </c>
      <c r="MB7" s="1"/>
      <c r="MD7" s="4"/>
      <c r="ME7" s="4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1" t="s">
        <v>0</v>
      </c>
      <c r="NB7" s="1"/>
      <c r="ND7" s="4"/>
      <c r="NE7" s="4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1" t="s">
        <v>0</v>
      </c>
      <c r="OB7" s="1"/>
      <c r="OD7" s="4"/>
      <c r="OE7" s="4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1" t="s">
        <v>0</v>
      </c>
      <c r="PB7" s="1"/>
      <c r="PD7" s="4"/>
      <c r="PE7" s="4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1" t="s">
        <v>0</v>
      </c>
      <c r="QB7" s="1"/>
      <c r="QD7" s="4"/>
      <c r="QE7" s="4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1" t="s">
        <v>0</v>
      </c>
      <c r="RB7" s="1"/>
      <c r="RD7" s="4"/>
      <c r="RE7" s="4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1" t="s">
        <v>0</v>
      </c>
      <c r="SB7" s="1"/>
      <c r="SD7" s="4"/>
      <c r="SE7" s="4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1" t="s">
        <v>0</v>
      </c>
      <c r="TB7" s="1"/>
      <c r="TD7" s="4"/>
      <c r="TE7" s="4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1" t="s">
        <v>0</v>
      </c>
      <c r="UB7" s="1"/>
      <c r="UD7" s="4"/>
      <c r="UE7" s="4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1" t="s">
        <v>0</v>
      </c>
      <c r="VB7" s="1"/>
      <c r="VD7" s="4"/>
      <c r="VE7" s="4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1" t="s">
        <v>0</v>
      </c>
      <c r="WB7" s="1"/>
      <c r="WD7" s="4"/>
      <c r="WE7" s="4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1" t="s">
        <v>0</v>
      </c>
      <c r="XB7" s="1"/>
      <c r="XD7" s="4"/>
      <c r="XE7" s="4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1" t="s">
        <v>0</v>
      </c>
      <c r="YB7" s="1"/>
      <c r="YD7" s="4"/>
      <c r="YE7" s="4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1" t="s">
        <v>0</v>
      </c>
      <c r="ZB7" s="1"/>
      <c r="ZD7" s="4"/>
      <c r="ZE7" s="4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1" t="s">
        <v>0</v>
      </c>
      <c r="AAB7" s="1"/>
      <c r="AAD7" s="4"/>
      <c r="AAE7" s="4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1" t="s">
        <v>0</v>
      </c>
      <c r="ABB7" s="1"/>
      <c r="ABD7" s="4"/>
      <c r="ABE7" s="4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1" t="s">
        <v>0</v>
      </c>
      <c r="ACB7" s="1"/>
      <c r="ACD7" s="4"/>
      <c r="ACE7" s="4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1" t="s">
        <v>0</v>
      </c>
      <c r="ADB7" s="1"/>
      <c r="ADD7" s="4"/>
      <c r="ADE7" s="4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1" t="s">
        <v>0</v>
      </c>
      <c r="AEB7" s="1"/>
      <c r="AED7" s="4"/>
      <c r="AEE7" s="4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1" t="s">
        <v>0</v>
      </c>
      <c r="AFB7" s="1"/>
      <c r="AFD7" s="4"/>
      <c r="AFE7" s="4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1" t="s">
        <v>0</v>
      </c>
      <c r="AGB7" s="1"/>
      <c r="AGD7" s="4"/>
      <c r="AGE7" s="4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1" t="s">
        <v>0</v>
      </c>
      <c r="AHB7" s="1"/>
      <c r="AHD7" s="4"/>
      <c r="AHE7" s="4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1" t="s">
        <v>0</v>
      </c>
      <c r="AIB7" s="1"/>
      <c r="AID7" s="4"/>
      <c r="AIE7" s="4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1" t="s">
        <v>0</v>
      </c>
      <c r="AJB7" s="1"/>
      <c r="AJD7" s="4"/>
      <c r="AJE7" s="4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1" t="s">
        <v>0</v>
      </c>
      <c r="AKB7" s="1"/>
      <c r="AKD7" s="4"/>
      <c r="AKE7" s="4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</row>
    <row r="8" spans="1:988" ht="29.25" customHeight="1" x14ac:dyDescent="0.4">
      <c r="A8" s="1" t="s">
        <v>748</v>
      </c>
      <c r="B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 t="s">
        <v>748</v>
      </c>
      <c r="AB8" s="1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" t="s">
        <v>748</v>
      </c>
      <c r="BB8" s="1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1" t="s">
        <v>748</v>
      </c>
      <c r="CB8" s="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" t="s">
        <v>748</v>
      </c>
      <c r="DB8" s="1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1" t="s">
        <v>748</v>
      </c>
      <c r="EB8" s="1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1" t="s">
        <v>748</v>
      </c>
      <c r="FB8" s="1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1" t="s">
        <v>748</v>
      </c>
      <c r="GB8" s="1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1" t="s">
        <v>748</v>
      </c>
      <c r="HB8" s="1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1" t="s">
        <v>748</v>
      </c>
      <c r="IB8" s="1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1" t="s">
        <v>748</v>
      </c>
      <c r="JB8" s="1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1" t="s">
        <v>748</v>
      </c>
      <c r="KB8" s="1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1" t="s">
        <v>748</v>
      </c>
      <c r="LB8" s="1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1" t="s">
        <v>748</v>
      </c>
      <c r="MB8" s="1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1" t="s">
        <v>748</v>
      </c>
      <c r="NB8" s="1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1" t="s">
        <v>748</v>
      </c>
      <c r="OB8" s="1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1" t="s">
        <v>748</v>
      </c>
      <c r="PB8" s="1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1" t="s">
        <v>748</v>
      </c>
      <c r="QB8" s="1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1" t="s">
        <v>748</v>
      </c>
      <c r="RB8" s="1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1" t="s">
        <v>748</v>
      </c>
      <c r="SB8" s="1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1" t="s">
        <v>748</v>
      </c>
      <c r="TB8" s="1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1" t="s">
        <v>748</v>
      </c>
      <c r="UB8" s="1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1" t="s">
        <v>748</v>
      </c>
      <c r="VB8" s="1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1" t="s">
        <v>748</v>
      </c>
      <c r="WB8" s="1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1" t="s">
        <v>748</v>
      </c>
      <c r="XB8" s="1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1" t="s">
        <v>748</v>
      </c>
      <c r="YB8" s="1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1" t="s">
        <v>748</v>
      </c>
      <c r="ZB8" s="1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1" t="s">
        <v>748</v>
      </c>
      <c r="AAB8" s="1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1" t="s">
        <v>748</v>
      </c>
      <c r="ABB8" s="1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1" t="s">
        <v>748</v>
      </c>
      <c r="ACB8" s="1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1" t="s">
        <v>748</v>
      </c>
      <c r="ADB8" s="1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1" t="s">
        <v>748</v>
      </c>
      <c r="AEB8" s="1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1" t="s">
        <v>748</v>
      </c>
      <c r="AFB8" s="1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1" t="s">
        <v>748</v>
      </c>
      <c r="AGB8" s="1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1" t="s">
        <v>748</v>
      </c>
      <c r="AHB8" s="1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1" t="s">
        <v>748</v>
      </c>
      <c r="AIB8" s="1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1" t="s">
        <v>748</v>
      </c>
      <c r="AJB8" s="1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1" t="s">
        <v>748</v>
      </c>
      <c r="AKB8" s="1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</row>
    <row r="9" spans="1:988" ht="30" customHeight="1" x14ac:dyDescent="0.4">
      <c r="A9" s="553"/>
      <c r="B9" s="553"/>
      <c r="C9" s="553"/>
      <c r="D9" s="553"/>
      <c r="E9" s="39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640</v>
      </c>
      <c r="AA9" s="455"/>
      <c r="AB9" s="455"/>
      <c r="AC9" s="455"/>
      <c r="AD9" s="455"/>
      <c r="AE9" s="399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 t="s">
        <v>640</v>
      </c>
      <c r="BA9" s="455"/>
      <c r="BB9" s="455"/>
      <c r="BC9" s="455"/>
      <c r="BD9" s="455"/>
      <c r="BE9" s="399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 t="s">
        <v>640</v>
      </c>
      <c r="CA9" s="455"/>
      <c r="CB9" s="455"/>
      <c r="CC9" s="455"/>
      <c r="CD9" s="455"/>
      <c r="CE9" s="399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 t="s">
        <v>640</v>
      </c>
      <c r="DA9" s="455"/>
      <c r="DB9" s="455"/>
      <c r="DC9" s="455"/>
      <c r="DD9" s="455"/>
      <c r="DE9" s="399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 t="s">
        <v>640</v>
      </c>
      <c r="EA9" s="455"/>
      <c r="EB9" s="455"/>
      <c r="EC9" s="455"/>
      <c r="ED9" s="455"/>
      <c r="EE9" s="399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 t="s">
        <v>640</v>
      </c>
      <c r="FA9" s="455"/>
      <c r="FB9" s="455"/>
      <c r="FC9" s="455"/>
      <c r="FD9" s="455"/>
      <c r="FE9" s="399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 t="s">
        <v>640</v>
      </c>
      <c r="GA9" s="455"/>
      <c r="GB9" s="455"/>
      <c r="GC9" s="455"/>
      <c r="GD9" s="455"/>
      <c r="GE9" s="399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 t="s">
        <v>640</v>
      </c>
      <c r="HA9" s="455"/>
      <c r="HB9" s="455"/>
      <c r="HC9" s="455"/>
      <c r="HD9" s="455"/>
      <c r="HE9" s="399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 t="s">
        <v>291</v>
      </c>
      <c r="IA9" s="455"/>
      <c r="IB9" s="455"/>
      <c r="IC9" s="455"/>
      <c r="ID9" s="455"/>
      <c r="IE9" s="399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 t="s">
        <v>640</v>
      </c>
      <c r="JA9" s="455"/>
      <c r="JB9" s="455"/>
      <c r="JC9" s="455"/>
      <c r="JD9" s="455"/>
      <c r="JE9" s="399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 t="s">
        <v>640</v>
      </c>
      <c r="KA9" s="455"/>
      <c r="KB9" s="455"/>
      <c r="KC9" s="455"/>
      <c r="KD9" s="455"/>
      <c r="KE9" s="399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 t="s">
        <v>640</v>
      </c>
      <c r="LA9" s="455"/>
      <c r="LB9" s="455"/>
      <c r="LC9" s="455"/>
      <c r="LD9" s="455"/>
      <c r="LE9" s="399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 t="s">
        <v>640</v>
      </c>
      <c r="MA9" s="455"/>
      <c r="MB9" s="455"/>
      <c r="MC9" s="455"/>
      <c r="MD9" s="455"/>
      <c r="ME9" s="399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 t="s">
        <v>640</v>
      </c>
      <c r="NA9" s="455"/>
      <c r="NB9" s="455"/>
      <c r="NC9" s="455"/>
      <c r="ND9" s="455"/>
      <c r="NE9" s="399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 t="s">
        <v>291</v>
      </c>
      <c r="OA9" s="455"/>
      <c r="OB9" s="455"/>
      <c r="OC9" s="455"/>
      <c r="OD9" s="455"/>
      <c r="OE9" s="399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 t="s">
        <v>291</v>
      </c>
      <c r="PA9" s="455"/>
      <c r="PB9" s="455"/>
      <c r="PC9" s="455"/>
      <c r="PD9" s="455"/>
      <c r="PE9" s="399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 t="s">
        <v>640</v>
      </c>
      <c r="QA9" s="455"/>
      <c r="QB9" s="455"/>
      <c r="QC9" s="455"/>
      <c r="QD9" s="455"/>
      <c r="QE9" s="399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 t="s">
        <v>640</v>
      </c>
      <c r="RA9" s="455"/>
      <c r="RB9" s="455"/>
      <c r="RC9" s="455"/>
      <c r="RD9" s="455"/>
      <c r="RE9" s="399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 t="s">
        <v>291</v>
      </c>
      <c r="SA9" s="455"/>
      <c r="SB9" s="455"/>
      <c r="SC9" s="455"/>
      <c r="SD9" s="455"/>
      <c r="SE9" s="399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 t="s">
        <v>291</v>
      </c>
      <c r="TA9" s="455"/>
      <c r="TB9" s="455"/>
      <c r="TC9" s="455"/>
      <c r="TD9" s="455"/>
      <c r="TE9" s="399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 t="s">
        <v>291</v>
      </c>
      <c r="UA9" s="455"/>
      <c r="UB9" s="455"/>
      <c r="UC9" s="455"/>
      <c r="UD9" s="455"/>
      <c r="UE9" s="399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 t="s">
        <v>291</v>
      </c>
      <c r="VA9" s="455"/>
      <c r="VB9" s="455"/>
      <c r="VC9" s="455"/>
      <c r="VD9" s="455"/>
      <c r="VE9" s="399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 t="s">
        <v>291</v>
      </c>
      <c r="WA9" s="455"/>
      <c r="WB9" s="455"/>
      <c r="WC9" s="455"/>
      <c r="WD9" s="455"/>
      <c r="WE9" s="399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 t="s">
        <v>291</v>
      </c>
      <c r="XA9" s="455"/>
      <c r="XB9" s="455"/>
      <c r="XC9" s="455"/>
      <c r="XD9" s="455"/>
      <c r="XE9" s="399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 t="s">
        <v>291</v>
      </c>
      <c r="YA9" s="455"/>
      <c r="YB9" s="455"/>
      <c r="YC9" s="455"/>
      <c r="YD9" s="455"/>
      <c r="YE9" s="399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 t="s">
        <v>291</v>
      </c>
      <c r="ZA9" s="455"/>
      <c r="ZB9" s="455"/>
      <c r="ZC9" s="455"/>
      <c r="ZD9" s="455"/>
      <c r="ZE9" s="399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 t="s">
        <v>291</v>
      </c>
      <c r="AAA9" s="455"/>
      <c r="AAB9" s="455"/>
      <c r="AAC9" s="455"/>
      <c r="AAD9" s="455"/>
      <c r="AAE9" s="399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 t="s">
        <v>291</v>
      </c>
      <c r="ABA9" s="455"/>
      <c r="ABB9" s="455"/>
      <c r="ABC9" s="455"/>
      <c r="ABD9" s="455"/>
      <c r="ABE9" s="399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 t="s">
        <v>291</v>
      </c>
      <c r="ACA9" s="455"/>
      <c r="ACB9" s="455"/>
      <c r="ACC9" s="455"/>
      <c r="ACD9" s="455"/>
      <c r="ACE9" s="399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 t="s">
        <v>640</v>
      </c>
      <c r="ADA9" s="455"/>
      <c r="ADB9" s="455"/>
      <c r="ADC9" s="455"/>
      <c r="ADD9" s="455"/>
      <c r="ADE9" s="399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 t="s">
        <v>640</v>
      </c>
      <c r="AEA9" s="455"/>
      <c r="AEB9" s="455"/>
      <c r="AEC9" s="455"/>
      <c r="AED9" s="455"/>
      <c r="AEE9" s="399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 t="s">
        <v>640</v>
      </c>
      <c r="AFA9" s="455"/>
      <c r="AFB9" s="455"/>
      <c r="AFC9" s="455"/>
      <c r="AFD9" s="455"/>
      <c r="AFE9" s="399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 t="s">
        <v>640</v>
      </c>
      <c r="AGA9" s="455"/>
      <c r="AGB9" s="455"/>
      <c r="AGC9" s="455"/>
      <c r="AGD9" s="455"/>
      <c r="AGE9" s="399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 t="s">
        <v>640</v>
      </c>
      <c r="AHA9" s="455"/>
      <c r="AHB9" s="455"/>
      <c r="AHC9" s="455"/>
      <c r="AHD9" s="455"/>
      <c r="AHE9" s="399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 t="s">
        <v>640</v>
      </c>
      <c r="AIA9" s="455"/>
      <c r="AIB9" s="455"/>
      <c r="AIC9" s="455"/>
      <c r="AID9" s="455"/>
      <c r="AIE9" s="399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 t="s">
        <v>640</v>
      </c>
      <c r="AJA9" s="455"/>
      <c r="AJB9" s="455"/>
      <c r="AJC9" s="455"/>
      <c r="AJD9" s="455"/>
      <c r="AJE9" s="399"/>
      <c r="AJF9" s="6"/>
      <c r="AJG9" s="6"/>
      <c r="AJH9" s="6"/>
      <c r="AJI9" s="6"/>
      <c r="AJJ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 t="s">
        <v>640</v>
      </c>
      <c r="AKA9" s="455"/>
      <c r="AKB9" s="455"/>
      <c r="AKC9" s="455"/>
      <c r="AKD9" s="455"/>
      <c r="AKE9" s="399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 t="s">
        <v>640</v>
      </c>
    </row>
    <row r="10" spans="1:988" ht="30" customHeight="1" x14ac:dyDescent="0.4">
      <c r="A10" s="457" t="s">
        <v>684</v>
      </c>
      <c r="B10" s="459"/>
      <c r="C10" s="459"/>
      <c r="D10" s="459"/>
      <c r="E10" s="459"/>
      <c r="F10" s="460"/>
      <c r="G10" s="457">
        <v>1</v>
      </c>
      <c r="H10" s="459"/>
      <c r="I10" s="459"/>
      <c r="J10" s="459"/>
      <c r="K10" s="460"/>
      <c r="L10" s="457">
        <v>2</v>
      </c>
      <c r="M10" s="459"/>
      <c r="N10" s="459"/>
      <c r="O10" s="459"/>
      <c r="P10" s="460"/>
      <c r="Q10" s="457">
        <v>3</v>
      </c>
      <c r="R10" s="459"/>
      <c r="S10" s="459"/>
      <c r="T10" s="459"/>
      <c r="U10" s="460"/>
      <c r="V10" s="457">
        <v>4</v>
      </c>
      <c r="W10" s="459"/>
      <c r="X10" s="459"/>
      <c r="Y10" s="459"/>
      <c r="Z10" s="460"/>
      <c r="AA10" s="457" t="s">
        <v>684</v>
      </c>
      <c r="AB10" s="459"/>
      <c r="AC10" s="459"/>
      <c r="AD10" s="459"/>
      <c r="AE10" s="459"/>
      <c r="AF10" s="460"/>
      <c r="AG10" s="457">
        <v>5</v>
      </c>
      <c r="AH10" s="459"/>
      <c r="AI10" s="459"/>
      <c r="AJ10" s="459"/>
      <c r="AK10" s="460"/>
      <c r="AL10" s="457">
        <v>6</v>
      </c>
      <c r="AM10" s="459"/>
      <c r="AN10" s="459"/>
      <c r="AO10" s="459"/>
      <c r="AP10" s="460"/>
      <c r="AQ10" s="457">
        <v>7</v>
      </c>
      <c r="AR10" s="459"/>
      <c r="AS10" s="459"/>
      <c r="AT10" s="459"/>
      <c r="AU10" s="460"/>
      <c r="AV10" s="457">
        <v>8</v>
      </c>
      <c r="AW10" s="459"/>
      <c r="AX10" s="459"/>
      <c r="AY10" s="459"/>
      <c r="AZ10" s="460"/>
      <c r="BA10" s="457" t="s">
        <v>684</v>
      </c>
      <c r="BB10" s="459"/>
      <c r="BC10" s="459"/>
      <c r="BD10" s="459"/>
      <c r="BE10" s="459"/>
      <c r="BF10" s="460"/>
      <c r="BG10" s="457">
        <v>9</v>
      </c>
      <c r="BH10" s="459"/>
      <c r="BI10" s="459"/>
      <c r="BJ10" s="459"/>
      <c r="BK10" s="460"/>
      <c r="BL10" s="457">
        <v>10</v>
      </c>
      <c r="BM10" s="459"/>
      <c r="BN10" s="459"/>
      <c r="BO10" s="459"/>
      <c r="BP10" s="460"/>
      <c r="BQ10" s="457">
        <v>11</v>
      </c>
      <c r="BR10" s="459"/>
      <c r="BS10" s="459"/>
      <c r="BT10" s="459"/>
      <c r="BU10" s="460"/>
      <c r="BV10" s="457">
        <v>12</v>
      </c>
      <c r="BW10" s="459"/>
      <c r="BX10" s="459"/>
      <c r="BY10" s="459"/>
      <c r="BZ10" s="460"/>
      <c r="CA10" s="457" t="s">
        <v>684</v>
      </c>
      <c r="CB10" s="459"/>
      <c r="CC10" s="459"/>
      <c r="CD10" s="459"/>
      <c r="CE10" s="459"/>
      <c r="CF10" s="460"/>
      <c r="CG10" s="457">
        <v>13</v>
      </c>
      <c r="CH10" s="459"/>
      <c r="CI10" s="459"/>
      <c r="CJ10" s="459"/>
      <c r="CK10" s="460"/>
      <c r="CL10" s="457">
        <v>14</v>
      </c>
      <c r="CM10" s="459"/>
      <c r="CN10" s="459"/>
      <c r="CO10" s="459"/>
      <c r="CP10" s="460"/>
      <c r="CQ10" s="457">
        <v>15</v>
      </c>
      <c r="CR10" s="459"/>
      <c r="CS10" s="459"/>
      <c r="CT10" s="459"/>
      <c r="CU10" s="460"/>
      <c r="CV10" s="457">
        <v>16</v>
      </c>
      <c r="CW10" s="459"/>
      <c r="CX10" s="459"/>
      <c r="CY10" s="459"/>
      <c r="CZ10" s="460"/>
      <c r="DA10" s="457" t="s">
        <v>684</v>
      </c>
      <c r="DB10" s="459"/>
      <c r="DC10" s="459"/>
      <c r="DD10" s="459"/>
      <c r="DE10" s="459"/>
      <c r="DF10" s="460"/>
      <c r="DG10" s="457">
        <v>17</v>
      </c>
      <c r="DH10" s="459"/>
      <c r="DI10" s="459"/>
      <c r="DJ10" s="459"/>
      <c r="DK10" s="460"/>
      <c r="DL10" s="457">
        <v>18</v>
      </c>
      <c r="DM10" s="459"/>
      <c r="DN10" s="459"/>
      <c r="DO10" s="459"/>
      <c r="DP10" s="460"/>
      <c r="DQ10" s="457">
        <v>19</v>
      </c>
      <c r="DR10" s="459"/>
      <c r="DS10" s="459"/>
      <c r="DT10" s="459"/>
      <c r="DU10" s="460"/>
      <c r="DV10" s="457">
        <v>20</v>
      </c>
      <c r="DW10" s="459"/>
      <c r="DX10" s="459"/>
      <c r="DY10" s="459"/>
      <c r="DZ10" s="460"/>
      <c r="EA10" s="457" t="s">
        <v>684</v>
      </c>
      <c r="EB10" s="459"/>
      <c r="EC10" s="459"/>
      <c r="ED10" s="459"/>
      <c r="EE10" s="459"/>
      <c r="EF10" s="460"/>
      <c r="EG10" s="457">
        <v>21</v>
      </c>
      <c r="EH10" s="459"/>
      <c r="EI10" s="459"/>
      <c r="EJ10" s="459"/>
      <c r="EK10" s="460"/>
      <c r="EL10" s="457">
        <v>22</v>
      </c>
      <c r="EM10" s="459"/>
      <c r="EN10" s="459"/>
      <c r="EO10" s="459"/>
      <c r="EP10" s="460"/>
      <c r="EQ10" s="457">
        <v>23</v>
      </c>
      <c r="ER10" s="459"/>
      <c r="ES10" s="459"/>
      <c r="ET10" s="459"/>
      <c r="EU10" s="460"/>
      <c r="EV10" s="457">
        <v>24</v>
      </c>
      <c r="EW10" s="459"/>
      <c r="EX10" s="459"/>
      <c r="EY10" s="459"/>
      <c r="EZ10" s="460"/>
      <c r="FA10" s="457" t="s">
        <v>684</v>
      </c>
      <c r="FB10" s="459"/>
      <c r="FC10" s="459"/>
      <c r="FD10" s="459"/>
      <c r="FE10" s="459"/>
      <c r="FF10" s="460"/>
      <c r="FG10" s="457">
        <v>25</v>
      </c>
      <c r="FH10" s="459"/>
      <c r="FI10" s="459"/>
      <c r="FJ10" s="459"/>
      <c r="FK10" s="460"/>
      <c r="FL10" s="457">
        <v>26</v>
      </c>
      <c r="FM10" s="459"/>
      <c r="FN10" s="459"/>
      <c r="FO10" s="459"/>
      <c r="FP10" s="460"/>
      <c r="FQ10" s="457">
        <v>27</v>
      </c>
      <c r="FR10" s="459"/>
      <c r="FS10" s="459"/>
      <c r="FT10" s="459"/>
      <c r="FU10" s="460"/>
      <c r="FV10" s="457">
        <v>28</v>
      </c>
      <c r="FW10" s="459"/>
      <c r="FX10" s="459"/>
      <c r="FY10" s="459"/>
      <c r="FZ10" s="460"/>
      <c r="GA10" s="457" t="s">
        <v>684</v>
      </c>
      <c r="GB10" s="459"/>
      <c r="GC10" s="459"/>
      <c r="GD10" s="459"/>
      <c r="GE10" s="459"/>
      <c r="GF10" s="460"/>
      <c r="GG10" s="457">
        <v>29</v>
      </c>
      <c r="GH10" s="459"/>
      <c r="GI10" s="459"/>
      <c r="GJ10" s="459"/>
      <c r="GK10" s="460"/>
      <c r="GL10" s="457">
        <v>30</v>
      </c>
      <c r="GM10" s="459"/>
      <c r="GN10" s="459"/>
      <c r="GO10" s="459"/>
      <c r="GP10" s="460"/>
      <c r="GQ10" s="457">
        <v>31</v>
      </c>
      <c r="GR10" s="459"/>
      <c r="GS10" s="459"/>
      <c r="GT10" s="459"/>
      <c r="GU10" s="460"/>
      <c r="GV10" s="457">
        <v>32</v>
      </c>
      <c r="GW10" s="459"/>
      <c r="GX10" s="459"/>
      <c r="GY10" s="459"/>
      <c r="GZ10" s="460"/>
      <c r="HA10" s="457" t="s">
        <v>684</v>
      </c>
      <c r="HB10" s="459"/>
      <c r="HC10" s="459"/>
      <c r="HD10" s="459"/>
      <c r="HE10" s="459"/>
      <c r="HF10" s="460"/>
      <c r="HG10" s="457">
        <v>33</v>
      </c>
      <c r="HH10" s="459"/>
      <c r="HI10" s="459"/>
      <c r="HJ10" s="459"/>
      <c r="HK10" s="460"/>
      <c r="HL10" s="457">
        <v>34</v>
      </c>
      <c r="HM10" s="459"/>
      <c r="HN10" s="459"/>
      <c r="HO10" s="459"/>
      <c r="HP10" s="460"/>
      <c r="HQ10" s="457">
        <v>35</v>
      </c>
      <c r="HR10" s="459"/>
      <c r="HS10" s="459"/>
      <c r="HT10" s="459"/>
      <c r="HU10" s="460"/>
      <c r="HV10" s="457">
        <v>36</v>
      </c>
      <c r="HW10" s="459"/>
      <c r="HX10" s="459"/>
      <c r="HY10" s="459"/>
      <c r="HZ10" s="460"/>
      <c r="IA10" s="457" t="s">
        <v>684</v>
      </c>
      <c r="IB10" s="459"/>
      <c r="IC10" s="459"/>
      <c r="ID10" s="459"/>
      <c r="IE10" s="459"/>
      <c r="IF10" s="460"/>
      <c r="IG10" s="457">
        <v>37</v>
      </c>
      <c r="IH10" s="459"/>
      <c r="II10" s="459"/>
      <c r="IJ10" s="459"/>
      <c r="IK10" s="460"/>
      <c r="IL10" s="457">
        <v>38</v>
      </c>
      <c r="IM10" s="459"/>
      <c r="IN10" s="459"/>
      <c r="IO10" s="459"/>
      <c r="IP10" s="460"/>
      <c r="IQ10" s="457">
        <v>39</v>
      </c>
      <c r="IR10" s="459"/>
      <c r="IS10" s="459"/>
      <c r="IT10" s="459"/>
      <c r="IU10" s="460"/>
      <c r="IV10" s="457">
        <v>40</v>
      </c>
      <c r="IW10" s="459"/>
      <c r="IX10" s="459"/>
      <c r="IY10" s="459"/>
      <c r="IZ10" s="460"/>
      <c r="JA10" s="457" t="s">
        <v>684</v>
      </c>
      <c r="JB10" s="459"/>
      <c r="JC10" s="459"/>
      <c r="JD10" s="459"/>
      <c r="JE10" s="459"/>
      <c r="JF10" s="460"/>
      <c r="JG10" s="457">
        <v>41</v>
      </c>
      <c r="JH10" s="459"/>
      <c r="JI10" s="459"/>
      <c r="JJ10" s="459"/>
      <c r="JK10" s="460"/>
      <c r="JL10" s="457">
        <v>42</v>
      </c>
      <c r="JM10" s="459"/>
      <c r="JN10" s="459"/>
      <c r="JO10" s="459"/>
      <c r="JP10" s="460"/>
      <c r="JQ10" s="457">
        <v>43</v>
      </c>
      <c r="JR10" s="459"/>
      <c r="JS10" s="459"/>
      <c r="JT10" s="459"/>
      <c r="JU10" s="460"/>
      <c r="JV10" s="457">
        <v>44</v>
      </c>
      <c r="JW10" s="459"/>
      <c r="JX10" s="459"/>
      <c r="JY10" s="459"/>
      <c r="JZ10" s="460"/>
      <c r="KA10" s="457" t="s">
        <v>684</v>
      </c>
      <c r="KB10" s="459"/>
      <c r="KC10" s="459"/>
      <c r="KD10" s="459"/>
      <c r="KE10" s="459"/>
      <c r="KF10" s="460"/>
      <c r="KG10" s="457">
        <v>45</v>
      </c>
      <c r="KH10" s="459"/>
      <c r="KI10" s="459"/>
      <c r="KJ10" s="459"/>
      <c r="KK10" s="460"/>
      <c r="KL10" s="457">
        <v>46</v>
      </c>
      <c r="KM10" s="459"/>
      <c r="KN10" s="459"/>
      <c r="KO10" s="459"/>
      <c r="KP10" s="460"/>
      <c r="KQ10" s="457">
        <v>47</v>
      </c>
      <c r="KR10" s="459"/>
      <c r="KS10" s="459"/>
      <c r="KT10" s="459"/>
      <c r="KU10" s="460"/>
      <c r="KV10" s="457">
        <v>48</v>
      </c>
      <c r="KW10" s="459"/>
      <c r="KX10" s="459"/>
      <c r="KY10" s="459"/>
      <c r="KZ10" s="460"/>
      <c r="LA10" s="457" t="s">
        <v>684</v>
      </c>
      <c r="LB10" s="459"/>
      <c r="LC10" s="459"/>
      <c r="LD10" s="459"/>
      <c r="LE10" s="459"/>
      <c r="LF10" s="460"/>
      <c r="LG10" s="457">
        <v>49</v>
      </c>
      <c r="LH10" s="459"/>
      <c r="LI10" s="459"/>
      <c r="LJ10" s="459"/>
      <c r="LK10" s="460"/>
      <c r="LL10" s="457">
        <v>50</v>
      </c>
      <c r="LM10" s="459"/>
      <c r="LN10" s="459"/>
      <c r="LO10" s="459"/>
      <c r="LP10" s="460"/>
      <c r="LQ10" s="457">
        <v>51</v>
      </c>
      <c r="LR10" s="459"/>
      <c r="LS10" s="459"/>
      <c r="LT10" s="459"/>
      <c r="LU10" s="460"/>
      <c r="LV10" s="457">
        <v>52</v>
      </c>
      <c r="LW10" s="459"/>
      <c r="LX10" s="459"/>
      <c r="LY10" s="459"/>
      <c r="LZ10" s="460"/>
      <c r="MA10" s="457" t="s">
        <v>684</v>
      </c>
      <c r="MB10" s="459"/>
      <c r="MC10" s="459"/>
      <c r="MD10" s="459"/>
      <c r="ME10" s="459"/>
      <c r="MF10" s="460"/>
      <c r="MG10" s="457">
        <v>53</v>
      </c>
      <c r="MH10" s="459"/>
      <c r="MI10" s="459"/>
      <c r="MJ10" s="459"/>
      <c r="MK10" s="460"/>
      <c r="ML10" s="457">
        <v>54</v>
      </c>
      <c r="MM10" s="459"/>
      <c r="MN10" s="459"/>
      <c r="MO10" s="459"/>
      <c r="MP10" s="460"/>
      <c r="MQ10" s="457">
        <v>55</v>
      </c>
      <c r="MR10" s="459"/>
      <c r="MS10" s="459"/>
      <c r="MT10" s="459"/>
      <c r="MU10" s="460"/>
      <c r="MV10" s="457">
        <v>56</v>
      </c>
      <c r="MW10" s="459"/>
      <c r="MX10" s="459"/>
      <c r="MY10" s="459"/>
      <c r="MZ10" s="460"/>
      <c r="NA10" s="457" t="s">
        <v>684</v>
      </c>
      <c r="NB10" s="459"/>
      <c r="NC10" s="459"/>
      <c r="ND10" s="459"/>
      <c r="NE10" s="459"/>
      <c r="NF10" s="460"/>
      <c r="NG10" s="457">
        <v>57</v>
      </c>
      <c r="NH10" s="459"/>
      <c r="NI10" s="459"/>
      <c r="NJ10" s="459"/>
      <c r="NK10" s="460"/>
      <c r="NL10" s="457">
        <v>58</v>
      </c>
      <c r="NM10" s="459"/>
      <c r="NN10" s="459"/>
      <c r="NO10" s="459"/>
      <c r="NP10" s="460"/>
      <c r="NQ10" s="457">
        <v>59</v>
      </c>
      <c r="NR10" s="459"/>
      <c r="NS10" s="459"/>
      <c r="NT10" s="459"/>
      <c r="NU10" s="460"/>
      <c r="NV10" s="457">
        <v>60</v>
      </c>
      <c r="NW10" s="459"/>
      <c r="NX10" s="459"/>
      <c r="NY10" s="459"/>
      <c r="NZ10" s="460"/>
      <c r="OA10" s="457" t="s">
        <v>684</v>
      </c>
      <c r="OB10" s="459"/>
      <c r="OC10" s="459"/>
      <c r="OD10" s="459"/>
      <c r="OE10" s="459"/>
      <c r="OF10" s="460"/>
      <c r="OG10" s="457">
        <v>61</v>
      </c>
      <c r="OH10" s="459"/>
      <c r="OI10" s="459"/>
      <c r="OJ10" s="459"/>
      <c r="OK10" s="460"/>
      <c r="OL10" s="457">
        <v>62</v>
      </c>
      <c r="OM10" s="459"/>
      <c r="ON10" s="459"/>
      <c r="OO10" s="459"/>
      <c r="OP10" s="460"/>
      <c r="OQ10" s="457">
        <v>63</v>
      </c>
      <c r="OR10" s="459"/>
      <c r="OS10" s="459"/>
      <c r="OT10" s="459"/>
      <c r="OU10" s="460"/>
      <c r="OV10" s="457">
        <v>64</v>
      </c>
      <c r="OW10" s="459"/>
      <c r="OX10" s="459"/>
      <c r="OY10" s="459"/>
      <c r="OZ10" s="460"/>
      <c r="PA10" s="457" t="s">
        <v>684</v>
      </c>
      <c r="PB10" s="459"/>
      <c r="PC10" s="459"/>
      <c r="PD10" s="459"/>
      <c r="PE10" s="459"/>
      <c r="PF10" s="460"/>
      <c r="PG10" s="457">
        <v>65</v>
      </c>
      <c r="PH10" s="459"/>
      <c r="PI10" s="459"/>
      <c r="PJ10" s="459"/>
      <c r="PK10" s="460"/>
      <c r="PL10" s="457">
        <v>66</v>
      </c>
      <c r="PM10" s="459"/>
      <c r="PN10" s="459"/>
      <c r="PO10" s="459"/>
      <c r="PP10" s="460"/>
      <c r="PQ10" s="457">
        <v>67</v>
      </c>
      <c r="PR10" s="459"/>
      <c r="PS10" s="459"/>
      <c r="PT10" s="459"/>
      <c r="PU10" s="460"/>
      <c r="PV10" s="457">
        <v>68</v>
      </c>
      <c r="PW10" s="459"/>
      <c r="PX10" s="459"/>
      <c r="PY10" s="459"/>
      <c r="PZ10" s="460"/>
      <c r="QA10" s="461" t="s">
        <v>684</v>
      </c>
      <c r="QB10" s="461"/>
      <c r="QC10" s="461"/>
      <c r="QD10" s="461"/>
      <c r="QE10" s="461"/>
      <c r="QF10" s="461"/>
      <c r="QG10" s="457">
        <v>69</v>
      </c>
      <c r="QH10" s="459"/>
      <c r="QI10" s="459"/>
      <c r="QJ10" s="459"/>
      <c r="QK10" s="460"/>
      <c r="QL10" s="457">
        <v>70</v>
      </c>
      <c r="QM10" s="459"/>
      <c r="QN10" s="459"/>
      <c r="QO10" s="459"/>
      <c r="QP10" s="460"/>
      <c r="QQ10" s="457">
        <v>71</v>
      </c>
      <c r="QR10" s="459"/>
      <c r="QS10" s="459"/>
      <c r="QT10" s="459"/>
      <c r="QU10" s="460"/>
      <c r="QV10" s="457">
        <v>72</v>
      </c>
      <c r="QW10" s="459"/>
      <c r="QX10" s="459"/>
      <c r="QY10" s="459"/>
      <c r="QZ10" s="460"/>
      <c r="RA10" s="457" t="s">
        <v>684</v>
      </c>
      <c r="RB10" s="459"/>
      <c r="RC10" s="459"/>
      <c r="RD10" s="459"/>
      <c r="RE10" s="459"/>
      <c r="RF10" s="460"/>
      <c r="RG10" s="457">
        <v>73</v>
      </c>
      <c r="RH10" s="459"/>
      <c r="RI10" s="459"/>
      <c r="RJ10" s="459"/>
      <c r="RK10" s="460"/>
      <c r="RL10" s="457">
        <v>74</v>
      </c>
      <c r="RM10" s="459"/>
      <c r="RN10" s="459"/>
      <c r="RO10" s="459"/>
      <c r="RP10" s="460"/>
      <c r="RQ10" s="457">
        <v>75</v>
      </c>
      <c r="RR10" s="459"/>
      <c r="RS10" s="459"/>
      <c r="RT10" s="459"/>
      <c r="RU10" s="459"/>
      <c r="RV10" s="461">
        <v>76</v>
      </c>
      <c r="RW10" s="461"/>
      <c r="RX10" s="461"/>
      <c r="RY10" s="461"/>
      <c r="RZ10" s="461"/>
      <c r="SA10" s="457" t="s">
        <v>684</v>
      </c>
      <c r="SB10" s="459"/>
      <c r="SC10" s="459"/>
      <c r="SD10" s="459"/>
      <c r="SE10" s="459"/>
      <c r="SF10" s="460"/>
      <c r="SG10" s="457">
        <v>77</v>
      </c>
      <c r="SH10" s="459"/>
      <c r="SI10" s="459"/>
      <c r="SJ10" s="459"/>
      <c r="SK10" s="460"/>
      <c r="SL10" s="457">
        <v>78</v>
      </c>
      <c r="SM10" s="459"/>
      <c r="SN10" s="459"/>
      <c r="SO10" s="459"/>
      <c r="SP10" s="460"/>
      <c r="SQ10" s="457">
        <v>79</v>
      </c>
      <c r="SR10" s="459"/>
      <c r="SS10" s="459"/>
      <c r="ST10" s="459"/>
      <c r="SU10" s="460"/>
      <c r="SV10" s="457">
        <v>80</v>
      </c>
      <c r="SW10" s="459"/>
      <c r="SX10" s="459"/>
      <c r="SY10" s="459"/>
      <c r="SZ10" s="460"/>
      <c r="TA10" s="457" t="s">
        <v>684</v>
      </c>
      <c r="TB10" s="459"/>
      <c r="TC10" s="459"/>
      <c r="TD10" s="459"/>
      <c r="TE10" s="459"/>
      <c r="TF10" s="460"/>
      <c r="TG10" s="457">
        <v>81</v>
      </c>
      <c r="TH10" s="459"/>
      <c r="TI10" s="459"/>
      <c r="TJ10" s="459"/>
      <c r="TK10" s="460"/>
      <c r="TL10" s="457">
        <v>82</v>
      </c>
      <c r="TM10" s="459"/>
      <c r="TN10" s="459"/>
      <c r="TO10" s="459"/>
      <c r="TP10" s="460"/>
      <c r="TQ10" s="457">
        <v>83</v>
      </c>
      <c r="TR10" s="459"/>
      <c r="TS10" s="459"/>
      <c r="TT10" s="459"/>
      <c r="TU10" s="460"/>
      <c r="TV10" s="457">
        <v>84</v>
      </c>
      <c r="TW10" s="459"/>
      <c r="TX10" s="459"/>
      <c r="TY10" s="459"/>
      <c r="TZ10" s="460"/>
      <c r="UA10" s="457" t="s">
        <v>684</v>
      </c>
      <c r="UB10" s="459"/>
      <c r="UC10" s="459"/>
      <c r="UD10" s="459"/>
      <c r="UE10" s="459"/>
      <c r="UF10" s="460"/>
      <c r="UG10" s="457">
        <v>85</v>
      </c>
      <c r="UH10" s="459"/>
      <c r="UI10" s="459"/>
      <c r="UJ10" s="459"/>
      <c r="UK10" s="459"/>
      <c r="UL10" s="457" t="s">
        <v>750</v>
      </c>
      <c r="UM10" s="459"/>
      <c r="UN10" s="459"/>
      <c r="UO10" s="459"/>
      <c r="UP10" s="460"/>
      <c r="UQ10" s="457">
        <v>87</v>
      </c>
      <c r="UR10" s="459"/>
      <c r="US10" s="459"/>
      <c r="UT10" s="459"/>
      <c r="UU10" s="460"/>
      <c r="UV10" s="457">
        <v>88</v>
      </c>
      <c r="UW10" s="459"/>
      <c r="UX10" s="459"/>
      <c r="UY10" s="459"/>
      <c r="UZ10" s="460"/>
      <c r="VA10" s="457" t="s">
        <v>684</v>
      </c>
      <c r="VB10" s="459"/>
      <c r="VC10" s="459"/>
      <c r="VD10" s="459"/>
      <c r="VE10" s="459"/>
      <c r="VF10" s="460"/>
      <c r="VG10" s="457">
        <v>89</v>
      </c>
      <c r="VH10" s="459"/>
      <c r="VI10" s="459"/>
      <c r="VJ10" s="459"/>
      <c r="VK10" s="460"/>
      <c r="VL10" s="457">
        <v>90</v>
      </c>
      <c r="VM10" s="459"/>
      <c r="VN10" s="459"/>
      <c r="VO10" s="459"/>
      <c r="VP10" s="460"/>
      <c r="VQ10" s="457">
        <v>91</v>
      </c>
      <c r="VR10" s="459"/>
      <c r="VS10" s="459"/>
      <c r="VT10" s="459"/>
      <c r="VU10" s="460"/>
      <c r="VV10" s="457">
        <v>92</v>
      </c>
      <c r="VW10" s="459"/>
      <c r="VX10" s="459"/>
      <c r="VY10" s="459"/>
      <c r="VZ10" s="460"/>
      <c r="WA10" s="457" t="s">
        <v>684</v>
      </c>
      <c r="WB10" s="459"/>
      <c r="WC10" s="459"/>
      <c r="WD10" s="459"/>
      <c r="WE10" s="459"/>
      <c r="WF10" s="460"/>
      <c r="WG10" s="457">
        <v>93</v>
      </c>
      <c r="WH10" s="459"/>
      <c r="WI10" s="459"/>
      <c r="WJ10" s="459"/>
      <c r="WK10" s="460"/>
      <c r="WL10" s="457">
        <v>94</v>
      </c>
      <c r="WM10" s="459"/>
      <c r="WN10" s="459"/>
      <c r="WO10" s="459"/>
      <c r="WP10" s="460"/>
      <c r="WQ10" s="457">
        <v>95</v>
      </c>
      <c r="WR10" s="459"/>
      <c r="WS10" s="459"/>
      <c r="WT10" s="459"/>
      <c r="WU10" s="460"/>
      <c r="WV10" s="457">
        <v>96</v>
      </c>
      <c r="WW10" s="459"/>
      <c r="WX10" s="459"/>
      <c r="WY10" s="459"/>
      <c r="WZ10" s="460"/>
      <c r="XA10" s="457" t="s">
        <v>684</v>
      </c>
      <c r="XB10" s="459"/>
      <c r="XC10" s="459"/>
      <c r="XD10" s="459"/>
      <c r="XE10" s="459"/>
      <c r="XF10" s="460"/>
      <c r="XG10" s="457">
        <v>97</v>
      </c>
      <c r="XH10" s="459"/>
      <c r="XI10" s="459"/>
      <c r="XJ10" s="459"/>
      <c r="XK10" s="460"/>
      <c r="XL10" s="457">
        <v>98</v>
      </c>
      <c r="XM10" s="459"/>
      <c r="XN10" s="459"/>
      <c r="XO10" s="459"/>
      <c r="XP10" s="460"/>
      <c r="XQ10" s="457">
        <v>99</v>
      </c>
      <c r="XR10" s="459"/>
      <c r="XS10" s="459"/>
      <c r="XT10" s="459"/>
      <c r="XU10" s="460"/>
      <c r="XV10" s="457">
        <v>100</v>
      </c>
      <c r="XW10" s="459"/>
      <c r="XX10" s="459"/>
      <c r="XY10" s="459"/>
      <c r="XZ10" s="460"/>
      <c r="YA10" s="457" t="s">
        <v>684</v>
      </c>
      <c r="YB10" s="459"/>
      <c r="YC10" s="459"/>
      <c r="YD10" s="459"/>
      <c r="YE10" s="459"/>
      <c r="YF10" s="460"/>
      <c r="YG10" s="457">
        <v>101</v>
      </c>
      <c r="YH10" s="459"/>
      <c r="YI10" s="459"/>
      <c r="YJ10" s="459"/>
      <c r="YK10" s="460"/>
      <c r="YL10" s="457">
        <v>102</v>
      </c>
      <c r="YM10" s="459"/>
      <c r="YN10" s="459"/>
      <c r="YO10" s="459"/>
      <c r="YP10" s="460"/>
      <c r="YQ10" s="457">
        <v>103</v>
      </c>
      <c r="YR10" s="459"/>
      <c r="YS10" s="459"/>
      <c r="YT10" s="459"/>
      <c r="YU10" s="460"/>
      <c r="YV10" s="457">
        <v>104</v>
      </c>
      <c r="YW10" s="459"/>
      <c r="YX10" s="459"/>
      <c r="YY10" s="459"/>
      <c r="YZ10" s="460"/>
      <c r="ZA10" s="457" t="s">
        <v>684</v>
      </c>
      <c r="ZB10" s="459"/>
      <c r="ZC10" s="459"/>
      <c r="ZD10" s="459"/>
      <c r="ZE10" s="459"/>
      <c r="ZF10" s="460"/>
      <c r="ZG10" s="457">
        <v>105</v>
      </c>
      <c r="ZH10" s="459"/>
      <c r="ZI10" s="459"/>
      <c r="ZJ10" s="459"/>
      <c r="ZK10" s="460"/>
      <c r="ZL10" s="457">
        <v>106</v>
      </c>
      <c r="ZM10" s="459"/>
      <c r="ZN10" s="459"/>
      <c r="ZO10" s="459"/>
      <c r="ZP10" s="460"/>
      <c r="ZQ10" s="457">
        <v>107</v>
      </c>
      <c r="ZR10" s="459"/>
      <c r="ZS10" s="459"/>
      <c r="ZT10" s="459"/>
      <c r="ZU10" s="460"/>
      <c r="ZV10" s="457">
        <v>108</v>
      </c>
      <c r="ZW10" s="459"/>
      <c r="ZX10" s="459"/>
      <c r="ZY10" s="459"/>
      <c r="ZZ10" s="460"/>
      <c r="AAA10" s="457" t="s">
        <v>684</v>
      </c>
      <c r="AAB10" s="459"/>
      <c r="AAC10" s="459"/>
      <c r="AAD10" s="459"/>
      <c r="AAE10" s="459"/>
      <c r="AAF10" s="460"/>
      <c r="AAG10" s="457">
        <v>109</v>
      </c>
      <c r="AAH10" s="459"/>
      <c r="AAI10" s="459"/>
      <c r="AAJ10" s="459"/>
      <c r="AAK10" s="460"/>
      <c r="AAL10" s="457">
        <v>110</v>
      </c>
      <c r="AAM10" s="459"/>
      <c r="AAN10" s="459"/>
      <c r="AAO10" s="459"/>
      <c r="AAP10" s="460"/>
      <c r="AAQ10" s="457">
        <v>111</v>
      </c>
      <c r="AAR10" s="459"/>
      <c r="AAS10" s="459"/>
      <c r="AAT10" s="459"/>
      <c r="AAU10" s="460"/>
      <c r="AAV10" s="457">
        <v>112</v>
      </c>
      <c r="AAW10" s="459"/>
      <c r="AAX10" s="459"/>
      <c r="AAY10" s="459"/>
      <c r="AAZ10" s="460"/>
      <c r="ABA10" s="457" t="s">
        <v>684</v>
      </c>
      <c r="ABB10" s="459"/>
      <c r="ABC10" s="459"/>
      <c r="ABD10" s="459"/>
      <c r="ABE10" s="459"/>
      <c r="ABF10" s="460"/>
      <c r="ABG10" s="457">
        <v>113</v>
      </c>
      <c r="ABH10" s="459"/>
      <c r="ABI10" s="459"/>
      <c r="ABJ10" s="459"/>
      <c r="ABK10" s="460"/>
      <c r="ABL10" s="457">
        <v>114</v>
      </c>
      <c r="ABM10" s="459"/>
      <c r="ABN10" s="459"/>
      <c r="ABO10" s="459"/>
      <c r="ABP10" s="460"/>
      <c r="ABQ10" s="457">
        <v>115</v>
      </c>
      <c r="ABR10" s="459"/>
      <c r="ABS10" s="459"/>
      <c r="ABT10" s="459"/>
      <c r="ABU10" s="460"/>
      <c r="ABV10" s="457">
        <v>116</v>
      </c>
      <c r="ABW10" s="459"/>
      <c r="ABX10" s="459"/>
      <c r="ABY10" s="459"/>
      <c r="ABZ10" s="460"/>
      <c r="ACA10" s="457" t="s">
        <v>684</v>
      </c>
      <c r="ACB10" s="459"/>
      <c r="ACC10" s="459"/>
      <c r="ACD10" s="459"/>
      <c r="ACE10" s="459"/>
      <c r="ACF10" s="460"/>
      <c r="ACG10" s="457">
        <v>117</v>
      </c>
      <c r="ACH10" s="459"/>
      <c r="ACI10" s="459"/>
      <c r="ACJ10" s="459"/>
      <c r="ACK10" s="460"/>
      <c r="ACL10" s="457">
        <v>118</v>
      </c>
      <c r="ACM10" s="459"/>
      <c r="ACN10" s="459"/>
      <c r="ACO10" s="459"/>
      <c r="ACP10" s="460"/>
      <c r="ACQ10" s="457">
        <v>119</v>
      </c>
      <c r="ACR10" s="459"/>
      <c r="ACS10" s="459"/>
      <c r="ACT10" s="459"/>
      <c r="ACU10" s="460"/>
      <c r="ACV10" s="457">
        <v>120</v>
      </c>
      <c r="ACW10" s="459"/>
      <c r="ACX10" s="459"/>
      <c r="ACY10" s="459"/>
      <c r="ACZ10" s="460"/>
      <c r="ADA10" s="457" t="s">
        <v>684</v>
      </c>
      <c r="ADB10" s="459"/>
      <c r="ADC10" s="459"/>
      <c r="ADD10" s="459"/>
      <c r="ADE10" s="459"/>
      <c r="ADF10" s="460"/>
      <c r="ADG10" s="457">
        <v>121</v>
      </c>
      <c r="ADH10" s="459"/>
      <c r="ADI10" s="459"/>
      <c r="ADJ10" s="459"/>
      <c r="ADK10" s="460"/>
      <c r="ADL10" s="457">
        <v>122</v>
      </c>
      <c r="ADM10" s="459"/>
      <c r="ADN10" s="459"/>
      <c r="ADO10" s="459"/>
      <c r="ADP10" s="460"/>
      <c r="ADQ10" s="457">
        <v>123</v>
      </c>
      <c r="ADR10" s="459"/>
      <c r="ADS10" s="459"/>
      <c r="ADT10" s="459"/>
      <c r="ADU10" s="460"/>
      <c r="ADV10" s="457">
        <v>124</v>
      </c>
      <c r="ADW10" s="459"/>
      <c r="ADX10" s="459"/>
      <c r="ADY10" s="459"/>
      <c r="ADZ10" s="460"/>
      <c r="AEA10" s="457" t="s">
        <v>684</v>
      </c>
      <c r="AEB10" s="459"/>
      <c r="AEC10" s="459"/>
      <c r="AED10" s="459"/>
      <c r="AEE10" s="459"/>
      <c r="AEF10" s="460"/>
      <c r="AEG10" s="457">
        <v>125</v>
      </c>
      <c r="AEH10" s="459"/>
      <c r="AEI10" s="459"/>
      <c r="AEJ10" s="459"/>
      <c r="AEK10" s="460"/>
      <c r="AEL10" s="457">
        <v>126</v>
      </c>
      <c r="AEM10" s="459"/>
      <c r="AEN10" s="459"/>
      <c r="AEO10" s="459"/>
      <c r="AEP10" s="460"/>
      <c r="AEQ10" s="457">
        <v>127</v>
      </c>
      <c r="AER10" s="459"/>
      <c r="AES10" s="459"/>
      <c r="AET10" s="459"/>
      <c r="AEU10" s="460"/>
      <c r="AEV10" s="457">
        <v>128</v>
      </c>
      <c r="AEW10" s="459"/>
      <c r="AEX10" s="459"/>
      <c r="AEY10" s="459"/>
      <c r="AEZ10" s="460"/>
      <c r="AFA10" s="457" t="s">
        <v>684</v>
      </c>
      <c r="AFB10" s="459"/>
      <c r="AFC10" s="459"/>
      <c r="AFD10" s="459"/>
      <c r="AFE10" s="459"/>
      <c r="AFF10" s="460"/>
      <c r="AFG10" s="457">
        <v>129</v>
      </c>
      <c r="AFH10" s="459"/>
      <c r="AFI10" s="459"/>
      <c r="AFJ10" s="459"/>
      <c r="AFK10" s="460"/>
      <c r="AFL10" s="457">
        <v>130</v>
      </c>
      <c r="AFM10" s="459"/>
      <c r="AFN10" s="459"/>
      <c r="AFO10" s="459"/>
      <c r="AFP10" s="460"/>
      <c r="AFQ10" s="457">
        <v>131</v>
      </c>
      <c r="AFR10" s="459"/>
      <c r="AFS10" s="459"/>
      <c r="AFT10" s="459"/>
      <c r="AFU10" s="460"/>
      <c r="AFV10" s="457">
        <v>132</v>
      </c>
      <c r="AFW10" s="459"/>
      <c r="AFX10" s="459"/>
      <c r="AFY10" s="459"/>
      <c r="AFZ10" s="460"/>
      <c r="AGA10" s="457" t="s">
        <v>684</v>
      </c>
      <c r="AGB10" s="459"/>
      <c r="AGC10" s="459"/>
      <c r="AGD10" s="459"/>
      <c r="AGE10" s="459"/>
      <c r="AGF10" s="460"/>
      <c r="AGG10" s="457">
        <v>133</v>
      </c>
      <c r="AGH10" s="459"/>
      <c r="AGI10" s="459"/>
      <c r="AGJ10" s="459"/>
      <c r="AGK10" s="460"/>
      <c r="AGL10" s="457">
        <v>134</v>
      </c>
      <c r="AGM10" s="459"/>
      <c r="AGN10" s="459"/>
      <c r="AGO10" s="459"/>
      <c r="AGP10" s="460"/>
      <c r="AGQ10" s="457">
        <v>135</v>
      </c>
      <c r="AGR10" s="459"/>
      <c r="AGS10" s="459"/>
      <c r="AGT10" s="459"/>
      <c r="AGU10" s="460"/>
      <c r="AGV10" s="457">
        <v>136</v>
      </c>
      <c r="AGW10" s="459"/>
      <c r="AGX10" s="459"/>
      <c r="AGY10" s="459"/>
      <c r="AGZ10" s="460"/>
      <c r="AHA10" s="457" t="s">
        <v>684</v>
      </c>
      <c r="AHB10" s="459"/>
      <c r="AHC10" s="459"/>
      <c r="AHD10" s="459"/>
      <c r="AHE10" s="459"/>
      <c r="AHF10" s="460"/>
      <c r="AHG10" s="457">
        <v>137</v>
      </c>
      <c r="AHH10" s="459"/>
      <c r="AHI10" s="459"/>
      <c r="AHJ10" s="459"/>
      <c r="AHK10" s="460"/>
      <c r="AHL10" s="457">
        <v>138</v>
      </c>
      <c r="AHM10" s="459"/>
      <c r="AHN10" s="459"/>
      <c r="AHO10" s="459"/>
      <c r="AHP10" s="460"/>
      <c r="AHQ10" s="457">
        <v>139</v>
      </c>
      <c r="AHR10" s="459"/>
      <c r="AHS10" s="459"/>
      <c r="AHT10" s="459"/>
      <c r="AHU10" s="460"/>
      <c r="AHV10" s="457">
        <v>140</v>
      </c>
      <c r="AHW10" s="459"/>
      <c r="AHX10" s="459"/>
      <c r="AHY10" s="459"/>
      <c r="AHZ10" s="460"/>
      <c r="AIA10" s="457" t="s">
        <v>684</v>
      </c>
      <c r="AIB10" s="459"/>
      <c r="AIC10" s="459"/>
      <c r="AID10" s="459"/>
      <c r="AIE10" s="459"/>
      <c r="AIF10" s="460"/>
      <c r="AIG10" s="457">
        <v>141</v>
      </c>
      <c r="AIH10" s="459"/>
      <c r="AII10" s="459"/>
      <c r="AIJ10" s="459"/>
      <c r="AIK10" s="460"/>
      <c r="AIL10" s="457">
        <v>142</v>
      </c>
      <c r="AIM10" s="459"/>
      <c r="AIN10" s="459"/>
      <c r="AIO10" s="459"/>
      <c r="AIP10" s="460"/>
      <c r="AIQ10" s="457">
        <v>143</v>
      </c>
      <c r="AIR10" s="459"/>
      <c r="AIS10" s="459"/>
      <c r="AIT10" s="459"/>
      <c r="AIU10" s="460"/>
      <c r="AIV10" s="457">
        <v>144</v>
      </c>
      <c r="AIW10" s="459"/>
      <c r="AIX10" s="459"/>
      <c r="AIY10" s="459"/>
      <c r="AIZ10" s="460"/>
      <c r="AJA10" s="457" t="s">
        <v>684</v>
      </c>
      <c r="AJB10" s="459"/>
      <c r="AJC10" s="459"/>
      <c r="AJD10" s="459"/>
      <c r="AJE10" s="459"/>
      <c r="AJF10" s="460"/>
      <c r="AJG10" s="457">
        <v>145</v>
      </c>
      <c r="AJH10" s="459"/>
      <c r="AJI10" s="459"/>
      <c r="AJJ10" s="459"/>
      <c r="AJK10" s="460"/>
      <c r="AJL10" s="457">
        <v>146</v>
      </c>
      <c r="AJM10" s="459"/>
      <c r="AJN10" s="459"/>
      <c r="AJO10" s="459"/>
      <c r="AJP10" s="460"/>
      <c r="AJQ10" s="457">
        <v>147</v>
      </c>
      <c r="AJR10" s="459"/>
      <c r="AJS10" s="459"/>
      <c r="AJT10" s="459"/>
      <c r="AJU10" s="460"/>
      <c r="AJV10" s="457">
        <v>148</v>
      </c>
      <c r="AJW10" s="459"/>
      <c r="AJX10" s="459"/>
      <c r="AJY10" s="459"/>
      <c r="AJZ10" s="460"/>
      <c r="AKA10" s="457" t="s">
        <v>684</v>
      </c>
      <c r="AKB10" s="459"/>
      <c r="AKC10" s="459"/>
      <c r="AKD10" s="459"/>
      <c r="AKE10" s="459"/>
      <c r="AKF10" s="460"/>
      <c r="AKG10" s="457">
        <v>149</v>
      </c>
      <c r="AKH10" s="459"/>
      <c r="AKI10" s="459"/>
      <c r="AKJ10" s="459"/>
      <c r="AKK10" s="460"/>
      <c r="AKL10" s="457">
        <v>150</v>
      </c>
      <c r="AKM10" s="459"/>
      <c r="AKN10" s="459"/>
      <c r="AKO10" s="459"/>
      <c r="AKP10" s="460"/>
      <c r="AKQ10" s="457">
        <v>151</v>
      </c>
      <c r="AKR10" s="459"/>
      <c r="AKS10" s="459"/>
      <c r="AKT10" s="459"/>
      <c r="AKU10" s="460"/>
      <c r="AKV10" s="457"/>
      <c r="AKW10" s="459"/>
      <c r="AKX10" s="459"/>
      <c r="AKY10" s="460"/>
      <c r="AKZ10" s="400"/>
    </row>
    <row r="11" spans="1:988" ht="45" customHeight="1" x14ac:dyDescent="0.4">
      <c r="A11" s="554" t="s">
        <v>14</v>
      </c>
      <c r="B11" s="512" t="s">
        <v>13</v>
      </c>
      <c r="C11" s="458"/>
      <c r="D11" s="458"/>
      <c r="E11" s="458"/>
      <c r="F11" s="465"/>
      <c r="G11" s="468">
        <v>44651</v>
      </c>
      <c r="H11" s="469"/>
      <c r="I11" s="469"/>
      <c r="J11" s="470"/>
      <c r="K11" s="401">
        <v>44652</v>
      </c>
      <c r="L11" s="468">
        <v>44652</v>
      </c>
      <c r="M11" s="469"/>
      <c r="N11" s="469"/>
      <c r="O11" s="470"/>
      <c r="P11" s="401">
        <v>44653</v>
      </c>
      <c r="Q11" s="468">
        <v>44653</v>
      </c>
      <c r="R11" s="469"/>
      <c r="S11" s="469"/>
      <c r="T11" s="470"/>
      <c r="U11" s="401">
        <v>44654</v>
      </c>
      <c r="V11" s="468">
        <v>44654</v>
      </c>
      <c r="W11" s="469"/>
      <c r="X11" s="469"/>
      <c r="Y11" s="470"/>
      <c r="Z11" s="401">
        <v>44655</v>
      </c>
      <c r="AA11" s="554" t="s">
        <v>14</v>
      </c>
      <c r="AB11" s="512" t="s">
        <v>13</v>
      </c>
      <c r="AC11" s="458"/>
      <c r="AD11" s="458"/>
      <c r="AE11" s="458"/>
      <c r="AF11" s="465"/>
      <c r="AG11" s="468">
        <v>44655</v>
      </c>
      <c r="AH11" s="469"/>
      <c r="AI11" s="469"/>
      <c r="AJ11" s="470"/>
      <c r="AK11" s="401">
        <v>44656</v>
      </c>
      <c r="AL11" s="468">
        <v>44656</v>
      </c>
      <c r="AM11" s="469"/>
      <c r="AN11" s="469"/>
      <c r="AO11" s="470"/>
      <c r="AP11" s="401">
        <v>44657</v>
      </c>
      <c r="AQ11" s="468">
        <v>44657</v>
      </c>
      <c r="AR11" s="469"/>
      <c r="AS11" s="469"/>
      <c r="AT11" s="470"/>
      <c r="AU11" s="401">
        <v>44658</v>
      </c>
      <c r="AV11" s="468">
        <v>44658</v>
      </c>
      <c r="AW11" s="469"/>
      <c r="AX11" s="469"/>
      <c r="AY11" s="470"/>
      <c r="AZ11" s="401">
        <v>44659</v>
      </c>
      <c r="BA11" s="554" t="s">
        <v>14</v>
      </c>
      <c r="BB11" s="512" t="s">
        <v>13</v>
      </c>
      <c r="BC11" s="458"/>
      <c r="BD11" s="458"/>
      <c r="BE11" s="458"/>
      <c r="BF11" s="465"/>
      <c r="BG11" s="468">
        <v>44659</v>
      </c>
      <c r="BH11" s="469"/>
      <c r="BI11" s="469"/>
      <c r="BJ11" s="470"/>
      <c r="BK11" s="401">
        <v>44660</v>
      </c>
      <c r="BL11" s="468">
        <v>44660</v>
      </c>
      <c r="BM11" s="469"/>
      <c r="BN11" s="469"/>
      <c r="BO11" s="470"/>
      <c r="BP11" s="401">
        <v>44661</v>
      </c>
      <c r="BQ11" s="468">
        <v>44662</v>
      </c>
      <c r="BR11" s="469"/>
      <c r="BS11" s="469"/>
      <c r="BT11" s="470"/>
      <c r="BU11" s="401">
        <v>44663</v>
      </c>
      <c r="BV11" s="468">
        <v>44663</v>
      </c>
      <c r="BW11" s="469"/>
      <c r="BX11" s="469"/>
      <c r="BY11" s="470"/>
      <c r="BZ11" s="401">
        <v>44664</v>
      </c>
      <c r="CA11" s="554" t="s">
        <v>14</v>
      </c>
      <c r="CB11" s="512" t="s">
        <v>13</v>
      </c>
      <c r="CC11" s="458"/>
      <c r="CD11" s="458"/>
      <c r="CE11" s="458"/>
      <c r="CF11" s="465"/>
      <c r="CG11" s="468">
        <v>44665</v>
      </c>
      <c r="CH11" s="469"/>
      <c r="CI11" s="469"/>
      <c r="CJ11" s="470"/>
      <c r="CK11" s="401">
        <v>44666</v>
      </c>
      <c r="CL11" s="468">
        <v>44666</v>
      </c>
      <c r="CM11" s="469"/>
      <c r="CN11" s="469"/>
      <c r="CO11" s="470"/>
      <c r="CP11" s="401">
        <v>44667</v>
      </c>
      <c r="CQ11" s="468">
        <v>44667</v>
      </c>
      <c r="CR11" s="469"/>
      <c r="CS11" s="469"/>
      <c r="CT11" s="470"/>
      <c r="CU11" s="401">
        <v>44668</v>
      </c>
      <c r="CV11" s="468">
        <v>44668</v>
      </c>
      <c r="CW11" s="469"/>
      <c r="CX11" s="469"/>
      <c r="CY11" s="470"/>
      <c r="CZ11" s="401">
        <v>44669</v>
      </c>
      <c r="DA11" s="554" t="s">
        <v>14</v>
      </c>
      <c r="DB11" s="512" t="s">
        <v>13</v>
      </c>
      <c r="DC11" s="458"/>
      <c r="DD11" s="458"/>
      <c r="DE11" s="458"/>
      <c r="DF11" s="465"/>
      <c r="DG11" s="468">
        <v>44669</v>
      </c>
      <c r="DH11" s="469"/>
      <c r="DI11" s="469"/>
      <c r="DJ11" s="470"/>
      <c r="DK11" s="401">
        <v>44670</v>
      </c>
      <c r="DL11" s="468">
        <v>44670</v>
      </c>
      <c r="DM11" s="469"/>
      <c r="DN11" s="469"/>
      <c r="DO11" s="470"/>
      <c r="DP11" s="401">
        <v>44671</v>
      </c>
      <c r="DQ11" s="468">
        <v>44672</v>
      </c>
      <c r="DR11" s="469"/>
      <c r="DS11" s="469"/>
      <c r="DT11" s="470"/>
      <c r="DU11" s="401">
        <v>44673</v>
      </c>
      <c r="DV11" s="468">
        <v>44674</v>
      </c>
      <c r="DW11" s="469"/>
      <c r="DX11" s="469"/>
      <c r="DY11" s="470"/>
      <c r="DZ11" s="401">
        <v>44675</v>
      </c>
      <c r="EA11" s="554" t="s">
        <v>14</v>
      </c>
      <c r="EB11" s="512" t="s">
        <v>13</v>
      </c>
      <c r="EC11" s="458"/>
      <c r="ED11" s="458"/>
      <c r="EE11" s="458"/>
      <c r="EF11" s="465"/>
      <c r="EG11" s="468">
        <v>44675</v>
      </c>
      <c r="EH11" s="469"/>
      <c r="EI11" s="469"/>
      <c r="EJ11" s="470"/>
      <c r="EK11" s="401">
        <v>44676</v>
      </c>
      <c r="EL11" s="468">
        <v>44678</v>
      </c>
      <c r="EM11" s="469"/>
      <c r="EN11" s="469"/>
      <c r="EO11" s="470"/>
      <c r="EP11" s="401">
        <v>44679</v>
      </c>
      <c r="EQ11" s="468">
        <v>44680</v>
      </c>
      <c r="ER11" s="469"/>
      <c r="ES11" s="469"/>
      <c r="ET11" s="470"/>
      <c r="EU11" s="401">
        <v>44681</v>
      </c>
      <c r="EV11" s="468">
        <v>44681</v>
      </c>
      <c r="EW11" s="469"/>
      <c r="EX11" s="469"/>
      <c r="EY11" s="470"/>
      <c r="EZ11" s="401">
        <v>44682</v>
      </c>
      <c r="FA11" s="554" t="s">
        <v>14</v>
      </c>
      <c r="FB11" s="512" t="s">
        <v>13</v>
      </c>
      <c r="FC11" s="458"/>
      <c r="FD11" s="458"/>
      <c r="FE11" s="458"/>
      <c r="FF11" s="465"/>
      <c r="FG11" s="468">
        <v>44682</v>
      </c>
      <c r="FH11" s="469"/>
      <c r="FI11" s="469"/>
      <c r="FJ11" s="470"/>
      <c r="FK11" s="401">
        <v>44683</v>
      </c>
      <c r="FL11" s="468">
        <v>44683</v>
      </c>
      <c r="FM11" s="469"/>
      <c r="FN11" s="469"/>
      <c r="FO11" s="470"/>
      <c r="FP11" s="401">
        <v>44684</v>
      </c>
      <c r="FQ11" s="468">
        <v>44684</v>
      </c>
      <c r="FR11" s="469"/>
      <c r="FS11" s="469"/>
      <c r="FT11" s="470"/>
      <c r="FU11" s="401">
        <v>44685</v>
      </c>
      <c r="FV11" s="468">
        <v>44685</v>
      </c>
      <c r="FW11" s="469"/>
      <c r="FX11" s="469"/>
      <c r="FY11" s="470"/>
      <c r="FZ11" s="401">
        <v>44686</v>
      </c>
      <c r="GA11" s="554" t="s">
        <v>14</v>
      </c>
      <c r="GB11" s="512" t="s">
        <v>13</v>
      </c>
      <c r="GC11" s="458"/>
      <c r="GD11" s="458"/>
      <c r="GE11" s="458"/>
      <c r="GF11" s="465"/>
      <c r="GG11" s="468">
        <v>44686</v>
      </c>
      <c r="GH11" s="469"/>
      <c r="GI11" s="469"/>
      <c r="GJ11" s="470"/>
      <c r="GK11" s="401">
        <v>44687</v>
      </c>
      <c r="GL11" s="468">
        <v>44687</v>
      </c>
      <c r="GM11" s="469"/>
      <c r="GN11" s="469"/>
      <c r="GO11" s="470"/>
      <c r="GP11" s="401">
        <v>44688</v>
      </c>
      <c r="GQ11" s="468">
        <v>44688</v>
      </c>
      <c r="GR11" s="469"/>
      <c r="GS11" s="469"/>
      <c r="GT11" s="470"/>
      <c r="GU11" s="401">
        <v>44689</v>
      </c>
      <c r="GV11" s="468">
        <v>44694</v>
      </c>
      <c r="GW11" s="469"/>
      <c r="GX11" s="469"/>
      <c r="GY11" s="470"/>
      <c r="GZ11" s="401">
        <v>44695</v>
      </c>
      <c r="HA11" s="554" t="s">
        <v>14</v>
      </c>
      <c r="HB11" s="512" t="s">
        <v>13</v>
      </c>
      <c r="HC11" s="458"/>
      <c r="HD11" s="458"/>
      <c r="HE11" s="458"/>
      <c r="HF11" s="465"/>
      <c r="HG11" s="468">
        <v>44695</v>
      </c>
      <c r="HH11" s="469"/>
      <c r="HI11" s="469"/>
      <c r="HJ11" s="470"/>
      <c r="HK11" s="401">
        <v>44696</v>
      </c>
      <c r="HL11" s="468">
        <v>44696</v>
      </c>
      <c r="HM11" s="469"/>
      <c r="HN11" s="469"/>
      <c r="HO11" s="470"/>
      <c r="HP11" s="401">
        <v>44697</v>
      </c>
      <c r="HQ11" s="468">
        <v>44697</v>
      </c>
      <c r="HR11" s="469"/>
      <c r="HS11" s="469"/>
      <c r="HT11" s="470"/>
      <c r="HU11" s="401">
        <v>44698</v>
      </c>
      <c r="HV11" s="468">
        <v>44698</v>
      </c>
      <c r="HW11" s="469"/>
      <c r="HX11" s="469"/>
      <c r="HY11" s="470"/>
      <c r="HZ11" s="401">
        <v>44699</v>
      </c>
      <c r="IA11" s="554" t="s">
        <v>14</v>
      </c>
      <c r="IB11" s="512" t="s">
        <v>13</v>
      </c>
      <c r="IC11" s="458"/>
      <c r="ID11" s="458"/>
      <c r="IE11" s="458"/>
      <c r="IF11" s="465"/>
      <c r="IG11" s="468">
        <v>44701</v>
      </c>
      <c r="IH11" s="469"/>
      <c r="II11" s="469"/>
      <c r="IJ11" s="470"/>
      <c r="IK11" s="401">
        <v>44702</v>
      </c>
      <c r="IL11" s="468">
        <v>44702</v>
      </c>
      <c r="IM11" s="469"/>
      <c r="IN11" s="469"/>
      <c r="IO11" s="470"/>
      <c r="IP11" s="401">
        <v>44703</v>
      </c>
      <c r="IQ11" s="468">
        <v>44709</v>
      </c>
      <c r="IR11" s="469"/>
      <c r="IS11" s="469"/>
      <c r="IT11" s="470"/>
      <c r="IU11" s="401">
        <v>44710</v>
      </c>
      <c r="IV11" s="468">
        <v>44719</v>
      </c>
      <c r="IW11" s="469"/>
      <c r="IX11" s="469"/>
      <c r="IY11" s="470"/>
      <c r="IZ11" s="401">
        <v>44720</v>
      </c>
      <c r="JA11" s="554" t="s">
        <v>14</v>
      </c>
      <c r="JB11" s="512" t="s">
        <v>13</v>
      </c>
      <c r="JC11" s="458"/>
      <c r="JD11" s="458"/>
      <c r="JE11" s="458"/>
      <c r="JF11" s="465"/>
      <c r="JG11" s="468">
        <v>44723</v>
      </c>
      <c r="JH11" s="469"/>
      <c r="JI11" s="469"/>
      <c r="JJ11" s="470"/>
      <c r="JK11" s="401">
        <v>44724</v>
      </c>
      <c r="JL11" s="468">
        <v>44765</v>
      </c>
      <c r="JM11" s="469"/>
      <c r="JN11" s="469"/>
      <c r="JO11" s="470"/>
      <c r="JP11" s="401">
        <v>44766</v>
      </c>
      <c r="JQ11" s="468">
        <v>44800</v>
      </c>
      <c r="JR11" s="469"/>
      <c r="JS11" s="469"/>
      <c r="JT11" s="470"/>
      <c r="JU11" s="401">
        <v>44801</v>
      </c>
      <c r="JV11" s="468">
        <v>44813</v>
      </c>
      <c r="JW11" s="469"/>
      <c r="JX11" s="469"/>
      <c r="JY11" s="470"/>
      <c r="JZ11" s="401">
        <v>44814</v>
      </c>
      <c r="KA11" s="554" t="s">
        <v>14</v>
      </c>
      <c r="KB11" s="512" t="s">
        <v>13</v>
      </c>
      <c r="KC11" s="458"/>
      <c r="KD11" s="458"/>
      <c r="KE11" s="458"/>
      <c r="KF11" s="465"/>
      <c r="KG11" s="468">
        <v>44814</v>
      </c>
      <c r="KH11" s="469"/>
      <c r="KI11" s="469"/>
      <c r="KJ11" s="470"/>
      <c r="KK11" s="401">
        <v>44815</v>
      </c>
      <c r="KL11" s="468">
        <v>44823</v>
      </c>
      <c r="KM11" s="469"/>
      <c r="KN11" s="469"/>
      <c r="KO11" s="470"/>
      <c r="KP11" s="401">
        <v>44824</v>
      </c>
      <c r="KQ11" s="468">
        <v>44827</v>
      </c>
      <c r="KR11" s="469"/>
      <c r="KS11" s="469"/>
      <c r="KT11" s="470"/>
      <c r="KU11" s="401">
        <v>44828</v>
      </c>
      <c r="KV11" s="468">
        <v>44828</v>
      </c>
      <c r="KW11" s="469"/>
      <c r="KX11" s="469"/>
      <c r="KY11" s="470"/>
      <c r="KZ11" s="401">
        <v>44829</v>
      </c>
      <c r="LA11" s="554" t="s">
        <v>14</v>
      </c>
      <c r="LB11" s="512" t="s">
        <v>13</v>
      </c>
      <c r="LC11" s="458"/>
      <c r="LD11" s="458"/>
      <c r="LE11" s="458"/>
      <c r="LF11" s="465"/>
      <c r="LG11" s="468">
        <v>44834</v>
      </c>
      <c r="LH11" s="469"/>
      <c r="LI11" s="469"/>
      <c r="LJ11" s="470"/>
      <c r="LK11" s="401">
        <v>44835</v>
      </c>
      <c r="LL11" s="468">
        <v>44835</v>
      </c>
      <c r="LM11" s="469"/>
      <c r="LN11" s="469"/>
      <c r="LO11" s="470"/>
      <c r="LP11" s="401">
        <v>44836</v>
      </c>
      <c r="LQ11" s="468">
        <v>44841</v>
      </c>
      <c r="LR11" s="469"/>
      <c r="LS11" s="469"/>
      <c r="LT11" s="470"/>
      <c r="LU11" s="401">
        <v>44842</v>
      </c>
      <c r="LV11" s="468">
        <v>44843</v>
      </c>
      <c r="LW11" s="469"/>
      <c r="LX11" s="469"/>
      <c r="LY11" s="470"/>
      <c r="LZ11" s="401">
        <v>44844</v>
      </c>
      <c r="MA11" s="554" t="s">
        <v>14</v>
      </c>
      <c r="MB11" s="512" t="s">
        <v>13</v>
      </c>
      <c r="MC11" s="458"/>
      <c r="MD11" s="458"/>
      <c r="ME11" s="458"/>
      <c r="MF11" s="465"/>
      <c r="MG11" s="468">
        <v>44844</v>
      </c>
      <c r="MH11" s="469"/>
      <c r="MI11" s="469"/>
      <c r="MJ11" s="470"/>
      <c r="MK11" s="401">
        <v>44845</v>
      </c>
      <c r="ML11" s="468">
        <v>44845</v>
      </c>
      <c r="MM11" s="469"/>
      <c r="MN11" s="469"/>
      <c r="MO11" s="470"/>
      <c r="MP11" s="401">
        <v>44846</v>
      </c>
      <c r="MQ11" s="468">
        <v>44846</v>
      </c>
      <c r="MR11" s="469"/>
      <c r="MS11" s="469"/>
      <c r="MT11" s="470"/>
      <c r="MU11" s="401">
        <v>44847</v>
      </c>
      <c r="MV11" s="468">
        <v>44847</v>
      </c>
      <c r="MW11" s="469"/>
      <c r="MX11" s="469"/>
      <c r="MY11" s="470"/>
      <c r="MZ11" s="401">
        <v>44848</v>
      </c>
      <c r="NA11" s="554" t="s">
        <v>14</v>
      </c>
      <c r="NB11" s="512" t="s">
        <v>13</v>
      </c>
      <c r="NC11" s="458"/>
      <c r="ND11" s="458"/>
      <c r="NE11" s="458"/>
      <c r="NF11" s="465"/>
      <c r="NG11" s="468">
        <v>44848</v>
      </c>
      <c r="NH11" s="469"/>
      <c r="NI11" s="469"/>
      <c r="NJ11" s="470"/>
      <c r="NK11" s="401">
        <v>44849</v>
      </c>
      <c r="NL11" s="468">
        <v>44849</v>
      </c>
      <c r="NM11" s="469"/>
      <c r="NN11" s="469"/>
      <c r="NO11" s="470"/>
      <c r="NP11" s="401">
        <v>44850</v>
      </c>
      <c r="NQ11" s="468">
        <v>44851</v>
      </c>
      <c r="NR11" s="469"/>
      <c r="NS11" s="469"/>
      <c r="NT11" s="470"/>
      <c r="NU11" s="401">
        <v>44852</v>
      </c>
      <c r="NV11" s="468">
        <v>44852</v>
      </c>
      <c r="NW11" s="469"/>
      <c r="NX11" s="469"/>
      <c r="NY11" s="470"/>
      <c r="NZ11" s="401">
        <v>44853</v>
      </c>
      <c r="OA11" s="554" t="s">
        <v>14</v>
      </c>
      <c r="OB11" s="512" t="s">
        <v>13</v>
      </c>
      <c r="OC11" s="458"/>
      <c r="OD11" s="458"/>
      <c r="OE11" s="458"/>
      <c r="OF11" s="465"/>
      <c r="OG11" s="468">
        <v>44853</v>
      </c>
      <c r="OH11" s="469"/>
      <c r="OI11" s="469"/>
      <c r="OJ11" s="470"/>
      <c r="OK11" s="401">
        <v>44854</v>
      </c>
      <c r="OL11" s="468">
        <v>44856</v>
      </c>
      <c r="OM11" s="469"/>
      <c r="ON11" s="469"/>
      <c r="OO11" s="470"/>
      <c r="OP11" s="401">
        <v>44857</v>
      </c>
      <c r="OQ11" s="468">
        <v>44857</v>
      </c>
      <c r="OR11" s="469"/>
      <c r="OS11" s="469"/>
      <c r="OT11" s="470"/>
      <c r="OU11" s="401">
        <v>44858</v>
      </c>
      <c r="OV11" s="468">
        <v>44858</v>
      </c>
      <c r="OW11" s="469"/>
      <c r="OX11" s="469"/>
      <c r="OY11" s="470"/>
      <c r="OZ11" s="401">
        <v>44859</v>
      </c>
      <c r="PA11" s="554" t="s">
        <v>14</v>
      </c>
      <c r="PB11" s="512" t="s">
        <v>13</v>
      </c>
      <c r="PC11" s="458"/>
      <c r="PD11" s="458"/>
      <c r="PE11" s="458"/>
      <c r="PF11" s="465"/>
      <c r="PG11" s="468">
        <v>44859</v>
      </c>
      <c r="PH11" s="469"/>
      <c r="PI11" s="469"/>
      <c r="PJ11" s="470"/>
      <c r="PK11" s="401">
        <v>44860</v>
      </c>
      <c r="PL11" s="468">
        <v>44861</v>
      </c>
      <c r="PM11" s="469"/>
      <c r="PN11" s="469"/>
      <c r="PO11" s="470"/>
      <c r="PP11" s="401">
        <v>44862</v>
      </c>
      <c r="PQ11" s="468">
        <v>44862</v>
      </c>
      <c r="PR11" s="469"/>
      <c r="PS11" s="469"/>
      <c r="PT11" s="470"/>
      <c r="PU11" s="401">
        <v>44863</v>
      </c>
      <c r="PV11" s="468">
        <v>44863</v>
      </c>
      <c r="PW11" s="469"/>
      <c r="PX11" s="469"/>
      <c r="PY11" s="470"/>
      <c r="PZ11" s="401">
        <v>44864</v>
      </c>
      <c r="QA11" s="554" t="s">
        <v>14</v>
      </c>
      <c r="QB11" s="512" t="s">
        <v>13</v>
      </c>
      <c r="QC11" s="458"/>
      <c r="QD11" s="458"/>
      <c r="QE11" s="458"/>
      <c r="QF11" s="465"/>
      <c r="QG11" s="468">
        <v>44864</v>
      </c>
      <c r="QH11" s="469"/>
      <c r="QI11" s="469"/>
      <c r="QJ11" s="470"/>
      <c r="QK11" s="401">
        <v>44865</v>
      </c>
      <c r="QL11" s="468">
        <v>44866</v>
      </c>
      <c r="QM11" s="469"/>
      <c r="QN11" s="469"/>
      <c r="QO11" s="470"/>
      <c r="QP11" s="401">
        <v>44867</v>
      </c>
      <c r="QQ11" s="468">
        <v>44867</v>
      </c>
      <c r="QR11" s="469"/>
      <c r="QS11" s="469"/>
      <c r="QT11" s="470"/>
      <c r="QU11" s="401">
        <v>44868</v>
      </c>
      <c r="QV11" s="468">
        <v>44868</v>
      </c>
      <c r="QW11" s="469"/>
      <c r="QX11" s="469"/>
      <c r="QY11" s="470"/>
      <c r="QZ11" s="401">
        <v>44869</v>
      </c>
      <c r="RA11" s="554" t="s">
        <v>14</v>
      </c>
      <c r="RB11" s="512" t="s">
        <v>13</v>
      </c>
      <c r="RC11" s="458"/>
      <c r="RD11" s="458"/>
      <c r="RE11" s="458"/>
      <c r="RF11" s="465"/>
      <c r="RG11" s="468">
        <v>44869</v>
      </c>
      <c r="RH11" s="469"/>
      <c r="RI11" s="469"/>
      <c r="RJ11" s="470"/>
      <c r="RK11" s="401">
        <v>44870</v>
      </c>
      <c r="RL11" s="468">
        <v>44870</v>
      </c>
      <c r="RM11" s="469"/>
      <c r="RN11" s="469"/>
      <c r="RO11" s="470"/>
      <c r="RP11" s="401">
        <v>44871</v>
      </c>
      <c r="RQ11" s="468">
        <v>44871</v>
      </c>
      <c r="RR11" s="469"/>
      <c r="RS11" s="469"/>
      <c r="RT11" s="470"/>
      <c r="RU11" s="428">
        <v>44872</v>
      </c>
      <c r="RV11" s="557">
        <v>44873</v>
      </c>
      <c r="RW11" s="469"/>
      <c r="RX11" s="469"/>
      <c r="RY11" s="558"/>
      <c r="RZ11" s="401">
        <v>44874</v>
      </c>
      <c r="SA11" s="554" t="s">
        <v>14</v>
      </c>
      <c r="SB11" s="512" t="s">
        <v>13</v>
      </c>
      <c r="SC11" s="458"/>
      <c r="SD11" s="458"/>
      <c r="SE11" s="458"/>
      <c r="SF11" s="465"/>
      <c r="SG11" s="468">
        <v>44876</v>
      </c>
      <c r="SH11" s="469"/>
      <c r="SI11" s="469"/>
      <c r="SJ11" s="470"/>
      <c r="SK11" s="401">
        <v>44877</v>
      </c>
      <c r="SL11" s="468">
        <v>44878</v>
      </c>
      <c r="SM11" s="469"/>
      <c r="SN11" s="469"/>
      <c r="SO11" s="470"/>
      <c r="SP11" s="401">
        <v>44879</v>
      </c>
      <c r="SQ11" s="468">
        <v>44880</v>
      </c>
      <c r="SR11" s="469"/>
      <c r="SS11" s="469"/>
      <c r="ST11" s="470"/>
      <c r="SU11" s="401">
        <v>44881</v>
      </c>
      <c r="SV11" s="468">
        <v>44882</v>
      </c>
      <c r="SW11" s="469"/>
      <c r="SX11" s="469"/>
      <c r="SY11" s="470"/>
      <c r="SZ11" s="401">
        <v>44883</v>
      </c>
      <c r="TA11" s="554" t="s">
        <v>14</v>
      </c>
      <c r="TB11" s="512" t="s">
        <v>13</v>
      </c>
      <c r="TC11" s="458"/>
      <c r="TD11" s="458"/>
      <c r="TE11" s="458"/>
      <c r="TF11" s="465"/>
      <c r="TG11" s="468">
        <v>44885</v>
      </c>
      <c r="TH11" s="469"/>
      <c r="TI11" s="469"/>
      <c r="TJ11" s="470"/>
      <c r="TK11" s="401">
        <v>44886</v>
      </c>
      <c r="TL11" s="468">
        <v>44889</v>
      </c>
      <c r="TM11" s="469"/>
      <c r="TN11" s="469"/>
      <c r="TO11" s="470"/>
      <c r="TP11" s="401">
        <v>44890</v>
      </c>
      <c r="TQ11" s="468">
        <v>44890</v>
      </c>
      <c r="TR11" s="469"/>
      <c r="TS11" s="469"/>
      <c r="TT11" s="470"/>
      <c r="TU11" s="401">
        <v>44891</v>
      </c>
      <c r="TV11" s="468">
        <v>44891</v>
      </c>
      <c r="TW11" s="469"/>
      <c r="TX11" s="469"/>
      <c r="TY11" s="470"/>
      <c r="TZ11" s="401">
        <v>44892</v>
      </c>
      <c r="UA11" s="554" t="s">
        <v>14</v>
      </c>
      <c r="UB11" s="512" t="s">
        <v>13</v>
      </c>
      <c r="UC11" s="458"/>
      <c r="UD11" s="458"/>
      <c r="UE11" s="458"/>
      <c r="UF11" s="465"/>
      <c r="UG11" s="468">
        <v>44892</v>
      </c>
      <c r="UH11" s="469"/>
      <c r="UI11" s="469"/>
      <c r="UJ11" s="470"/>
      <c r="UK11" s="428">
        <v>44893</v>
      </c>
      <c r="UL11" s="468">
        <v>44904</v>
      </c>
      <c r="UM11" s="469"/>
      <c r="UN11" s="469"/>
      <c r="UO11" s="470"/>
      <c r="UP11" s="401">
        <v>44905</v>
      </c>
      <c r="UQ11" s="468">
        <v>44919</v>
      </c>
      <c r="UR11" s="469"/>
      <c r="US11" s="469"/>
      <c r="UT11" s="470"/>
      <c r="UU11" s="401">
        <v>44920</v>
      </c>
      <c r="UV11" s="468">
        <v>44921</v>
      </c>
      <c r="UW11" s="469"/>
      <c r="UX11" s="469"/>
      <c r="UY11" s="470"/>
      <c r="UZ11" s="401">
        <v>44922</v>
      </c>
      <c r="VA11" s="554" t="s">
        <v>14</v>
      </c>
      <c r="VB11" s="512" t="s">
        <v>13</v>
      </c>
      <c r="VC11" s="458"/>
      <c r="VD11" s="458"/>
      <c r="VE11" s="458"/>
      <c r="VF11" s="465"/>
      <c r="VG11" s="468">
        <v>44923</v>
      </c>
      <c r="VH11" s="469"/>
      <c r="VI11" s="469"/>
      <c r="VJ11" s="470"/>
      <c r="VK11" s="428">
        <v>44924</v>
      </c>
      <c r="VL11" s="468">
        <v>44924</v>
      </c>
      <c r="VM11" s="469"/>
      <c r="VN11" s="469"/>
      <c r="VO11" s="470"/>
      <c r="VP11" s="401">
        <v>44925</v>
      </c>
      <c r="VQ11" s="468">
        <v>44925</v>
      </c>
      <c r="VR11" s="469"/>
      <c r="VS11" s="469"/>
      <c r="VT11" s="470"/>
      <c r="VU11" s="401">
        <v>44926</v>
      </c>
      <c r="VV11" s="468">
        <v>44926</v>
      </c>
      <c r="VW11" s="469"/>
      <c r="VX11" s="469"/>
      <c r="VY11" s="470"/>
      <c r="VZ11" s="401">
        <v>44927</v>
      </c>
      <c r="WA11" s="554" t="s">
        <v>14</v>
      </c>
      <c r="WB11" s="512" t="s">
        <v>13</v>
      </c>
      <c r="WC11" s="458"/>
      <c r="WD11" s="458"/>
      <c r="WE11" s="458"/>
      <c r="WF11" s="465"/>
      <c r="WG11" s="468">
        <v>44927</v>
      </c>
      <c r="WH11" s="469"/>
      <c r="WI11" s="469"/>
      <c r="WJ11" s="470"/>
      <c r="WK11" s="401">
        <v>44928</v>
      </c>
      <c r="WL11" s="468">
        <v>44928</v>
      </c>
      <c r="WM11" s="469"/>
      <c r="WN11" s="469"/>
      <c r="WO11" s="470"/>
      <c r="WP11" s="401">
        <v>44929</v>
      </c>
      <c r="WQ11" s="468">
        <v>44929</v>
      </c>
      <c r="WR11" s="469"/>
      <c r="WS11" s="469"/>
      <c r="WT11" s="470"/>
      <c r="WU11" s="401">
        <v>44930</v>
      </c>
      <c r="WV11" s="468">
        <v>44930</v>
      </c>
      <c r="WW11" s="469"/>
      <c r="WX11" s="469"/>
      <c r="WY11" s="470"/>
      <c r="WZ11" s="401">
        <v>44931</v>
      </c>
      <c r="XA11" s="554" t="s">
        <v>14</v>
      </c>
      <c r="XB11" s="512" t="s">
        <v>13</v>
      </c>
      <c r="XC11" s="458"/>
      <c r="XD11" s="458"/>
      <c r="XE11" s="458"/>
      <c r="XF11" s="465"/>
      <c r="XG11" s="468">
        <v>44932</v>
      </c>
      <c r="XH11" s="469"/>
      <c r="XI11" s="469"/>
      <c r="XJ11" s="470"/>
      <c r="XK11" s="401">
        <v>44933</v>
      </c>
      <c r="XL11" s="468">
        <v>44933</v>
      </c>
      <c r="XM11" s="469"/>
      <c r="XN11" s="469"/>
      <c r="XO11" s="470"/>
      <c r="XP11" s="401">
        <v>44934</v>
      </c>
      <c r="XQ11" s="468">
        <v>44934</v>
      </c>
      <c r="XR11" s="469"/>
      <c r="XS11" s="469"/>
      <c r="XT11" s="470"/>
      <c r="XU11" s="401">
        <v>44935</v>
      </c>
      <c r="XV11" s="468">
        <v>44935</v>
      </c>
      <c r="XW11" s="469"/>
      <c r="XX11" s="469"/>
      <c r="XY11" s="470"/>
      <c r="XZ11" s="401">
        <v>44936</v>
      </c>
      <c r="YA11" s="554" t="s">
        <v>14</v>
      </c>
      <c r="YB11" s="512" t="s">
        <v>13</v>
      </c>
      <c r="YC11" s="458"/>
      <c r="YD11" s="458"/>
      <c r="YE11" s="458"/>
      <c r="YF11" s="465"/>
      <c r="YG11" s="468">
        <v>44936</v>
      </c>
      <c r="YH11" s="469"/>
      <c r="YI11" s="469"/>
      <c r="YJ11" s="470"/>
      <c r="YK11" s="401">
        <v>44937</v>
      </c>
      <c r="YL11" s="468">
        <v>44937</v>
      </c>
      <c r="YM11" s="469"/>
      <c r="YN11" s="469"/>
      <c r="YO11" s="470"/>
      <c r="YP11" s="401">
        <v>44938</v>
      </c>
      <c r="YQ11" s="468">
        <v>44940</v>
      </c>
      <c r="YR11" s="469"/>
      <c r="YS11" s="469"/>
      <c r="YT11" s="470"/>
      <c r="YU11" s="401">
        <v>44941</v>
      </c>
      <c r="YV11" s="468">
        <v>44946</v>
      </c>
      <c r="YW11" s="469"/>
      <c r="YX11" s="469"/>
      <c r="YY11" s="470"/>
      <c r="YZ11" s="401">
        <v>44947</v>
      </c>
      <c r="ZA11" s="554" t="s">
        <v>14</v>
      </c>
      <c r="ZB11" s="512" t="s">
        <v>13</v>
      </c>
      <c r="ZC11" s="458"/>
      <c r="ZD11" s="458"/>
      <c r="ZE11" s="458"/>
      <c r="ZF11" s="465"/>
      <c r="ZG11" s="468">
        <v>44958</v>
      </c>
      <c r="ZH11" s="469"/>
      <c r="ZI11" s="469"/>
      <c r="ZJ11" s="470"/>
      <c r="ZK11" s="401">
        <v>44959</v>
      </c>
      <c r="ZL11" s="468">
        <v>44960</v>
      </c>
      <c r="ZM11" s="469"/>
      <c r="ZN11" s="469"/>
      <c r="ZO11" s="470"/>
      <c r="ZP11" s="401">
        <v>44961</v>
      </c>
      <c r="ZQ11" s="468">
        <v>44961</v>
      </c>
      <c r="ZR11" s="469"/>
      <c r="ZS11" s="469"/>
      <c r="ZT11" s="470"/>
      <c r="ZU11" s="401">
        <v>44962</v>
      </c>
      <c r="ZV11" s="468">
        <v>44964</v>
      </c>
      <c r="ZW11" s="469"/>
      <c r="ZX11" s="469"/>
      <c r="ZY11" s="470"/>
      <c r="ZZ11" s="401">
        <v>44965</v>
      </c>
      <c r="AAA11" s="554" t="s">
        <v>14</v>
      </c>
      <c r="AAB11" s="512" t="s">
        <v>13</v>
      </c>
      <c r="AAC11" s="458"/>
      <c r="AAD11" s="458"/>
      <c r="AAE11" s="458"/>
      <c r="AAF11" s="465"/>
      <c r="AAG11" s="468">
        <v>44967</v>
      </c>
      <c r="AAH11" s="469"/>
      <c r="AAI11" s="469"/>
      <c r="AAJ11" s="470"/>
      <c r="AAK11" s="401">
        <v>44968</v>
      </c>
      <c r="AAL11" s="468">
        <v>44968</v>
      </c>
      <c r="AAM11" s="469"/>
      <c r="AAN11" s="469"/>
      <c r="AAO11" s="470"/>
      <c r="AAP11" s="401">
        <v>44969</v>
      </c>
      <c r="AAQ11" s="468">
        <v>44969</v>
      </c>
      <c r="AAR11" s="469"/>
      <c r="AAS11" s="469"/>
      <c r="AAT11" s="470"/>
      <c r="AAU11" s="401">
        <v>44970</v>
      </c>
      <c r="AAV11" s="468">
        <v>44970</v>
      </c>
      <c r="AAW11" s="469"/>
      <c r="AAX11" s="469"/>
      <c r="AAY11" s="470"/>
      <c r="AAZ11" s="401">
        <v>44971</v>
      </c>
      <c r="ABA11" s="554" t="s">
        <v>14</v>
      </c>
      <c r="ABB11" s="512" t="s">
        <v>13</v>
      </c>
      <c r="ABC11" s="458"/>
      <c r="ABD11" s="458"/>
      <c r="ABE11" s="458"/>
      <c r="ABF11" s="465"/>
      <c r="ABG11" s="468">
        <v>44971</v>
      </c>
      <c r="ABH11" s="469"/>
      <c r="ABI11" s="469"/>
      <c r="ABJ11" s="470"/>
      <c r="ABK11" s="401">
        <v>44972</v>
      </c>
      <c r="ABL11" s="468">
        <v>44972</v>
      </c>
      <c r="ABM11" s="469"/>
      <c r="ABN11" s="469"/>
      <c r="ABO11" s="470"/>
      <c r="ABP11" s="401">
        <v>44973</v>
      </c>
      <c r="ABQ11" s="468">
        <v>44973</v>
      </c>
      <c r="ABR11" s="469"/>
      <c r="ABS11" s="469"/>
      <c r="ABT11" s="470"/>
      <c r="ABU11" s="401">
        <v>44974</v>
      </c>
      <c r="ABV11" s="468">
        <v>44974</v>
      </c>
      <c r="ABW11" s="469"/>
      <c r="ABX11" s="469"/>
      <c r="ABY11" s="470"/>
      <c r="ABZ11" s="401">
        <v>44975</v>
      </c>
      <c r="ACA11" s="554" t="s">
        <v>14</v>
      </c>
      <c r="ACB11" s="512" t="s">
        <v>13</v>
      </c>
      <c r="ACC11" s="458"/>
      <c r="ACD11" s="458"/>
      <c r="ACE11" s="458"/>
      <c r="ACF11" s="465"/>
      <c r="ACG11" s="468">
        <v>44975</v>
      </c>
      <c r="ACH11" s="469"/>
      <c r="ACI11" s="469"/>
      <c r="ACJ11" s="470"/>
      <c r="ACK11" s="401">
        <v>44976</v>
      </c>
      <c r="ACL11" s="468">
        <v>44976</v>
      </c>
      <c r="ACM11" s="469"/>
      <c r="ACN11" s="469"/>
      <c r="ACO11" s="470"/>
      <c r="ACP11" s="401">
        <v>44977</v>
      </c>
      <c r="ACQ11" s="468">
        <v>44977</v>
      </c>
      <c r="ACR11" s="469"/>
      <c r="ACS11" s="469"/>
      <c r="ACT11" s="470"/>
      <c r="ACU11" s="401">
        <v>44978</v>
      </c>
      <c r="ACV11" s="468">
        <v>44978</v>
      </c>
      <c r="ACW11" s="469"/>
      <c r="ACX11" s="469"/>
      <c r="ACY11" s="470"/>
      <c r="ACZ11" s="401">
        <v>44979</v>
      </c>
      <c r="ADA11" s="554" t="s">
        <v>14</v>
      </c>
      <c r="ADB11" s="512" t="s">
        <v>13</v>
      </c>
      <c r="ADC11" s="458"/>
      <c r="ADD11" s="458"/>
      <c r="ADE11" s="458"/>
      <c r="ADF11" s="465"/>
      <c r="ADG11" s="468">
        <v>44981</v>
      </c>
      <c r="ADH11" s="469"/>
      <c r="ADI11" s="469"/>
      <c r="ADJ11" s="470"/>
      <c r="ADK11" s="401">
        <v>44982</v>
      </c>
      <c r="ADL11" s="468">
        <v>44982</v>
      </c>
      <c r="ADM11" s="469"/>
      <c r="ADN11" s="469"/>
      <c r="ADO11" s="470"/>
      <c r="ADP11" s="401">
        <v>44983</v>
      </c>
      <c r="ADQ11" s="468">
        <v>44983</v>
      </c>
      <c r="ADR11" s="469"/>
      <c r="ADS11" s="469"/>
      <c r="ADT11" s="470"/>
      <c r="ADU11" s="401">
        <v>44984</v>
      </c>
      <c r="ADV11" s="468">
        <v>44984</v>
      </c>
      <c r="ADW11" s="469"/>
      <c r="ADX11" s="469"/>
      <c r="ADY11" s="470"/>
      <c r="ADZ11" s="401">
        <v>44985</v>
      </c>
      <c r="AEA11" s="554" t="s">
        <v>14</v>
      </c>
      <c r="AEB11" s="512" t="s">
        <v>13</v>
      </c>
      <c r="AEC11" s="458"/>
      <c r="AED11" s="458"/>
      <c r="AEE11" s="458"/>
      <c r="AEF11" s="465"/>
      <c r="AEG11" s="468">
        <v>44986</v>
      </c>
      <c r="AEH11" s="469"/>
      <c r="AEI11" s="469"/>
      <c r="AEJ11" s="470"/>
      <c r="AEK11" s="401">
        <v>44987</v>
      </c>
      <c r="AEL11" s="468">
        <v>44987</v>
      </c>
      <c r="AEM11" s="469"/>
      <c r="AEN11" s="469"/>
      <c r="AEO11" s="470"/>
      <c r="AEP11" s="401">
        <v>44988</v>
      </c>
      <c r="AEQ11" s="468">
        <v>44988</v>
      </c>
      <c r="AER11" s="469"/>
      <c r="AES11" s="469"/>
      <c r="AET11" s="470"/>
      <c r="AEU11" s="401">
        <v>44989</v>
      </c>
      <c r="AEV11" s="468">
        <v>44989</v>
      </c>
      <c r="AEW11" s="469"/>
      <c r="AEX11" s="469"/>
      <c r="AEY11" s="470"/>
      <c r="AEZ11" s="401">
        <v>44990</v>
      </c>
      <c r="AFA11" s="554" t="s">
        <v>14</v>
      </c>
      <c r="AFB11" s="512" t="s">
        <v>13</v>
      </c>
      <c r="AFC11" s="458"/>
      <c r="AFD11" s="458"/>
      <c r="AFE11" s="458"/>
      <c r="AFF11" s="465"/>
      <c r="AFG11" s="468">
        <v>44990</v>
      </c>
      <c r="AFH11" s="469"/>
      <c r="AFI11" s="469"/>
      <c r="AFJ11" s="470"/>
      <c r="AFK11" s="401">
        <v>44991</v>
      </c>
      <c r="AFL11" s="468">
        <v>44991</v>
      </c>
      <c r="AFM11" s="469"/>
      <c r="AFN11" s="469"/>
      <c r="AFO11" s="470"/>
      <c r="AFP11" s="401">
        <v>44992</v>
      </c>
      <c r="AFQ11" s="468">
        <v>44992</v>
      </c>
      <c r="AFR11" s="469"/>
      <c r="AFS11" s="469"/>
      <c r="AFT11" s="470"/>
      <c r="AFU11" s="401">
        <v>44993</v>
      </c>
      <c r="AFV11" s="468">
        <v>44993</v>
      </c>
      <c r="AFW11" s="469"/>
      <c r="AFX11" s="469"/>
      <c r="AFY11" s="470"/>
      <c r="AFZ11" s="401">
        <v>44994</v>
      </c>
      <c r="AGA11" s="554" t="s">
        <v>14</v>
      </c>
      <c r="AGB11" s="512" t="s">
        <v>13</v>
      </c>
      <c r="AGC11" s="458"/>
      <c r="AGD11" s="458"/>
      <c r="AGE11" s="458"/>
      <c r="AGF11" s="465"/>
      <c r="AGG11" s="468">
        <v>44994</v>
      </c>
      <c r="AGH11" s="469"/>
      <c r="AGI11" s="469"/>
      <c r="AGJ11" s="470"/>
      <c r="AGK11" s="401">
        <v>44995</v>
      </c>
      <c r="AGL11" s="468">
        <v>44995</v>
      </c>
      <c r="AGM11" s="469"/>
      <c r="AGN11" s="469"/>
      <c r="AGO11" s="470"/>
      <c r="AGP11" s="401">
        <v>44996</v>
      </c>
      <c r="AGQ11" s="468">
        <v>44996</v>
      </c>
      <c r="AGR11" s="469"/>
      <c r="AGS11" s="469"/>
      <c r="AGT11" s="470"/>
      <c r="AGU11" s="401">
        <v>44997</v>
      </c>
      <c r="AGV11" s="468">
        <v>44997</v>
      </c>
      <c r="AGW11" s="469"/>
      <c r="AGX11" s="469"/>
      <c r="AGY11" s="470"/>
      <c r="AGZ11" s="401">
        <v>44998</v>
      </c>
      <c r="AHA11" s="554" t="s">
        <v>14</v>
      </c>
      <c r="AHB11" s="512" t="s">
        <v>13</v>
      </c>
      <c r="AHC11" s="458"/>
      <c r="AHD11" s="458"/>
      <c r="AHE11" s="458"/>
      <c r="AHF11" s="465"/>
      <c r="AHG11" s="468">
        <v>44998</v>
      </c>
      <c r="AHH11" s="469"/>
      <c r="AHI11" s="469"/>
      <c r="AHJ11" s="470"/>
      <c r="AHK11" s="401">
        <v>44999</v>
      </c>
      <c r="AHL11" s="468">
        <v>44999</v>
      </c>
      <c r="AHM11" s="469"/>
      <c r="AHN11" s="469"/>
      <c r="AHO11" s="470"/>
      <c r="AHP11" s="401">
        <v>45000</v>
      </c>
      <c r="AHQ11" s="468">
        <v>45000</v>
      </c>
      <c r="AHR11" s="469"/>
      <c r="AHS11" s="469"/>
      <c r="AHT11" s="470"/>
      <c r="AHU11" s="401">
        <v>45001</v>
      </c>
      <c r="AHV11" s="468">
        <v>45002</v>
      </c>
      <c r="AHW11" s="469"/>
      <c r="AHX11" s="469"/>
      <c r="AHY11" s="470"/>
      <c r="AHZ11" s="401">
        <v>45003</v>
      </c>
      <c r="AIA11" s="554" t="s">
        <v>14</v>
      </c>
      <c r="AIB11" s="512" t="s">
        <v>13</v>
      </c>
      <c r="AIC11" s="458"/>
      <c r="AID11" s="458"/>
      <c r="AIE11" s="458"/>
      <c r="AIF11" s="465"/>
      <c r="AIG11" s="468">
        <v>45003</v>
      </c>
      <c r="AIH11" s="469"/>
      <c r="AII11" s="469"/>
      <c r="AIJ11" s="470"/>
      <c r="AIK11" s="401">
        <v>45004</v>
      </c>
      <c r="AIL11" s="468">
        <v>45004</v>
      </c>
      <c r="AIM11" s="469"/>
      <c r="AIN11" s="469"/>
      <c r="AIO11" s="470"/>
      <c r="AIP11" s="401">
        <v>45005</v>
      </c>
      <c r="AIQ11" s="468">
        <v>45006</v>
      </c>
      <c r="AIR11" s="469"/>
      <c r="AIS11" s="469"/>
      <c r="AIT11" s="470"/>
      <c r="AIU11" s="401">
        <v>45007</v>
      </c>
      <c r="AIV11" s="468">
        <v>45008</v>
      </c>
      <c r="AIW11" s="469"/>
      <c r="AIX11" s="469"/>
      <c r="AIY11" s="470"/>
      <c r="AIZ11" s="401">
        <v>45009</v>
      </c>
      <c r="AJA11" s="554" t="s">
        <v>14</v>
      </c>
      <c r="AJB11" s="512" t="s">
        <v>13</v>
      </c>
      <c r="AJC11" s="458"/>
      <c r="AJD11" s="458"/>
      <c r="AJE11" s="458"/>
      <c r="AJF11" s="465"/>
      <c r="AJG11" s="468">
        <v>45009</v>
      </c>
      <c r="AJH11" s="469"/>
      <c r="AJI11" s="469"/>
      <c r="AJJ11" s="470"/>
      <c r="AJK11" s="401">
        <v>45010</v>
      </c>
      <c r="AJL11" s="468">
        <v>45010</v>
      </c>
      <c r="AJM11" s="469"/>
      <c r="AJN11" s="469"/>
      <c r="AJO11" s="470"/>
      <c r="AJP11" s="401">
        <v>45011</v>
      </c>
      <c r="AJQ11" s="468">
        <v>45011</v>
      </c>
      <c r="AJR11" s="469"/>
      <c r="AJS11" s="469"/>
      <c r="AJT11" s="470"/>
      <c r="AJU11" s="401">
        <v>45012</v>
      </c>
      <c r="AJV11" s="468">
        <v>45012</v>
      </c>
      <c r="AJW11" s="469"/>
      <c r="AJX11" s="469"/>
      <c r="AJY11" s="470"/>
      <c r="AJZ11" s="401">
        <v>45013</v>
      </c>
      <c r="AKA11" s="554" t="s">
        <v>14</v>
      </c>
      <c r="AKB11" s="512" t="s">
        <v>13</v>
      </c>
      <c r="AKC11" s="458"/>
      <c r="AKD11" s="458"/>
      <c r="AKE11" s="458"/>
      <c r="AKF11" s="465"/>
      <c r="AKG11" s="468">
        <v>45013</v>
      </c>
      <c r="AKH11" s="469"/>
      <c r="AKI11" s="469"/>
      <c r="AKJ11" s="470"/>
      <c r="AKK11" s="401">
        <v>45014</v>
      </c>
      <c r="AKL11" s="468">
        <v>45014</v>
      </c>
      <c r="AKM11" s="469"/>
      <c r="AKN11" s="469"/>
      <c r="AKO11" s="470"/>
      <c r="AKP11" s="401">
        <v>45015</v>
      </c>
      <c r="AKQ11" s="468">
        <v>45015</v>
      </c>
      <c r="AKR11" s="469"/>
      <c r="AKS11" s="469"/>
      <c r="AKT11" s="470"/>
      <c r="AKU11" s="401">
        <v>45016</v>
      </c>
      <c r="AKV11" s="468"/>
      <c r="AKW11" s="469"/>
      <c r="AKX11" s="469"/>
      <c r="AKY11" s="470"/>
      <c r="AKZ11" s="401"/>
    </row>
    <row r="12" spans="1:988" ht="45" customHeight="1" x14ac:dyDescent="0.4">
      <c r="A12" s="479"/>
      <c r="B12" s="528"/>
      <c r="C12" s="466"/>
      <c r="D12" s="466"/>
      <c r="E12" s="466"/>
      <c r="F12" s="467"/>
      <c r="G12" s="471" t="s">
        <v>377</v>
      </c>
      <c r="H12" s="472"/>
      <c r="I12" s="472"/>
      <c r="J12" s="473"/>
      <c r="K12" s="80" t="s">
        <v>519</v>
      </c>
      <c r="L12" s="471" t="s">
        <v>377</v>
      </c>
      <c r="M12" s="472"/>
      <c r="N12" s="472"/>
      <c r="O12" s="473"/>
      <c r="P12" s="80" t="s">
        <v>519</v>
      </c>
      <c r="Q12" s="471" t="s">
        <v>377</v>
      </c>
      <c r="R12" s="472"/>
      <c r="S12" s="472"/>
      <c r="T12" s="473"/>
      <c r="U12" s="80" t="s">
        <v>519</v>
      </c>
      <c r="V12" s="471" t="s">
        <v>377</v>
      </c>
      <c r="W12" s="472"/>
      <c r="X12" s="472"/>
      <c r="Y12" s="473"/>
      <c r="Z12" s="80" t="s">
        <v>519</v>
      </c>
      <c r="AA12" s="479"/>
      <c r="AB12" s="528"/>
      <c r="AC12" s="466"/>
      <c r="AD12" s="466"/>
      <c r="AE12" s="466"/>
      <c r="AF12" s="467"/>
      <c r="AG12" s="471" t="s">
        <v>377</v>
      </c>
      <c r="AH12" s="472"/>
      <c r="AI12" s="472"/>
      <c r="AJ12" s="473"/>
      <c r="AK12" s="80" t="s">
        <v>519</v>
      </c>
      <c r="AL12" s="471" t="s">
        <v>377</v>
      </c>
      <c r="AM12" s="472"/>
      <c r="AN12" s="472"/>
      <c r="AO12" s="473"/>
      <c r="AP12" s="80" t="s">
        <v>519</v>
      </c>
      <c r="AQ12" s="471" t="s">
        <v>377</v>
      </c>
      <c r="AR12" s="472"/>
      <c r="AS12" s="472"/>
      <c r="AT12" s="473"/>
      <c r="AU12" s="80" t="s">
        <v>519</v>
      </c>
      <c r="AV12" s="471" t="s">
        <v>377</v>
      </c>
      <c r="AW12" s="472"/>
      <c r="AX12" s="472"/>
      <c r="AY12" s="473"/>
      <c r="AZ12" s="80" t="s">
        <v>519</v>
      </c>
      <c r="BA12" s="479"/>
      <c r="BB12" s="528"/>
      <c r="BC12" s="466"/>
      <c r="BD12" s="466"/>
      <c r="BE12" s="466"/>
      <c r="BF12" s="467"/>
      <c r="BG12" s="471" t="s">
        <v>377</v>
      </c>
      <c r="BH12" s="472"/>
      <c r="BI12" s="472"/>
      <c r="BJ12" s="473"/>
      <c r="BK12" s="80" t="s">
        <v>519</v>
      </c>
      <c r="BL12" s="471" t="s">
        <v>377</v>
      </c>
      <c r="BM12" s="472"/>
      <c r="BN12" s="472"/>
      <c r="BO12" s="473"/>
      <c r="BP12" s="80" t="s">
        <v>519</v>
      </c>
      <c r="BQ12" s="471" t="s">
        <v>377</v>
      </c>
      <c r="BR12" s="472"/>
      <c r="BS12" s="472"/>
      <c r="BT12" s="473"/>
      <c r="BU12" s="80" t="s">
        <v>519</v>
      </c>
      <c r="BV12" s="471" t="s">
        <v>377</v>
      </c>
      <c r="BW12" s="472"/>
      <c r="BX12" s="472"/>
      <c r="BY12" s="473"/>
      <c r="BZ12" s="80" t="s">
        <v>752</v>
      </c>
      <c r="CA12" s="479"/>
      <c r="CB12" s="528"/>
      <c r="CC12" s="466"/>
      <c r="CD12" s="466"/>
      <c r="CE12" s="466"/>
      <c r="CF12" s="467"/>
      <c r="CG12" s="471" t="s">
        <v>377</v>
      </c>
      <c r="CH12" s="472"/>
      <c r="CI12" s="472"/>
      <c r="CJ12" s="473"/>
      <c r="CK12" s="80" t="s">
        <v>519</v>
      </c>
      <c r="CL12" s="471" t="s">
        <v>377</v>
      </c>
      <c r="CM12" s="472"/>
      <c r="CN12" s="472"/>
      <c r="CO12" s="473"/>
      <c r="CP12" s="80" t="s">
        <v>519</v>
      </c>
      <c r="CQ12" s="471" t="s">
        <v>377</v>
      </c>
      <c r="CR12" s="472"/>
      <c r="CS12" s="472"/>
      <c r="CT12" s="473"/>
      <c r="CU12" s="80" t="s">
        <v>519</v>
      </c>
      <c r="CV12" s="471" t="s">
        <v>377</v>
      </c>
      <c r="CW12" s="472"/>
      <c r="CX12" s="472"/>
      <c r="CY12" s="473"/>
      <c r="CZ12" s="80" t="s">
        <v>519</v>
      </c>
      <c r="DA12" s="479"/>
      <c r="DB12" s="528"/>
      <c r="DC12" s="466"/>
      <c r="DD12" s="466"/>
      <c r="DE12" s="466"/>
      <c r="DF12" s="467"/>
      <c r="DG12" s="471" t="s">
        <v>377</v>
      </c>
      <c r="DH12" s="472"/>
      <c r="DI12" s="472"/>
      <c r="DJ12" s="473"/>
      <c r="DK12" s="80" t="s">
        <v>519</v>
      </c>
      <c r="DL12" s="471" t="s">
        <v>377</v>
      </c>
      <c r="DM12" s="472"/>
      <c r="DN12" s="472"/>
      <c r="DO12" s="473"/>
      <c r="DP12" s="80" t="s">
        <v>519</v>
      </c>
      <c r="DQ12" s="471" t="s">
        <v>685</v>
      </c>
      <c r="DR12" s="472"/>
      <c r="DS12" s="472"/>
      <c r="DT12" s="473"/>
      <c r="DU12" s="80" t="s">
        <v>752</v>
      </c>
      <c r="DV12" s="471" t="s">
        <v>685</v>
      </c>
      <c r="DW12" s="472"/>
      <c r="DX12" s="472"/>
      <c r="DY12" s="473"/>
      <c r="DZ12" s="80" t="s">
        <v>519</v>
      </c>
      <c r="EA12" s="479"/>
      <c r="EB12" s="528"/>
      <c r="EC12" s="466"/>
      <c r="ED12" s="466"/>
      <c r="EE12" s="466"/>
      <c r="EF12" s="467"/>
      <c r="EG12" s="471" t="s">
        <v>377</v>
      </c>
      <c r="EH12" s="472"/>
      <c r="EI12" s="472"/>
      <c r="EJ12" s="473"/>
      <c r="EK12" s="80" t="s">
        <v>519</v>
      </c>
      <c r="EL12" s="471" t="s">
        <v>377</v>
      </c>
      <c r="EM12" s="472"/>
      <c r="EN12" s="472"/>
      <c r="EO12" s="473"/>
      <c r="EP12" s="80" t="s">
        <v>519</v>
      </c>
      <c r="EQ12" s="471" t="s">
        <v>377</v>
      </c>
      <c r="ER12" s="472"/>
      <c r="ES12" s="472"/>
      <c r="ET12" s="473"/>
      <c r="EU12" s="80" t="s">
        <v>519</v>
      </c>
      <c r="EV12" s="471" t="s">
        <v>377</v>
      </c>
      <c r="EW12" s="472"/>
      <c r="EX12" s="472"/>
      <c r="EY12" s="473"/>
      <c r="EZ12" s="80" t="s">
        <v>519</v>
      </c>
      <c r="FA12" s="479"/>
      <c r="FB12" s="528"/>
      <c r="FC12" s="466"/>
      <c r="FD12" s="466"/>
      <c r="FE12" s="466"/>
      <c r="FF12" s="467"/>
      <c r="FG12" s="471" t="s">
        <v>753</v>
      </c>
      <c r="FH12" s="472"/>
      <c r="FI12" s="472"/>
      <c r="FJ12" s="473"/>
      <c r="FK12" s="80" t="s">
        <v>519</v>
      </c>
      <c r="FL12" s="471" t="s">
        <v>753</v>
      </c>
      <c r="FM12" s="472"/>
      <c r="FN12" s="472"/>
      <c r="FO12" s="473"/>
      <c r="FP12" s="80" t="s">
        <v>752</v>
      </c>
      <c r="FQ12" s="471" t="s">
        <v>377</v>
      </c>
      <c r="FR12" s="472"/>
      <c r="FS12" s="472"/>
      <c r="FT12" s="473"/>
      <c r="FU12" s="80" t="s">
        <v>511</v>
      </c>
      <c r="FV12" s="471" t="s">
        <v>377</v>
      </c>
      <c r="FW12" s="472"/>
      <c r="FX12" s="472"/>
      <c r="FY12" s="473"/>
      <c r="FZ12" s="80" t="s">
        <v>519</v>
      </c>
      <c r="GA12" s="479"/>
      <c r="GB12" s="528"/>
      <c r="GC12" s="466"/>
      <c r="GD12" s="466"/>
      <c r="GE12" s="466"/>
      <c r="GF12" s="467"/>
      <c r="GG12" s="471" t="s">
        <v>377</v>
      </c>
      <c r="GH12" s="472"/>
      <c r="GI12" s="472"/>
      <c r="GJ12" s="473"/>
      <c r="GK12" s="80" t="s">
        <v>519</v>
      </c>
      <c r="GL12" s="471" t="s">
        <v>377</v>
      </c>
      <c r="GM12" s="472"/>
      <c r="GN12" s="472"/>
      <c r="GO12" s="473"/>
      <c r="GP12" s="80" t="s">
        <v>519</v>
      </c>
      <c r="GQ12" s="471" t="s">
        <v>377</v>
      </c>
      <c r="GR12" s="472"/>
      <c r="GS12" s="472"/>
      <c r="GT12" s="473"/>
      <c r="GU12" s="80" t="s">
        <v>519</v>
      </c>
      <c r="GV12" s="471" t="s">
        <v>377</v>
      </c>
      <c r="GW12" s="472"/>
      <c r="GX12" s="472"/>
      <c r="GY12" s="473"/>
      <c r="GZ12" s="80" t="s">
        <v>752</v>
      </c>
      <c r="HA12" s="479"/>
      <c r="HB12" s="528"/>
      <c r="HC12" s="466"/>
      <c r="HD12" s="466"/>
      <c r="HE12" s="466"/>
      <c r="HF12" s="467"/>
      <c r="HG12" s="471" t="s">
        <v>377</v>
      </c>
      <c r="HH12" s="472"/>
      <c r="HI12" s="472"/>
      <c r="HJ12" s="473"/>
      <c r="HK12" s="80" t="s">
        <v>519</v>
      </c>
      <c r="HL12" s="471" t="s">
        <v>377</v>
      </c>
      <c r="HM12" s="472"/>
      <c r="HN12" s="472"/>
      <c r="HO12" s="473"/>
      <c r="HP12" s="80" t="s">
        <v>519</v>
      </c>
      <c r="HQ12" s="471" t="s">
        <v>377</v>
      </c>
      <c r="HR12" s="472"/>
      <c r="HS12" s="472"/>
      <c r="HT12" s="473"/>
      <c r="HU12" s="80" t="s">
        <v>519</v>
      </c>
      <c r="HV12" s="471" t="s">
        <v>377</v>
      </c>
      <c r="HW12" s="472"/>
      <c r="HX12" s="472"/>
      <c r="HY12" s="473"/>
      <c r="HZ12" s="80" t="s">
        <v>519</v>
      </c>
      <c r="IA12" s="479"/>
      <c r="IB12" s="528"/>
      <c r="IC12" s="466"/>
      <c r="ID12" s="466"/>
      <c r="IE12" s="466"/>
      <c r="IF12" s="467"/>
      <c r="IG12" s="471" t="s">
        <v>377</v>
      </c>
      <c r="IH12" s="472"/>
      <c r="II12" s="472"/>
      <c r="IJ12" s="473"/>
      <c r="IK12" s="80" t="s">
        <v>519</v>
      </c>
      <c r="IL12" s="471" t="s">
        <v>377</v>
      </c>
      <c r="IM12" s="472"/>
      <c r="IN12" s="472"/>
      <c r="IO12" s="473"/>
      <c r="IP12" s="80" t="s">
        <v>519</v>
      </c>
      <c r="IQ12" s="471" t="s">
        <v>377</v>
      </c>
      <c r="IR12" s="472"/>
      <c r="IS12" s="472"/>
      <c r="IT12" s="473"/>
      <c r="IU12" s="80" t="s">
        <v>519</v>
      </c>
      <c r="IV12" s="471" t="s">
        <v>377</v>
      </c>
      <c r="IW12" s="472"/>
      <c r="IX12" s="472"/>
      <c r="IY12" s="473"/>
      <c r="IZ12" s="80" t="s">
        <v>519</v>
      </c>
      <c r="JA12" s="479"/>
      <c r="JB12" s="528"/>
      <c r="JC12" s="466"/>
      <c r="JD12" s="466"/>
      <c r="JE12" s="466"/>
      <c r="JF12" s="467"/>
      <c r="JG12" s="471" t="s">
        <v>377</v>
      </c>
      <c r="JH12" s="472"/>
      <c r="JI12" s="472"/>
      <c r="JJ12" s="473"/>
      <c r="JK12" s="80" t="s">
        <v>511</v>
      </c>
      <c r="JL12" s="471" t="s">
        <v>377</v>
      </c>
      <c r="JM12" s="472"/>
      <c r="JN12" s="472"/>
      <c r="JO12" s="473"/>
      <c r="JP12" s="80" t="s">
        <v>511</v>
      </c>
      <c r="JQ12" s="471" t="s">
        <v>377</v>
      </c>
      <c r="JR12" s="472"/>
      <c r="JS12" s="472"/>
      <c r="JT12" s="473"/>
      <c r="JU12" s="80" t="s">
        <v>511</v>
      </c>
      <c r="JV12" s="471" t="s">
        <v>377</v>
      </c>
      <c r="JW12" s="472"/>
      <c r="JX12" s="472"/>
      <c r="JY12" s="473"/>
      <c r="JZ12" s="80" t="s">
        <v>511</v>
      </c>
      <c r="KA12" s="479"/>
      <c r="KB12" s="528"/>
      <c r="KC12" s="466"/>
      <c r="KD12" s="466"/>
      <c r="KE12" s="466"/>
      <c r="KF12" s="467"/>
      <c r="KG12" s="471" t="s">
        <v>377</v>
      </c>
      <c r="KH12" s="472"/>
      <c r="KI12" s="472"/>
      <c r="KJ12" s="473"/>
      <c r="KK12" s="80" t="s">
        <v>511</v>
      </c>
      <c r="KL12" s="471" t="s">
        <v>377</v>
      </c>
      <c r="KM12" s="472"/>
      <c r="KN12" s="472"/>
      <c r="KO12" s="473"/>
      <c r="KP12" s="80" t="s">
        <v>511</v>
      </c>
      <c r="KQ12" s="471" t="s">
        <v>377</v>
      </c>
      <c r="KR12" s="472"/>
      <c r="KS12" s="472"/>
      <c r="KT12" s="473"/>
      <c r="KU12" s="80" t="s">
        <v>511</v>
      </c>
      <c r="KV12" s="471" t="s">
        <v>377</v>
      </c>
      <c r="KW12" s="472"/>
      <c r="KX12" s="472"/>
      <c r="KY12" s="473"/>
      <c r="KZ12" s="80" t="s">
        <v>749</v>
      </c>
      <c r="LA12" s="479"/>
      <c r="LB12" s="528"/>
      <c r="LC12" s="466"/>
      <c r="LD12" s="466"/>
      <c r="LE12" s="466"/>
      <c r="LF12" s="467"/>
      <c r="LG12" s="471" t="s">
        <v>377</v>
      </c>
      <c r="LH12" s="472"/>
      <c r="LI12" s="472"/>
      <c r="LJ12" s="473"/>
      <c r="LK12" s="80" t="s">
        <v>511</v>
      </c>
      <c r="LL12" s="471" t="s">
        <v>377</v>
      </c>
      <c r="LM12" s="472"/>
      <c r="LN12" s="472"/>
      <c r="LO12" s="473"/>
      <c r="LP12" s="80" t="s">
        <v>511</v>
      </c>
      <c r="LQ12" s="471" t="s">
        <v>377</v>
      </c>
      <c r="LR12" s="472"/>
      <c r="LS12" s="472"/>
      <c r="LT12" s="473"/>
      <c r="LU12" s="80" t="s">
        <v>511</v>
      </c>
      <c r="LV12" s="471" t="s">
        <v>377</v>
      </c>
      <c r="LW12" s="472"/>
      <c r="LX12" s="472"/>
      <c r="LY12" s="473"/>
      <c r="LZ12" s="80" t="s">
        <v>511</v>
      </c>
      <c r="MA12" s="479"/>
      <c r="MB12" s="528"/>
      <c r="MC12" s="466"/>
      <c r="MD12" s="466"/>
      <c r="ME12" s="466"/>
      <c r="MF12" s="467"/>
      <c r="MG12" s="471" t="s">
        <v>377</v>
      </c>
      <c r="MH12" s="472"/>
      <c r="MI12" s="472"/>
      <c r="MJ12" s="473"/>
      <c r="MK12" s="80" t="s">
        <v>511</v>
      </c>
      <c r="ML12" s="471" t="s">
        <v>377</v>
      </c>
      <c r="MM12" s="472"/>
      <c r="MN12" s="472"/>
      <c r="MO12" s="473"/>
      <c r="MP12" s="80" t="s">
        <v>511</v>
      </c>
      <c r="MQ12" s="471" t="s">
        <v>377</v>
      </c>
      <c r="MR12" s="472"/>
      <c r="MS12" s="472"/>
      <c r="MT12" s="473"/>
      <c r="MU12" s="80" t="s">
        <v>511</v>
      </c>
      <c r="MV12" s="471" t="s">
        <v>377</v>
      </c>
      <c r="MW12" s="472"/>
      <c r="MX12" s="472"/>
      <c r="MY12" s="473"/>
      <c r="MZ12" s="80" t="s">
        <v>511</v>
      </c>
      <c r="NA12" s="479"/>
      <c r="NB12" s="528"/>
      <c r="NC12" s="466"/>
      <c r="ND12" s="466"/>
      <c r="NE12" s="466"/>
      <c r="NF12" s="467"/>
      <c r="NG12" s="471" t="s">
        <v>377</v>
      </c>
      <c r="NH12" s="472"/>
      <c r="NI12" s="472"/>
      <c r="NJ12" s="473"/>
      <c r="NK12" s="80" t="s">
        <v>511</v>
      </c>
      <c r="NL12" s="471" t="s">
        <v>377</v>
      </c>
      <c r="NM12" s="472"/>
      <c r="NN12" s="472"/>
      <c r="NO12" s="473"/>
      <c r="NP12" s="80" t="s">
        <v>511</v>
      </c>
      <c r="NQ12" s="471" t="s">
        <v>377</v>
      </c>
      <c r="NR12" s="472"/>
      <c r="NS12" s="472"/>
      <c r="NT12" s="473"/>
      <c r="NU12" s="80" t="s">
        <v>511</v>
      </c>
      <c r="NV12" s="471" t="s">
        <v>377</v>
      </c>
      <c r="NW12" s="472"/>
      <c r="NX12" s="472"/>
      <c r="NY12" s="473"/>
      <c r="NZ12" s="80" t="s">
        <v>511</v>
      </c>
      <c r="OA12" s="479"/>
      <c r="OB12" s="528"/>
      <c r="OC12" s="466"/>
      <c r="OD12" s="466"/>
      <c r="OE12" s="466"/>
      <c r="OF12" s="467"/>
      <c r="OG12" s="471" t="s">
        <v>377</v>
      </c>
      <c r="OH12" s="472"/>
      <c r="OI12" s="472"/>
      <c r="OJ12" s="473"/>
      <c r="OK12" s="80" t="s">
        <v>511</v>
      </c>
      <c r="OL12" s="471" t="s">
        <v>377</v>
      </c>
      <c r="OM12" s="472"/>
      <c r="ON12" s="472"/>
      <c r="OO12" s="473"/>
      <c r="OP12" s="80" t="s">
        <v>511</v>
      </c>
      <c r="OQ12" s="471" t="s">
        <v>377</v>
      </c>
      <c r="OR12" s="472"/>
      <c r="OS12" s="472"/>
      <c r="OT12" s="473"/>
      <c r="OU12" s="80" t="s">
        <v>511</v>
      </c>
      <c r="OV12" s="471" t="s">
        <v>377</v>
      </c>
      <c r="OW12" s="472"/>
      <c r="OX12" s="472"/>
      <c r="OY12" s="473"/>
      <c r="OZ12" s="80" t="s">
        <v>511</v>
      </c>
      <c r="PA12" s="479"/>
      <c r="PB12" s="528"/>
      <c r="PC12" s="466"/>
      <c r="PD12" s="466"/>
      <c r="PE12" s="466"/>
      <c r="PF12" s="467"/>
      <c r="PG12" s="471" t="s">
        <v>377</v>
      </c>
      <c r="PH12" s="472"/>
      <c r="PI12" s="472"/>
      <c r="PJ12" s="473"/>
      <c r="PK12" s="80" t="s">
        <v>511</v>
      </c>
      <c r="PL12" s="471" t="s">
        <v>377</v>
      </c>
      <c r="PM12" s="472"/>
      <c r="PN12" s="472"/>
      <c r="PO12" s="473"/>
      <c r="PP12" s="80" t="s">
        <v>511</v>
      </c>
      <c r="PQ12" s="471" t="s">
        <v>377</v>
      </c>
      <c r="PR12" s="472"/>
      <c r="PS12" s="472"/>
      <c r="PT12" s="473"/>
      <c r="PU12" s="80" t="s">
        <v>511</v>
      </c>
      <c r="PV12" s="471" t="s">
        <v>377</v>
      </c>
      <c r="PW12" s="472"/>
      <c r="PX12" s="472"/>
      <c r="PY12" s="473"/>
      <c r="PZ12" s="80" t="s">
        <v>511</v>
      </c>
      <c r="QA12" s="479"/>
      <c r="QB12" s="528"/>
      <c r="QC12" s="466"/>
      <c r="QD12" s="466"/>
      <c r="QE12" s="466"/>
      <c r="QF12" s="467"/>
      <c r="QG12" s="471" t="s">
        <v>377</v>
      </c>
      <c r="QH12" s="472"/>
      <c r="QI12" s="472"/>
      <c r="QJ12" s="473"/>
      <c r="QK12" s="80" t="s">
        <v>511</v>
      </c>
      <c r="QL12" s="471" t="s">
        <v>377</v>
      </c>
      <c r="QM12" s="472"/>
      <c r="QN12" s="472"/>
      <c r="QO12" s="473"/>
      <c r="QP12" s="80" t="s">
        <v>511</v>
      </c>
      <c r="QQ12" s="471" t="s">
        <v>377</v>
      </c>
      <c r="QR12" s="472"/>
      <c r="QS12" s="472"/>
      <c r="QT12" s="473"/>
      <c r="QU12" s="80" t="s">
        <v>511</v>
      </c>
      <c r="QV12" s="471" t="s">
        <v>377</v>
      </c>
      <c r="QW12" s="472"/>
      <c r="QX12" s="472"/>
      <c r="QY12" s="473"/>
      <c r="QZ12" s="80" t="s">
        <v>511</v>
      </c>
      <c r="RA12" s="479"/>
      <c r="RB12" s="528"/>
      <c r="RC12" s="466"/>
      <c r="RD12" s="466"/>
      <c r="RE12" s="466"/>
      <c r="RF12" s="467"/>
      <c r="RG12" s="471" t="s">
        <v>377</v>
      </c>
      <c r="RH12" s="472"/>
      <c r="RI12" s="472"/>
      <c r="RJ12" s="473"/>
      <c r="RK12" s="80" t="s">
        <v>511</v>
      </c>
      <c r="RL12" s="471" t="s">
        <v>377</v>
      </c>
      <c r="RM12" s="472"/>
      <c r="RN12" s="472"/>
      <c r="RO12" s="473"/>
      <c r="RP12" s="80" t="s">
        <v>511</v>
      </c>
      <c r="RQ12" s="471" t="s">
        <v>377</v>
      </c>
      <c r="RR12" s="472"/>
      <c r="RS12" s="472"/>
      <c r="RT12" s="473"/>
      <c r="RU12" s="423" t="s">
        <v>511</v>
      </c>
      <c r="RV12" s="559" t="s">
        <v>377</v>
      </c>
      <c r="RW12" s="472"/>
      <c r="RX12" s="472"/>
      <c r="RY12" s="560"/>
      <c r="RZ12" s="80" t="s">
        <v>511</v>
      </c>
      <c r="SA12" s="479"/>
      <c r="SB12" s="528"/>
      <c r="SC12" s="466"/>
      <c r="SD12" s="466"/>
      <c r="SE12" s="466"/>
      <c r="SF12" s="467"/>
      <c r="SG12" s="471" t="s">
        <v>377</v>
      </c>
      <c r="SH12" s="472"/>
      <c r="SI12" s="472"/>
      <c r="SJ12" s="473"/>
      <c r="SK12" s="80" t="s">
        <v>511</v>
      </c>
      <c r="SL12" s="471" t="s">
        <v>377</v>
      </c>
      <c r="SM12" s="472"/>
      <c r="SN12" s="472"/>
      <c r="SO12" s="473"/>
      <c r="SP12" s="80" t="s">
        <v>511</v>
      </c>
      <c r="SQ12" s="471" t="s">
        <v>377</v>
      </c>
      <c r="SR12" s="472"/>
      <c r="SS12" s="472"/>
      <c r="ST12" s="473"/>
      <c r="SU12" s="80" t="s">
        <v>511</v>
      </c>
      <c r="SV12" s="471" t="s">
        <v>377</v>
      </c>
      <c r="SW12" s="472"/>
      <c r="SX12" s="472"/>
      <c r="SY12" s="473"/>
      <c r="SZ12" s="80" t="s">
        <v>749</v>
      </c>
      <c r="TA12" s="479"/>
      <c r="TB12" s="528"/>
      <c r="TC12" s="466"/>
      <c r="TD12" s="466"/>
      <c r="TE12" s="466"/>
      <c r="TF12" s="467"/>
      <c r="TG12" s="471" t="s">
        <v>377</v>
      </c>
      <c r="TH12" s="472"/>
      <c r="TI12" s="472"/>
      <c r="TJ12" s="473"/>
      <c r="TK12" s="80" t="s">
        <v>749</v>
      </c>
      <c r="TL12" s="471" t="s">
        <v>377</v>
      </c>
      <c r="TM12" s="472"/>
      <c r="TN12" s="472"/>
      <c r="TO12" s="473"/>
      <c r="TP12" s="80" t="s">
        <v>749</v>
      </c>
      <c r="TQ12" s="471" t="s">
        <v>377</v>
      </c>
      <c r="TR12" s="472"/>
      <c r="TS12" s="472"/>
      <c r="TT12" s="473"/>
      <c r="TU12" s="80" t="s">
        <v>749</v>
      </c>
      <c r="TV12" s="471" t="s">
        <v>377</v>
      </c>
      <c r="TW12" s="472"/>
      <c r="TX12" s="472"/>
      <c r="TY12" s="473"/>
      <c r="TZ12" s="80" t="s">
        <v>511</v>
      </c>
      <c r="UA12" s="479"/>
      <c r="UB12" s="528"/>
      <c r="UC12" s="466"/>
      <c r="UD12" s="466"/>
      <c r="UE12" s="466"/>
      <c r="UF12" s="467"/>
      <c r="UG12" s="471" t="s">
        <v>377</v>
      </c>
      <c r="UH12" s="472"/>
      <c r="UI12" s="472"/>
      <c r="UJ12" s="473"/>
      <c r="UK12" s="423" t="s">
        <v>749</v>
      </c>
      <c r="UL12" s="471" t="s">
        <v>377</v>
      </c>
      <c r="UM12" s="472"/>
      <c r="UN12" s="472"/>
      <c r="UO12" s="473"/>
      <c r="UP12" s="80" t="s">
        <v>749</v>
      </c>
      <c r="UQ12" s="471" t="s">
        <v>377</v>
      </c>
      <c r="UR12" s="472"/>
      <c r="US12" s="472"/>
      <c r="UT12" s="473"/>
      <c r="UU12" s="80" t="s">
        <v>749</v>
      </c>
      <c r="UV12" s="471" t="s">
        <v>377</v>
      </c>
      <c r="UW12" s="472"/>
      <c r="UX12" s="472"/>
      <c r="UY12" s="473"/>
      <c r="UZ12" s="80" t="s">
        <v>749</v>
      </c>
      <c r="VA12" s="479"/>
      <c r="VB12" s="528"/>
      <c r="VC12" s="466"/>
      <c r="VD12" s="466"/>
      <c r="VE12" s="466"/>
      <c r="VF12" s="467"/>
      <c r="VG12" s="471" t="s">
        <v>377</v>
      </c>
      <c r="VH12" s="472"/>
      <c r="VI12" s="472"/>
      <c r="VJ12" s="473"/>
      <c r="VK12" s="423" t="s">
        <v>749</v>
      </c>
      <c r="VL12" s="471" t="s">
        <v>377</v>
      </c>
      <c r="VM12" s="472"/>
      <c r="VN12" s="472"/>
      <c r="VO12" s="473"/>
      <c r="VP12" s="80" t="s">
        <v>511</v>
      </c>
      <c r="VQ12" s="471" t="s">
        <v>377</v>
      </c>
      <c r="VR12" s="472"/>
      <c r="VS12" s="472"/>
      <c r="VT12" s="473"/>
      <c r="VU12" s="80" t="s">
        <v>511</v>
      </c>
      <c r="VV12" s="471" t="s">
        <v>377</v>
      </c>
      <c r="VW12" s="472"/>
      <c r="VX12" s="472"/>
      <c r="VY12" s="473"/>
      <c r="VZ12" s="80" t="s">
        <v>511</v>
      </c>
      <c r="WA12" s="479"/>
      <c r="WB12" s="528"/>
      <c r="WC12" s="466"/>
      <c r="WD12" s="466"/>
      <c r="WE12" s="466"/>
      <c r="WF12" s="467"/>
      <c r="WG12" s="471" t="s">
        <v>377</v>
      </c>
      <c r="WH12" s="472"/>
      <c r="WI12" s="472"/>
      <c r="WJ12" s="473"/>
      <c r="WK12" s="80" t="s">
        <v>511</v>
      </c>
      <c r="WL12" s="471" t="s">
        <v>377</v>
      </c>
      <c r="WM12" s="472"/>
      <c r="WN12" s="472"/>
      <c r="WO12" s="473"/>
      <c r="WP12" s="80" t="s">
        <v>511</v>
      </c>
      <c r="WQ12" s="471" t="s">
        <v>377</v>
      </c>
      <c r="WR12" s="472"/>
      <c r="WS12" s="472"/>
      <c r="WT12" s="473"/>
      <c r="WU12" s="80" t="s">
        <v>511</v>
      </c>
      <c r="WV12" s="471" t="s">
        <v>377</v>
      </c>
      <c r="WW12" s="472"/>
      <c r="WX12" s="472"/>
      <c r="WY12" s="473"/>
      <c r="WZ12" s="80" t="s">
        <v>511</v>
      </c>
      <c r="XA12" s="479"/>
      <c r="XB12" s="528"/>
      <c r="XC12" s="466"/>
      <c r="XD12" s="466"/>
      <c r="XE12" s="466"/>
      <c r="XF12" s="467"/>
      <c r="XG12" s="471" t="s">
        <v>377</v>
      </c>
      <c r="XH12" s="472"/>
      <c r="XI12" s="472"/>
      <c r="XJ12" s="473"/>
      <c r="XK12" s="80" t="s">
        <v>511</v>
      </c>
      <c r="XL12" s="471" t="s">
        <v>377</v>
      </c>
      <c r="XM12" s="472"/>
      <c r="XN12" s="472"/>
      <c r="XO12" s="473"/>
      <c r="XP12" s="80" t="s">
        <v>511</v>
      </c>
      <c r="XQ12" s="471" t="s">
        <v>377</v>
      </c>
      <c r="XR12" s="472"/>
      <c r="XS12" s="472"/>
      <c r="XT12" s="473"/>
      <c r="XU12" s="80" t="s">
        <v>511</v>
      </c>
      <c r="XV12" s="471" t="s">
        <v>377</v>
      </c>
      <c r="XW12" s="472"/>
      <c r="XX12" s="472"/>
      <c r="XY12" s="473"/>
      <c r="XZ12" s="80" t="s">
        <v>511</v>
      </c>
      <c r="YA12" s="479"/>
      <c r="YB12" s="528"/>
      <c r="YC12" s="466"/>
      <c r="YD12" s="466"/>
      <c r="YE12" s="466"/>
      <c r="YF12" s="467"/>
      <c r="YG12" s="471" t="s">
        <v>377</v>
      </c>
      <c r="YH12" s="472"/>
      <c r="YI12" s="472"/>
      <c r="YJ12" s="473"/>
      <c r="YK12" s="80" t="s">
        <v>511</v>
      </c>
      <c r="YL12" s="471" t="s">
        <v>377</v>
      </c>
      <c r="YM12" s="472"/>
      <c r="YN12" s="472"/>
      <c r="YO12" s="473"/>
      <c r="YP12" s="80" t="s">
        <v>511</v>
      </c>
      <c r="YQ12" s="471" t="s">
        <v>377</v>
      </c>
      <c r="YR12" s="472"/>
      <c r="YS12" s="472"/>
      <c r="YT12" s="473"/>
      <c r="YU12" s="80" t="s">
        <v>511</v>
      </c>
      <c r="YV12" s="471" t="s">
        <v>377</v>
      </c>
      <c r="YW12" s="472"/>
      <c r="YX12" s="472"/>
      <c r="YY12" s="473"/>
      <c r="YZ12" s="80" t="s">
        <v>511</v>
      </c>
      <c r="ZA12" s="479"/>
      <c r="ZB12" s="528"/>
      <c r="ZC12" s="466"/>
      <c r="ZD12" s="466"/>
      <c r="ZE12" s="466"/>
      <c r="ZF12" s="467"/>
      <c r="ZG12" s="471" t="s">
        <v>377</v>
      </c>
      <c r="ZH12" s="472"/>
      <c r="ZI12" s="472"/>
      <c r="ZJ12" s="473"/>
      <c r="ZK12" s="80" t="s">
        <v>749</v>
      </c>
      <c r="ZL12" s="471" t="s">
        <v>377</v>
      </c>
      <c r="ZM12" s="472"/>
      <c r="ZN12" s="472"/>
      <c r="ZO12" s="473"/>
      <c r="ZP12" s="80" t="s">
        <v>749</v>
      </c>
      <c r="ZQ12" s="471" t="s">
        <v>377</v>
      </c>
      <c r="ZR12" s="472"/>
      <c r="ZS12" s="472"/>
      <c r="ZT12" s="473"/>
      <c r="ZU12" s="80" t="s">
        <v>511</v>
      </c>
      <c r="ZV12" s="471" t="s">
        <v>377</v>
      </c>
      <c r="ZW12" s="472"/>
      <c r="ZX12" s="472"/>
      <c r="ZY12" s="473"/>
      <c r="ZZ12" s="80" t="s">
        <v>511</v>
      </c>
      <c r="AAA12" s="479"/>
      <c r="AAB12" s="528"/>
      <c r="AAC12" s="466"/>
      <c r="AAD12" s="466"/>
      <c r="AAE12" s="466"/>
      <c r="AAF12" s="467"/>
      <c r="AAG12" s="471" t="s">
        <v>377</v>
      </c>
      <c r="AAH12" s="472"/>
      <c r="AAI12" s="472"/>
      <c r="AAJ12" s="473"/>
      <c r="AAK12" s="80" t="s">
        <v>511</v>
      </c>
      <c r="AAL12" s="471" t="s">
        <v>377</v>
      </c>
      <c r="AAM12" s="472"/>
      <c r="AAN12" s="472"/>
      <c r="AAO12" s="473"/>
      <c r="AAP12" s="80" t="s">
        <v>511</v>
      </c>
      <c r="AAQ12" s="471" t="s">
        <v>377</v>
      </c>
      <c r="AAR12" s="472"/>
      <c r="AAS12" s="472"/>
      <c r="AAT12" s="473"/>
      <c r="AAU12" s="80" t="s">
        <v>749</v>
      </c>
      <c r="AAV12" s="471" t="s">
        <v>377</v>
      </c>
      <c r="AAW12" s="472"/>
      <c r="AAX12" s="472"/>
      <c r="AAY12" s="473"/>
      <c r="AAZ12" s="80" t="s">
        <v>749</v>
      </c>
      <c r="ABA12" s="479"/>
      <c r="ABB12" s="528"/>
      <c r="ABC12" s="466"/>
      <c r="ABD12" s="466"/>
      <c r="ABE12" s="466"/>
      <c r="ABF12" s="467"/>
      <c r="ABG12" s="471" t="s">
        <v>377</v>
      </c>
      <c r="ABH12" s="472"/>
      <c r="ABI12" s="472"/>
      <c r="ABJ12" s="473"/>
      <c r="ABK12" s="80" t="s">
        <v>511</v>
      </c>
      <c r="ABL12" s="471" t="s">
        <v>377</v>
      </c>
      <c r="ABM12" s="472"/>
      <c r="ABN12" s="472"/>
      <c r="ABO12" s="473"/>
      <c r="ABP12" s="80" t="s">
        <v>511</v>
      </c>
      <c r="ABQ12" s="471" t="s">
        <v>377</v>
      </c>
      <c r="ABR12" s="472"/>
      <c r="ABS12" s="472"/>
      <c r="ABT12" s="473"/>
      <c r="ABU12" s="80" t="s">
        <v>749</v>
      </c>
      <c r="ABV12" s="471" t="s">
        <v>377</v>
      </c>
      <c r="ABW12" s="472"/>
      <c r="ABX12" s="472"/>
      <c r="ABY12" s="473"/>
      <c r="ABZ12" s="80" t="s">
        <v>749</v>
      </c>
      <c r="ACA12" s="479"/>
      <c r="ACB12" s="528"/>
      <c r="ACC12" s="466"/>
      <c r="ACD12" s="466"/>
      <c r="ACE12" s="466"/>
      <c r="ACF12" s="467"/>
      <c r="ACG12" s="471" t="s">
        <v>377</v>
      </c>
      <c r="ACH12" s="472"/>
      <c r="ACI12" s="472"/>
      <c r="ACJ12" s="473"/>
      <c r="ACK12" s="80" t="s">
        <v>749</v>
      </c>
      <c r="ACL12" s="471" t="s">
        <v>377</v>
      </c>
      <c r="ACM12" s="472"/>
      <c r="ACN12" s="472"/>
      <c r="ACO12" s="473"/>
      <c r="ACP12" s="80" t="s">
        <v>511</v>
      </c>
      <c r="ACQ12" s="471" t="s">
        <v>377</v>
      </c>
      <c r="ACR12" s="472"/>
      <c r="ACS12" s="472"/>
      <c r="ACT12" s="473"/>
      <c r="ACU12" s="80" t="s">
        <v>749</v>
      </c>
      <c r="ACV12" s="471" t="s">
        <v>377</v>
      </c>
      <c r="ACW12" s="472"/>
      <c r="ACX12" s="472"/>
      <c r="ACY12" s="473"/>
      <c r="ACZ12" s="80" t="s">
        <v>511</v>
      </c>
      <c r="ADA12" s="479"/>
      <c r="ADB12" s="528"/>
      <c r="ADC12" s="466"/>
      <c r="ADD12" s="466"/>
      <c r="ADE12" s="466"/>
      <c r="ADF12" s="467"/>
      <c r="ADG12" s="471" t="s">
        <v>377</v>
      </c>
      <c r="ADH12" s="472"/>
      <c r="ADI12" s="472"/>
      <c r="ADJ12" s="473"/>
      <c r="ADK12" s="80" t="s">
        <v>511</v>
      </c>
      <c r="ADL12" s="471" t="s">
        <v>377</v>
      </c>
      <c r="ADM12" s="472"/>
      <c r="ADN12" s="472"/>
      <c r="ADO12" s="473"/>
      <c r="ADP12" s="80" t="s">
        <v>511</v>
      </c>
      <c r="ADQ12" s="471" t="s">
        <v>377</v>
      </c>
      <c r="ADR12" s="472"/>
      <c r="ADS12" s="472"/>
      <c r="ADT12" s="473"/>
      <c r="ADU12" s="80" t="s">
        <v>511</v>
      </c>
      <c r="ADV12" s="471" t="s">
        <v>377</v>
      </c>
      <c r="ADW12" s="472"/>
      <c r="ADX12" s="472"/>
      <c r="ADY12" s="473"/>
      <c r="ADZ12" s="80" t="s">
        <v>511</v>
      </c>
      <c r="AEA12" s="479"/>
      <c r="AEB12" s="528"/>
      <c r="AEC12" s="466"/>
      <c r="AED12" s="466"/>
      <c r="AEE12" s="466"/>
      <c r="AEF12" s="467"/>
      <c r="AEG12" s="471" t="s">
        <v>377</v>
      </c>
      <c r="AEH12" s="472"/>
      <c r="AEI12" s="472"/>
      <c r="AEJ12" s="473"/>
      <c r="AEK12" s="80" t="s">
        <v>511</v>
      </c>
      <c r="AEL12" s="471" t="s">
        <v>377</v>
      </c>
      <c r="AEM12" s="472"/>
      <c r="AEN12" s="472"/>
      <c r="AEO12" s="473"/>
      <c r="AEP12" s="80" t="s">
        <v>202</v>
      </c>
      <c r="AEQ12" s="471" t="s">
        <v>377</v>
      </c>
      <c r="AER12" s="472"/>
      <c r="AES12" s="472"/>
      <c r="AET12" s="473"/>
      <c r="AEU12" s="80" t="s">
        <v>511</v>
      </c>
      <c r="AEV12" s="471" t="s">
        <v>377</v>
      </c>
      <c r="AEW12" s="472"/>
      <c r="AEX12" s="472"/>
      <c r="AEY12" s="473"/>
      <c r="AEZ12" s="80" t="s">
        <v>749</v>
      </c>
      <c r="AFA12" s="479"/>
      <c r="AFB12" s="528"/>
      <c r="AFC12" s="466"/>
      <c r="AFD12" s="466"/>
      <c r="AFE12" s="466"/>
      <c r="AFF12" s="467"/>
      <c r="AFG12" s="471" t="s">
        <v>377</v>
      </c>
      <c r="AFH12" s="472"/>
      <c r="AFI12" s="472"/>
      <c r="AFJ12" s="473"/>
      <c r="AFK12" s="80" t="s">
        <v>511</v>
      </c>
      <c r="AFL12" s="471" t="s">
        <v>377</v>
      </c>
      <c r="AFM12" s="472"/>
      <c r="AFN12" s="472"/>
      <c r="AFO12" s="473"/>
      <c r="AFP12" s="80" t="s">
        <v>511</v>
      </c>
      <c r="AFQ12" s="471" t="s">
        <v>377</v>
      </c>
      <c r="AFR12" s="472"/>
      <c r="AFS12" s="472"/>
      <c r="AFT12" s="473"/>
      <c r="AFU12" s="80" t="s">
        <v>511</v>
      </c>
      <c r="AFV12" s="471" t="s">
        <v>377</v>
      </c>
      <c r="AFW12" s="472"/>
      <c r="AFX12" s="472"/>
      <c r="AFY12" s="473"/>
      <c r="AFZ12" s="80" t="s">
        <v>511</v>
      </c>
      <c r="AGA12" s="479"/>
      <c r="AGB12" s="528"/>
      <c r="AGC12" s="466"/>
      <c r="AGD12" s="466"/>
      <c r="AGE12" s="466"/>
      <c r="AGF12" s="467"/>
      <c r="AGG12" s="471" t="s">
        <v>377</v>
      </c>
      <c r="AGH12" s="472"/>
      <c r="AGI12" s="472"/>
      <c r="AGJ12" s="473"/>
      <c r="AGK12" s="80" t="s">
        <v>511</v>
      </c>
      <c r="AGL12" s="471" t="s">
        <v>377</v>
      </c>
      <c r="AGM12" s="472"/>
      <c r="AGN12" s="472"/>
      <c r="AGO12" s="473"/>
      <c r="AGP12" s="80" t="s">
        <v>749</v>
      </c>
      <c r="AGQ12" s="471" t="s">
        <v>377</v>
      </c>
      <c r="AGR12" s="472"/>
      <c r="AGS12" s="472"/>
      <c r="AGT12" s="473"/>
      <c r="AGU12" s="80" t="s">
        <v>511</v>
      </c>
      <c r="AGV12" s="471" t="s">
        <v>377</v>
      </c>
      <c r="AGW12" s="472"/>
      <c r="AGX12" s="472"/>
      <c r="AGY12" s="473"/>
      <c r="AGZ12" s="80" t="s">
        <v>511</v>
      </c>
      <c r="AHA12" s="479"/>
      <c r="AHB12" s="528"/>
      <c r="AHC12" s="466"/>
      <c r="AHD12" s="466"/>
      <c r="AHE12" s="466"/>
      <c r="AHF12" s="467"/>
      <c r="AHG12" s="471" t="s">
        <v>377</v>
      </c>
      <c r="AHH12" s="472"/>
      <c r="AHI12" s="472"/>
      <c r="AHJ12" s="473"/>
      <c r="AHK12" s="80" t="s">
        <v>511</v>
      </c>
      <c r="AHL12" s="471" t="s">
        <v>377</v>
      </c>
      <c r="AHM12" s="472"/>
      <c r="AHN12" s="472"/>
      <c r="AHO12" s="473"/>
      <c r="AHP12" s="80" t="s">
        <v>749</v>
      </c>
      <c r="AHQ12" s="471" t="s">
        <v>377</v>
      </c>
      <c r="AHR12" s="472"/>
      <c r="AHS12" s="472"/>
      <c r="AHT12" s="473"/>
      <c r="AHU12" s="80" t="s">
        <v>749</v>
      </c>
      <c r="AHV12" s="471" t="s">
        <v>377</v>
      </c>
      <c r="AHW12" s="472"/>
      <c r="AHX12" s="472"/>
      <c r="AHY12" s="473"/>
      <c r="AHZ12" s="80" t="s">
        <v>749</v>
      </c>
      <c r="AIA12" s="479"/>
      <c r="AIB12" s="528"/>
      <c r="AIC12" s="466"/>
      <c r="AID12" s="466"/>
      <c r="AIE12" s="466"/>
      <c r="AIF12" s="467"/>
      <c r="AIG12" s="471" t="s">
        <v>377</v>
      </c>
      <c r="AIH12" s="472"/>
      <c r="AII12" s="472"/>
      <c r="AIJ12" s="473"/>
      <c r="AIK12" s="80" t="s">
        <v>511</v>
      </c>
      <c r="AIL12" s="471" t="s">
        <v>377</v>
      </c>
      <c r="AIM12" s="472"/>
      <c r="AIN12" s="472"/>
      <c r="AIO12" s="473"/>
      <c r="AIP12" s="80" t="s">
        <v>511</v>
      </c>
      <c r="AIQ12" s="471" t="s">
        <v>377</v>
      </c>
      <c r="AIR12" s="472"/>
      <c r="AIS12" s="472"/>
      <c r="AIT12" s="473"/>
      <c r="AIU12" s="80" t="s">
        <v>511</v>
      </c>
      <c r="AIV12" s="471" t="s">
        <v>377</v>
      </c>
      <c r="AIW12" s="472"/>
      <c r="AIX12" s="472"/>
      <c r="AIY12" s="473"/>
      <c r="AIZ12" s="80" t="s">
        <v>511</v>
      </c>
      <c r="AJA12" s="479"/>
      <c r="AJB12" s="528"/>
      <c r="AJC12" s="466"/>
      <c r="AJD12" s="466"/>
      <c r="AJE12" s="466"/>
      <c r="AJF12" s="467"/>
      <c r="AJG12" s="471" t="s">
        <v>377</v>
      </c>
      <c r="AJH12" s="472"/>
      <c r="AJI12" s="472"/>
      <c r="AJJ12" s="473"/>
      <c r="AJK12" s="80" t="s">
        <v>511</v>
      </c>
      <c r="AJL12" s="471" t="s">
        <v>377</v>
      </c>
      <c r="AJM12" s="472"/>
      <c r="AJN12" s="472"/>
      <c r="AJO12" s="473"/>
      <c r="AJP12" s="80" t="s">
        <v>511</v>
      </c>
      <c r="AJQ12" s="471" t="s">
        <v>377</v>
      </c>
      <c r="AJR12" s="472"/>
      <c r="AJS12" s="472"/>
      <c r="AJT12" s="473"/>
      <c r="AJU12" s="80" t="s">
        <v>511</v>
      </c>
      <c r="AJV12" s="471" t="s">
        <v>377</v>
      </c>
      <c r="AJW12" s="472"/>
      <c r="AJX12" s="472"/>
      <c r="AJY12" s="473"/>
      <c r="AJZ12" s="80" t="s">
        <v>511</v>
      </c>
      <c r="AKA12" s="479"/>
      <c r="AKB12" s="528"/>
      <c r="AKC12" s="466"/>
      <c r="AKD12" s="466"/>
      <c r="AKE12" s="466"/>
      <c r="AKF12" s="467"/>
      <c r="AKG12" s="471" t="s">
        <v>377</v>
      </c>
      <c r="AKH12" s="472"/>
      <c r="AKI12" s="472"/>
      <c r="AKJ12" s="473"/>
      <c r="AKK12" s="80" t="s">
        <v>749</v>
      </c>
      <c r="AKL12" s="471" t="s">
        <v>377</v>
      </c>
      <c r="AKM12" s="472"/>
      <c r="AKN12" s="472"/>
      <c r="AKO12" s="473"/>
      <c r="AKP12" s="80" t="s">
        <v>749</v>
      </c>
      <c r="AKQ12" s="471" t="s">
        <v>377</v>
      </c>
      <c r="AKR12" s="472"/>
      <c r="AKS12" s="472"/>
      <c r="AKT12" s="473"/>
      <c r="AKU12" s="80" t="s">
        <v>511</v>
      </c>
      <c r="AKV12" s="471"/>
      <c r="AKW12" s="472"/>
      <c r="AKX12" s="472"/>
      <c r="AKY12" s="473"/>
      <c r="AKZ12" s="80"/>
    </row>
    <row r="13" spans="1:988" ht="45" customHeight="1" x14ac:dyDescent="0.4">
      <c r="A13" s="479"/>
      <c r="B13" s="507" t="s">
        <v>3</v>
      </c>
      <c r="C13" s="485"/>
      <c r="D13" s="485"/>
      <c r="E13" s="485"/>
      <c r="F13" s="486"/>
      <c r="G13" s="474">
        <v>44652</v>
      </c>
      <c r="H13" s="475"/>
      <c r="I13" s="475"/>
      <c r="J13" s="476"/>
      <c r="K13" s="402">
        <v>44652</v>
      </c>
      <c r="L13" s="474">
        <v>44653</v>
      </c>
      <c r="M13" s="475"/>
      <c r="N13" s="475"/>
      <c r="O13" s="476"/>
      <c r="P13" s="402">
        <v>44653</v>
      </c>
      <c r="Q13" s="474">
        <v>44654</v>
      </c>
      <c r="R13" s="475"/>
      <c r="S13" s="475"/>
      <c r="T13" s="476"/>
      <c r="U13" s="402">
        <v>44654</v>
      </c>
      <c r="V13" s="474">
        <v>44655</v>
      </c>
      <c r="W13" s="475"/>
      <c r="X13" s="475"/>
      <c r="Y13" s="476"/>
      <c r="Z13" s="402">
        <v>44655</v>
      </c>
      <c r="AA13" s="479"/>
      <c r="AB13" s="507" t="s">
        <v>3</v>
      </c>
      <c r="AC13" s="485"/>
      <c r="AD13" s="485"/>
      <c r="AE13" s="485"/>
      <c r="AF13" s="486"/>
      <c r="AG13" s="474">
        <v>44656</v>
      </c>
      <c r="AH13" s="475"/>
      <c r="AI13" s="475"/>
      <c r="AJ13" s="476"/>
      <c r="AK13" s="402">
        <v>44656</v>
      </c>
      <c r="AL13" s="474">
        <v>44657</v>
      </c>
      <c r="AM13" s="475"/>
      <c r="AN13" s="475"/>
      <c r="AO13" s="476"/>
      <c r="AP13" s="402">
        <v>44657</v>
      </c>
      <c r="AQ13" s="474">
        <v>44658</v>
      </c>
      <c r="AR13" s="475"/>
      <c r="AS13" s="475"/>
      <c r="AT13" s="476"/>
      <c r="AU13" s="402">
        <v>44658</v>
      </c>
      <c r="AV13" s="474">
        <v>44659</v>
      </c>
      <c r="AW13" s="475"/>
      <c r="AX13" s="475"/>
      <c r="AY13" s="476"/>
      <c r="AZ13" s="402">
        <v>44659</v>
      </c>
      <c r="BA13" s="479"/>
      <c r="BB13" s="507" t="s">
        <v>3</v>
      </c>
      <c r="BC13" s="485"/>
      <c r="BD13" s="485"/>
      <c r="BE13" s="485"/>
      <c r="BF13" s="486"/>
      <c r="BG13" s="474">
        <v>44660</v>
      </c>
      <c r="BH13" s="475"/>
      <c r="BI13" s="475"/>
      <c r="BJ13" s="476"/>
      <c r="BK13" s="402">
        <v>44660</v>
      </c>
      <c r="BL13" s="474">
        <v>44661</v>
      </c>
      <c r="BM13" s="475"/>
      <c r="BN13" s="475"/>
      <c r="BO13" s="476"/>
      <c r="BP13" s="402">
        <v>44661</v>
      </c>
      <c r="BQ13" s="474">
        <v>44663</v>
      </c>
      <c r="BR13" s="475"/>
      <c r="BS13" s="475"/>
      <c r="BT13" s="476"/>
      <c r="BU13" s="489" t="s">
        <v>754</v>
      </c>
      <c r="BV13" s="474">
        <v>44664</v>
      </c>
      <c r="BW13" s="475"/>
      <c r="BX13" s="475"/>
      <c r="BY13" s="476"/>
      <c r="BZ13" s="516" t="s">
        <v>691</v>
      </c>
      <c r="CA13" s="479"/>
      <c r="CB13" s="507" t="s">
        <v>3</v>
      </c>
      <c r="CC13" s="485"/>
      <c r="CD13" s="485"/>
      <c r="CE13" s="485"/>
      <c r="CF13" s="486"/>
      <c r="CG13" s="474">
        <v>44666</v>
      </c>
      <c r="CH13" s="475"/>
      <c r="CI13" s="475"/>
      <c r="CJ13" s="476"/>
      <c r="CK13" s="516" t="s">
        <v>691</v>
      </c>
      <c r="CL13" s="474">
        <v>44667</v>
      </c>
      <c r="CM13" s="475"/>
      <c r="CN13" s="475"/>
      <c r="CO13" s="476"/>
      <c r="CP13" s="402">
        <v>44667</v>
      </c>
      <c r="CQ13" s="474">
        <v>44668</v>
      </c>
      <c r="CR13" s="475"/>
      <c r="CS13" s="475"/>
      <c r="CT13" s="476"/>
      <c r="CU13" s="402">
        <v>44668</v>
      </c>
      <c r="CV13" s="474">
        <v>44669</v>
      </c>
      <c r="CW13" s="475"/>
      <c r="CX13" s="475"/>
      <c r="CY13" s="476"/>
      <c r="CZ13" s="516" t="s">
        <v>691</v>
      </c>
      <c r="DA13" s="479"/>
      <c r="DB13" s="507" t="s">
        <v>3</v>
      </c>
      <c r="DC13" s="485"/>
      <c r="DD13" s="485"/>
      <c r="DE13" s="485"/>
      <c r="DF13" s="486"/>
      <c r="DG13" s="474">
        <v>44670</v>
      </c>
      <c r="DH13" s="475"/>
      <c r="DI13" s="475"/>
      <c r="DJ13" s="476"/>
      <c r="DK13" s="402">
        <v>44670</v>
      </c>
      <c r="DL13" s="474">
        <v>44671</v>
      </c>
      <c r="DM13" s="475"/>
      <c r="DN13" s="475"/>
      <c r="DO13" s="476"/>
      <c r="DP13" s="402">
        <v>44671</v>
      </c>
      <c r="DQ13" s="474">
        <v>44673</v>
      </c>
      <c r="DR13" s="475"/>
      <c r="DS13" s="475"/>
      <c r="DT13" s="476"/>
      <c r="DU13" s="402">
        <v>44673</v>
      </c>
      <c r="DV13" s="474">
        <v>44675</v>
      </c>
      <c r="DW13" s="475"/>
      <c r="DX13" s="475"/>
      <c r="DY13" s="476"/>
      <c r="DZ13" s="516" t="s">
        <v>691</v>
      </c>
      <c r="EA13" s="479"/>
      <c r="EB13" s="507" t="s">
        <v>3</v>
      </c>
      <c r="EC13" s="485"/>
      <c r="ED13" s="485"/>
      <c r="EE13" s="485"/>
      <c r="EF13" s="486"/>
      <c r="EG13" s="474">
        <v>44676</v>
      </c>
      <c r="EH13" s="475"/>
      <c r="EI13" s="475"/>
      <c r="EJ13" s="476"/>
      <c r="EK13" s="516" t="s">
        <v>691</v>
      </c>
      <c r="EL13" s="474">
        <v>44679</v>
      </c>
      <c r="EM13" s="475"/>
      <c r="EN13" s="475"/>
      <c r="EO13" s="476"/>
      <c r="EP13" s="402">
        <v>44679</v>
      </c>
      <c r="EQ13" s="474">
        <v>44681</v>
      </c>
      <c r="ER13" s="475"/>
      <c r="ES13" s="475"/>
      <c r="ET13" s="476"/>
      <c r="EU13" s="402">
        <v>44681</v>
      </c>
      <c r="EV13" s="474">
        <v>44682</v>
      </c>
      <c r="EW13" s="475"/>
      <c r="EX13" s="475"/>
      <c r="EY13" s="476"/>
      <c r="EZ13" s="516" t="s">
        <v>691</v>
      </c>
      <c r="FA13" s="479"/>
      <c r="FB13" s="507" t="s">
        <v>3</v>
      </c>
      <c r="FC13" s="485"/>
      <c r="FD13" s="485"/>
      <c r="FE13" s="485"/>
      <c r="FF13" s="486"/>
      <c r="FG13" s="474">
        <v>44683</v>
      </c>
      <c r="FH13" s="475"/>
      <c r="FI13" s="475"/>
      <c r="FJ13" s="476"/>
      <c r="FK13" s="516" t="s">
        <v>688</v>
      </c>
      <c r="FL13" s="474">
        <v>44684</v>
      </c>
      <c r="FM13" s="475"/>
      <c r="FN13" s="475"/>
      <c r="FO13" s="476"/>
      <c r="FP13" s="402">
        <v>44684</v>
      </c>
      <c r="FQ13" s="474">
        <v>44685</v>
      </c>
      <c r="FR13" s="475"/>
      <c r="FS13" s="475"/>
      <c r="FT13" s="476"/>
      <c r="FU13" s="402">
        <v>44685</v>
      </c>
      <c r="FV13" s="474">
        <v>44686</v>
      </c>
      <c r="FW13" s="475"/>
      <c r="FX13" s="475"/>
      <c r="FY13" s="476"/>
      <c r="FZ13" s="516" t="s">
        <v>691</v>
      </c>
      <c r="GA13" s="479"/>
      <c r="GB13" s="507" t="s">
        <v>3</v>
      </c>
      <c r="GC13" s="485"/>
      <c r="GD13" s="485"/>
      <c r="GE13" s="485"/>
      <c r="GF13" s="486"/>
      <c r="GG13" s="474">
        <v>44687</v>
      </c>
      <c r="GH13" s="475"/>
      <c r="GI13" s="475"/>
      <c r="GJ13" s="476"/>
      <c r="GK13" s="516" t="s">
        <v>691</v>
      </c>
      <c r="GL13" s="474">
        <v>44688</v>
      </c>
      <c r="GM13" s="475"/>
      <c r="GN13" s="475"/>
      <c r="GO13" s="476"/>
      <c r="GP13" s="516" t="s">
        <v>691</v>
      </c>
      <c r="GQ13" s="474">
        <v>44689</v>
      </c>
      <c r="GR13" s="475"/>
      <c r="GS13" s="475"/>
      <c r="GT13" s="476"/>
      <c r="GU13" s="516" t="s">
        <v>688</v>
      </c>
      <c r="GV13" s="474">
        <v>44695</v>
      </c>
      <c r="GW13" s="475"/>
      <c r="GX13" s="475"/>
      <c r="GY13" s="476"/>
      <c r="GZ13" s="402">
        <v>44695</v>
      </c>
      <c r="HA13" s="479"/>
      <c r="HB13" s="507" t="s">
        <v>3</v>
      </c>
      <c r="HC13" s="485"/>
      <c r="HD13" s="485"/>
      <c r="HE13" s="485"/>
      <c r="HF13" s="486"/>
      <c r="HG13" s="474">
        <v>44696</v>
      </c>
      <c r="HH13" s="475"/>
      <c r="HI13" s="475"/>
      <c r="HJ13" s="476"/>
      <c r="HK13" s="516" t="s">
        <v>691</v>
      </c>
      <c r="HL13" s="474">
        <v>44697</v>
      </c>
      <c r="HM13" s="475"/>
      <c r="HN13" s="475"/>
      <c r="HO13" s="476"/>
      <c r="HP13" s="402">
        <v>44697</v>
      </c>
      <c r="HQ13" s="474">
        <v>44698</v>
      </c>
      <c r="HR13" s="475"/>
      <c r="HS13" s="475"/>
      <c r="HT13" s="476"/>
      <c r="HU13" s="402">
        <v>44698</v>
      </c>
      <c r="HV13" s="474">
        <v>44699</v>
      </c>
      <c r="HW13" s="475"/>
      <c r="HX13" s="475"/>
      <c r="HY13" s="476"/>
      <c r="HZ13" s="402">
        <v>44699</v>
      </c>
      <c r="IA13" s="479"/>
      <c r="IB13" s="507" t="s">
        <v>3</v>
      </c>
      <c r="IC13" s="485"/>
      <c r="ID13" s="485"/>
      <c r="IE13" s="485"/>
      <c r="IF13" s="486"/>
      <c r="IG13" s="474">
        <v>44702</v>
      </c>
      <c r="IH13" s="475"/>
      <c r="II13" s="475"/>
      <c r="IJ13" s="476"/>
      <c r="IK13" s="516" t="s">
        <v>688</v>
      </c>
      <c r="IL13" s="474">
        <v>44703</v>
      </c>
      <c r="IM13" s="475"/>
      <c r="IN13" s="475"/>
      <c r="IO13" s="476"/>
      <c r="IP13" s="402">
        <v>44703</v>
      </c>
      <c r="IQ13" s="474">
        <v>44710</v>
      </c>
      <c r="IR13" s="475"/>
      <c r="IS13" s="475"/>
      <c r="IT13" s="476"/>
      <c r="IU13" s="516" t="s">
        <v>691</v>
      </c>
      <c r="IV13" s="474">
        <v>44720</v>
      </c>
      <c r="IW13" s="475"/>
      <c r="IX13" s="475"/>
      <c r="IY13" s="476"/>
      <c r="IZ13" s="516" t="s">
        <v>691</v>
      </c>
      <c r="JA13" s="479"/>
      <c r="JB13" s="507" t="s">
        <v>3</v>
      </c>
      <c r="JC13" s="485"/>
      <c r="JD13" s="485"/>
      <c r="JE13" s="485"/>
      <c r="JF13" s="486"/>
      <c r="JG13" s="474">
        <v>44724</v>
      </c>
      <c r="JH13" s="475"/>
      <c r="JI13" s="475"/>
      <c r="JJ13" s="476"/>
      <c r="JK13" s="516" t="s">
        <v>688</v>
      </c>
      <c r="JL13" s="474">
        <v>44766</v>
      </c>
      <c r="JM13" s="475"/>
      <c r="JN13" s="475"/>
      <c r="JO13" s="476"/>
      <c r="JP13" s="516" t="s">
        <v>688</v>
      </c>
      <c r="JQ13" s="474">
        <v>44801</v>
      </c>
      <c r="JR13" s="475"/>
      <c r="JS13" s="475"/>
      <c r="JT13" s="476"/>
      <c r="JU13" s="402">
        <v>44801</v>
      </c>
      <c r="JV13" s="474">
        <v>44814</v>
      </c>
      <c r="JW13" s="475"/>
      <c r="JX13" s="475"/>
      <c r="JY13" s="476"/>
      <c r="JZ13" s="516" t="s">
        <v>688</v>
      </c>
      <c r="KA13" s="479"/>
      <c r="KB13" s="507" t="s">
        <v>3</v>
      </c>
      <c r="KC13" s="485"/>
      <c r="KD13" s="485"/>
      <c r="KE13" s="485"/>
      <c r="KF13" s="486"/>
      <c r="KG13" s="474">
        <v>44815</v>
      </c>
      <c r="KH13" s="475"/>
      <c r="KI13" s="475"/>
      <c r="KJ13" s="476"/>
      <c r="KK13" s="516" t="s">
        <v>688</v>
      </c>
      <c r="KL13" s="474">
        <v>44824</v>
      </c>
      <c r="KM13" s="475"/>
      <c r="KN13" s="475"/>
      <c r="KO13" s="476"/>
      <c r="KP13" s="516" t="s">
        <v>688</v>
      </c>
      <c r="KQ13" s="474">
        <v>44828</v>
      </c>
      <c r="KR13" s="475"/>
      <c r="KS13" s="475"/>
      <c r="KT13" s="476"/>
      <c r="KU13" s="516" t="s">
        <v>688</v>
      </c>
      <c r="KV13" s="474">
        <v>44829</v>
      </c>
      <c r="KW13" s="475"/>
      <c r="KX13" s="475"/>
      <c r="KY13" s="476"/>
      <c r="KZ13" s="402">
        <v>44829</v>
      </c>
      <c r="LA13" s="479"/>
      <c r="LB13" s="507" t="s">
        <v>3</v>
      </c>
      <c r="LC13" s="485"/>
      <c r="LD13" s="485"/>
      <c r="LE13" s="485"/>
      <c r="LF13" s="486"/>
      <c r="LG13" s="474">
        <v>44835</v>
      </c>
      <c r="LH13" s="475"/>
      <c r="LI13" s="475"/>
      <c r="LJ13" s="476"/>
      <c r="LK13" s="516" t="s">
        <v>688</v>
      </c>
      <c r="LL13" s="474">
        <v>44836</v>
      </c>
      <c r="LM13" s="475"/>
      <c r="LN13" s="475"/>
      <c r="LO13" s="476"/>
      <c r="LP13" s="402">
        <v>44836</v>
      </c>
      <c r="LQ13" s="474">
        <v>44842</v>
      </c>
      <c r="LR13" s="475"/>
      <c r="LS13" s="475"/>
      <c r="LT13" s="476"/>
      <c r="LU13" s="516" t="s">
        <v>688</v>
      </c>
      <c r="LV13" s="474">
        <v>44844</v>
      </c>
      <c r="LW13" s="475"/>
      <c r="LX13" s="475"/>
      <c r="LY13" s="476"/>
      <c r="LZ13" s="516" t="s">
        <v>688</v>
      </c>
      <c r="MA13" s="479"/>
      <c r="MB13" s="507" t="s">
        <v>3</v>
      </c>
      <c r="MC13" s="485"/>
      <c r="MD13" s="485"/>
      <c r="ME13" s="485"/>
      <c r="MF13" s="486"/>
      <c r="MG13" s="474">
        <v>44845</v>
      </c>
      <c r="MH13" s="475"/>
      <c r="MI13" s="475"/>
      <c r="MJ13" s="476"/>
      <c r="MK13" s="516" t="s">
        <v>688</v>
      </c>
      <c r="ML13" s="474">
        <v>44846</v>
      </c>
      <c r="MM13" s="475"/>
      <c r="MN13" s="475"/>
      <c r="MO13" s="476"/>
      <c r="MP13" s="516" t="s">
        <v>691</v>
      </c>
      <c r="MQ13" s="474">
        <v>44847</v>
      </c>
      <c r="MR13" s="475"/>
      <c r="MS13" s="475"/>
      <c r="MT13" s="476"/>
      <c r="MU13" s="516" t="s">
        <v>688</v>
      </c>
      <c r="MV13" s="474">
        <v>44848</v>
      </c>
      <c r="MW13" s="475"/>
      <c r="MX13" s="475"/>
      <c r="MY13" s="476"/>
      <c r="MZ13" s="516" t="s">
        <v>688</v>
      </c>
      <c r="NA13" s="479"/>
      <c r="NB13" s="507" t="s">
        <v>3</v>
      </c>
      <c r="NC13" s="485"/>
      <c r="ND13" s="485"/>
      <c r="NE13" s="485"/>
      <c r="NF13" s="486"/>
      <c r="NG13" s="474">
        <v>44849</v>
      </c>
      <c r="NH13" s="475"/>
      <c r="NI13" s="475"/>
      <c r="NJ13" s="476"/>
      <c r="NK13" s="516" t="s">
        <v>688</v>
      </c>
      <c r="NL13" s="474">
        <v>44850</v>
      </c>
      <c r="NM13" s="475"/>
      <c r="NN13" s="475"/>
      <c r="NO13" s="476"/>
      <c r="NP13" s="516" t="s">
        <v>688</v>
      </c>
      <c r="NQ13" s="474">
        <v>44852</v>
      </c>
      <c r="NR13" s="475"/>
      <c r="NS13" s="475"/>
      <c r="NT13" s="476"/>
      <c r="NU13" s="516" t="s">
        <v>688</v>
      </c>
      <c r="NV13" s="474">
        <v>44853</v>
      </c>
      <c r="NW13" s="475"/>
      <c r="NX13" s="475"/>
      <c r="NY13" s="476"/>
      <c r="NZ13" s="516" t="s">
        <v>688</v>
      </c>
      <c r="OA13" s="479"/>
      <c r="OB13" s="507" t="s">
        <v>3</v>
      </c>
      <c r="OC13" s="485"/>
      <c r="OD13" s="485"/>
      <c r="OE13" s="485"/>
      <c r="OF13" s="486"/>
      <c r="OG13" s="474">
        <v>44854</v>
      </c>
      <c r="OH13" s="475"/>
      <c r="OI13" s="475"/>
      <c r="OJ13" s="476"/>
      <c r="OK13" s="402">
        <v>44854</v>
      </c>
      <c r="OL13" s="474">
        <v>44857</v>
      </c>
      <c r="OM13" s="475"/>
      <c r="ON13" s="475"/>
      <c r="OO13" s="476"/>
      <c r="OP13" s="402">
        <v>44857</v>
      </c>
      <c r="OQ13" s="474">
        <v>44858</v>
      </c>
      <c r="OR13" s="475"/>
      <c r="OS13" s="475"/>
      <c r="OT13" s="476"/>
      <c r="OU13" s="516" t="s">
        <v>688</v>
      </c>
      <c r="OV13" s="474">
        <v>44859</v>
      </c>
      <c r="OW13" s="475"/>
      <c r="OX13" s="475"/>
      <c r="OY13" s="476"/>
      <c r="OZ13" s="516" t="s">
        <v>688</v>
      </c>
      <c r="PA13" s="479"/>
      <c r="PB13" s="507" t="s">
        <v>3</v>
      </c>
      <c r="PC13" s="485"/>
      <c r="PD13" s="485"/>
      <c r="PE13" s="485"/>
      <c r="PF13" s="486"/>
      <c r="PG13" s="474">
        <v>44860</v>
      </c>
      <c r="PH13" s="475"/>
      <c r="PI13" s="475"/>
      <c r="PJ13" s="476"/>
      <c r="PK13" s="402">
        <v>44860</v>
      </c>
      <c r="PL13" s="474">
        <v>44862</v>
      </c>
      <c r="PM13" s="475"/>
      <c r="PN13" s="475"/>
      <c r="PO13" s="476"/>
      <c r="PP13" s="402">
        <v>44862</v>
      </c>
      <c r="PQ13" s="474">
        <v>44863</v>
      </c>
      <c r="PR13" s="475"/>
      <c r="PS13" s="475"/>
      <c r="PT13" s="476"/>
      <c r="PU13" s="402">
        <v>44863</v>
      </c>
      <c r="PV13" s="474">
        <v>44864</v>
      </c>
      <c r="PW13" s="475"/>
      <c r="PX13" s="475"/>
      <c r="PY13" s="476"/>
      <c r="PZ13" s="402">
        <v>44864</v>
      </c>
      <c r="QA13" s="479"/>
      <c r="QB13" s="507" t="s">
        <v>3</v>
      </c>
      <c r="QC13" s="485"/>
      <c r="QD13" s="485"/>
      <c r="QE13" s="485"/>
      <c r="QF13" s="486"/>
      <c r="QG13" s="474">
        <v>44865</v>
      </c>
      <c r="QH13" s="475"/>
      <c r="QI13" s="475"/>
      <c r="QJ13" s="476"/>
      <c r="QK13" s="516" t="s">
        <v>688</v>
      </c>
      <c r="QL13" s="474">
        <v>44867</v>
      </c>
      <c r="QM13" s="475"/>
      <c r="QN13" s="475"/>
      <c r="QO13" s="476"/>
      <c r="QP13" s="516" t="s">
        <v>688</v>
      </c>
      <c r="QQ13" s="474">
        <v>44868</v>
      </c>
      <c r="QR13" s="475"/>
      <c r="QS13" s="475"/>
      <c r="QT13" s="476"/>
      <c r="QU13" s="516" t="s">
        <v>688</v>
      </c>
      <c r="QV13" s="474">
        <v>44869</v>
      </c>
      <c r="QW13" s="475"/>
      <c r="QX13" s="475"/>
      <c r="QY13" s="476"/>
      <c r="QZ13" s="516" t="s">
        <v>688</v>
      </c>
      <c r="RA13" s="479"/>
      <c r="RB13" s="507" t="s">
        <v>3</v>
      </c>
      <c r="RC13" s="485"/>
      <c r="RD13" s="485"/>
      <c r="RE13" s="485"/>
      <c r="RF13" s="486"/>
      <c r="RG13" s="474">
        <v>44870</v>
      </c>
      <c r="RH13" s="475"/>
      <c r="RI13" s="475"/>
      <c r="RJ13" s="476"/>
      <c r="RK13" s="402">
        <v>44870</v>
      </c>
      <c r="RL13" s="474">
        <v>44871</v>
      </c>
      <c r="RM13" s="475"/>
      <c r="RN13" s="475"/>
      <c r="RO13" s="476"/>
      <c r="RP13" s="401">
        <v>44871</v>
      </c>
      <c r="RQ13" s="474">
        <v>44872</v>
      </c>
      <c r="RR13" s="475"/>
      <c r="RS13" s="475"/>
      <c r="RT13" s="476"/>
      <c r="RU13" s="419">
        <v>44872</v>
      </c>
      <c r="RV13" s="564">
        <v>44874</v>
      </c>
      <c r="RW13" s="475"/>
      <c r="RX13" s="475"/>
      <c r="RY13" s="565"/>
      <c r="RZ13" s="516" t="s">
        <v>688</v>
      </c>
      <c r="SA13" s="479"/>
      <c r="SB13" s="507" t="s">
        <v>3</v>
      </c>
      <c r="SC13" s="485"/>
      <c r="SD13" s="485"/>
      <c r="SE13" s="485"/>
      <c r="SF13" s="486"/>
      <c r="SG13" s="474">
        <v>44877</v>
      </c>
      <c r="SH13" s="475"/>
      <c r="SI13" s="475"/>
      <c r="SJ13" s="476"/>
      <c r="SK13" s="516" t="s">
        <v>688</v>
      </c>
      <c r="SL13" s="474">
        <v>44879</v>
      </c>
      <c r="SM13" s="475"/>
      <c r="SN13" s="475"/>
      <c r="SO13" s="476"/>
      <c r="SP13" s="516" t="s">
        <v>688</v>
      </c>
      <c r="SQ13" s="474">
        <v>44881</v>
      </c>
      <c r="SR13" s="475"/>
      <c r="SS13" s="475"/>
      <c r="ST13" s="476"/>
      <c r="SU13" s="516" t="s">
        <v>688</v>
      </c>
      <c r="SV13" s="474">
        <v>44883</v>
      </c>
      <c r="SW13" s="475"/>
      <c r="SX13" s="475"/>
      <c r="SY13" s="476"/>
      <c r="SZ13" s="516" t="s">
        <v>691</v>
      </c>
      <c r="TA13" s="479"/>
      <c r="TB13" s="507" t="s">
        <v>3</v>
      </c>
      <c r="TC13" s="485"/>
      <c r="TD13" s="485"/>
      <c r="TE13" s="485"/>
      <c r="TF13" s="486"/>
      <c r="TG13" s="474">
        <v>44886</v>
      </c>
      <c r="TH13" s="475"/>
      <c r="TI13" s="475"/>
      <c r="TJ13" s="476"/>
      <c r="TK13" s="516" t="s">
        <v>688</v>
      </c>
      <c r="TL13" s="474">
        <v>44890</v>
      </c>
      <c r="TM13" s="475"/>
      <c r="TN13" s="475"/>
      <c r="TO13" s="476"/>
      <c r="TP13" s="516" t="s">
        <v>688</v>
      </c>
      <c r="TQ13" s="474">
        <v>44891</v>
      </c>
      <c r="TR13" s="475"/>
      <c r="TS13" s="475"/>
      <c r="TT13" s="476"/>
      <c r="TU13" s="516" t="s">
        <v>691</v>
      </c>
      <c r="TV13" s="474">
        <v>44892</v>
      </c>
      <c r="TW13" s="475"/>
      <c r="TX13" s="475"/>
      <c r="TY13" s="476"/>
      <c r="TZ13" s="402">
        <v>44892</v>
      </c>
      <c r="UA13" s="479"/>
      <c r="UB13" s="507" t="s">
        <v>3</v>
      </c>
      <c r="UC13" s="485"/>
      <c r="UD13" s="485"/>
      <c r="UE13" s="485"/>
      <c r="UF13" s="486"/>
      <c r="UG13" s="474">
        <v>44893</v>
      </c>
      <c r="UH13" s="475"/>
      <c r="UI13" s="475"/>
      <c r="UJ13" s="476"/>
      <c r="UK13" s="561" t="s">
        <v>688</v>
      </c>
      <c r="UL13" s="474">
        <v>44905</v>
      </c>
      <c r="UM13" s="475"/>
      <c r="UN13" s="475"/>
      <c r="UO13" s="476"/>
      <c r="UP13" s="516" t="s">
        <v>688</v>
      </c>
      <c r="UQ13" s="474">
        <v>44920</v>
      </c>
      <c r="UR13" s="475"/>
      <c r="US13" s="475"/>
      <c r="UT13" s="476"/>
      <c r="UU13" s="561" t="s">
        <v>688</v>
      </c>
      <c r="UV13" s="474">
        <v>44922</v>
      </c>
      <c r="UW13" s="475"/>
      <c r="UX13" s="475"/>
      <c r="UY13" s="476"/>
      <c r="UZ13" s="516" t="s">
        <v>688</v>
      </c>
      <c r="VA13" s="479"/>
      <c r="VB13" s="507" t="s">
        <v>3</v>
      </c>
      <c r="VC13" s="485"/>
      <c r="VD13" s="485"/>
      <c r="VE13" s="485"/>
      <c r="VF13" s="486"/>
      <c r="VG13" s="474">
        <v>44924</v>
      </c>
      <c r="VH13" s="475"/>
      <c r="VI13" s="475"/>
      <c r="VJ13" s="476"/>
      <c r="VK13" s="561" t="s">
        <v>688</v>
      </c>
      <c r="VL13" s="474">
        <v>44925</v>
      </c>
      <c r="VM13" s="475"/>
      <c r="VN13" s="475"/>
      <c r="VO13" s="476"/>
      <c r="VP13" s="561" t="s">
        <v>688</v>
      </c>
      <c r="VQ13" s="474">
        <v>44926</v>
      </c>
      <c r="VR13" s="475"/>
      <c r="VS13" s="475"/>
      <c r="VT13" s="476"/>
      <c r="VU13" s="402">
        <v>44926</v>
      </c>
      <c r="VV13" s="474">
        <v>44927</v>
      </c>
      <c r="VW13" s="475"/>
      <c r="VX13" s="475"/>
      <c r="VY13" s="476"/>
      <c r="VZ13" s="402">
        <v>44927</v>
      </c>
      <c r="WA13" s="479"/>
      <c r="WB13" s="507" t="s">
        <v>3</v>
      </c>
      <c r="WC13" s="485"/>
      <c r="WD13" s="485"/>
      <c r="WE13" s="485"/>
      <c r="WF13" s="486"/>
      <c r="WG13" s="474">
        <v>44928</v>
      </c>
      <c r="WH13" s="475"/>
      <c r="WI13" s="475"/>
      <c r="WJ13" s="476"/>
      <c r="WK13" s="402">
        <v>44928</v>
      </c>
      <c r="WL13" s="474">
        <v>44929</v>
      </c>
      <c r="WM13" s="475"/>
      <c r="WN13" s="475"/>
      <c r="WO13" s="476"/>
      <c r="WP13" s="402">
        <v>44929</v>
      </c>
      <c r="WQ13" s="474">
        <v>44930</v>
      </c>
      <c r="WR13" s="475"/>
      <c r="WS13" s="475"/>
      <c r="WT13" s="476"/>
      <c r="WU13" s="402">
        <v>44930</v>
      </c>
      <c r="WV13" s="474">
        <v>44931</v>
      </c>
      <c r="WW13" s="475"/>
      <c r="WX13" s="475"/>
      <c r="WY13" s="476"/>
      <c r="WZ13" s="516" t="s">
        <v>688</v>
      </c>
      <c r="XA13" s="479"/>
      <c r="XB13" s="507" t="s">
        <v>3</v>
      </c>
      <c r="XC13" s="485"/>
      <c r="XD13" s="485"/>
      <c r="XE13" s="485"/>
      <c r="XF13" s="486"/>
      <c r="XG13" s="474">
        <v>44933</v>
      </c>
      <c r="XH13" s="475"/>
      <c r="XI13" s="475"/>
      <c r="XJ13" s="476"/>
      <c r="XK13" s="516" t="s">
        <v>688</v>
      </c>
      <c r="XL13" s="474">
        <v>44934</v>
      </c>
      <c r="XM13" s="475"/>
      <c r="XN13" s="475"/>
      <c r="XO13" s="476"/>
      <c r="XP13" s="402">
        <v>44934</v>
      </c>
      <c r="XQ13" s="474">
        <v>44935</v>
      </c>
      <c r="XR13" s="475"/>
      <c r="XS13" s="475"/>
      <c r="XT13" s="476"/>
      <c r="XU13" s="402">
        <v>44935</v>
      </c>
      <c r="XV13" s="474">
        <v>44936</v>
      </c>
      <c r="XW13" s="475"/>
      <c r="XX13" s="475"/>
      <c r="XY13" s="476"/>
      <c r="XZ13" s="516" t="s">
        <v>688</v>
      </c>
      <c r="YA13" s="479"/>
      <c r="YB13" s="507" t="s">
        <v>3</v>
      </c>
      <c r="YC13" s="485"/>
      <c r="YD13" s="485"/>
      <c r="YE13" s="485"/>
      <c r="YF13" s="486"/>
      <c r="YG13" s="474">
        <v>44937</v>
      </c>
      <c r="YH13" s="475"/>
      <c r="YI13" s="475"/>
      <c r="YJ13" s="476"/>
      <c r="YK13" s="516" t="s">
        <v>688</v>
      </c>
      <c r="YL13" s="474">
        <v>44938</v>
      </c>
      <c r="YM13" s="475"/>
      <c r="YN13" s="475"/>
      <c r="YO13" s="476"/>
      <c r="YP13" s="516" t="s">
        <v>688</v>
      </c>
      <c r="YQ13" s="474">
        <v>44941</v>
      </c>
      <c r="YR13" s="475"/>
      <c r="YS13" s="475"/>
      <c r="YT13" s="476"/>
      <c r="YU13" s="516" t="s">
        <v>688</v>
      </c>
      <c r="YV13" s="474">
        <v>44947</v>
      </c>
      <c r="YW13" s="475"/>
      <c r="YX13" s="475"/>
      <c r="YY13" s="476"/>
      <c r="YZ13" s="516" t="s">
        <v>688</v>
      </c>
      <c r="ZA13" s="479"/>
      <c r="ZB13" s="507" t="s">
        <v>3</v>
      </c>
      <c r="ZC13" s="485"/>
      <c r="ZD13" s="485"/>
      <c r="ZE13" s="485"/>
      <c r="ZF13" s="486"/>
      <c r="ZG13" s="474">
        <v>44959</v>
      </c>
      <c r="ZH13" s="475"/>
      <c r="ZI13" s="475"/>
      <c r="ZJ13" s="476"/>
      <c r="ZK13" s="516" t="s">
        <v>688</v>
      </c>
      <c r="ZL13" s="474">
        <v>44961</v>
      </c>
      <c r="ZM13" s="475"/>
      <c r="ZN13" s="475"/>
      <c r="ZO13" s="476"/>
      <c r="ZP13" s="402">
        <v>44961</v>
      </c>
      <c r="ZQ13" s="474">
        <v>44962</v>
      </c>
      <c r="ZR13" s="475"/>
      <c r="ZS13" s="475"/>
      <c r="ZT13" s="476"/>
      <c r="ZU13" s="402">
        <v>44962</v>
      </c>
      <c r="ZV13" s="474">
        <v>44965</v>
      </c>
      <c r="ZW13" s="475"/>
      <c r="ZX13" s="475"/>
      <c r="ZY13" s="476"/>
      <c r="ZZ13" s="402">
        <v>44965</v>
      </c>
      <c r="AAA13" s="479"/>
      <c r="AAB13" s="507" t="s">
        <v>3</v>
      </c>
      <c r="AAC13" s="485"/>
      <c r="AAD13" s="485"/>
      <c r="AAE13" s="485"/>
      <c r="AAF13" s="486"/>
      <c r="AAG13" s="474">
        <v>44968</v>
      </c>
      <c r="AAH13" s="475"/>
      <c r="AAI13" s="475"/>
      <c r="AAJ13" s="476"/>
      <c r="AAK13" s="402">
        <v>44968</v>
      </c>
      <c r="AAL13" s="474">
        <v>44969</v>
      </c>
      <c r="AAM13" s="475"/>
      <c r="AAN13" s="475"/>
      <c r="AAO13" s="476"/>
      <c r="AAP13" s="402">
        <v>44969</v>
      </c>
      <c r="AAQ13" s="474">
        <v>44970</v>
      </c>
      <c r="AAR13" s="475"/>
      <c r="AAS13" s="475"/>
      <c r="AAT13" s="476"/>
      <c r="AAU13" s="516" t="s">
        <v>688</v>
      </c>
      <c r="AAV13" s="474">
        <v>44971</v>
      </c>
      <c r="AAW13" s="475"/>
      <c r="AAX13" s="475"/>
      <c r="AAY13" s="476"/>
      <c r="AAZ13" s="516" t="s">
        <v>688</v>
      </c>
      <c r="ABA13" s="479"/>
      <c r="ABB13" s="507" t="s">
        <v>3</v>
      </c>
      <c r="ABC13" s="485"/>
      <c r="ABD13" s="485"/>
      <c r="ABE13" s="485"/>
      <c r="ABF13" s="486"/>
      <c r="ABG13" s="474">
        <v>44972</v>
      </c>
      <c r="ABH13" s="475"/>
      <c r="ABI13" s="475"/>
      <c r="ABJ13" s="476"/>
      <c r="ABK13" s="402">
        <v>44972</v>
      </c>
      <c r="ABL13" s="474">
        <v>44973</v>
      </c>
      <c r="ABM13" s="475"/>
      <c r="ABN13" s="475"/>
      <c r="ABO13" s="476"/>
      <c r="ABP13" s="402">
        <v>44973</v>
      </c>
      <c r="ABQ13" s="474">
        <v>44974</v>
      </c>
      <c r="ABR13" s="475"/>
      <c r="ABS13" s="475"/>
      <c r="ABT13" s="476"/>
      <c r="ABU13" s="516" t="s">
        <v>688</v>
      </c>
      <c r="ABV13" s="474">
        <v>44975</v>
      </c>
      <c r="ABW13" s="475"/>
      <c r="ABX13" s="475"/>
      <c r="ABY13" s="476"/>
      <c r="ABZ13" s="516" t="s">
        <v>688</v>
      </c>
      <c r="ACA13" s="479"/>
      <c r="ACB13" s="507" t="s">
        <v>3</v>
      </c>
      <c r="ACC13" s="485"/>
      <c r="ACD13" s="485"/>
      <c r="ACE13" s="485"/>
      <c r="ACF13" s="486"/>
      <c r="ACG13" s="474">
        <v>44976</v>
      </c>
      <c r="ACH13" s="475"/>
      <c r="ACI13" s="475"/>
      <c r="ACJ13" s="476"/>
      <c r="ACK13" s="516" t="s">
        <v>688</v>
      </c>
      <c r="ACL13" s="474">
        <v>44977</v>
      </c>
      <c r="ACM13" s="475"/>
      <c r="ACN13" s="475"/>
      <c r="ACO13" s="476"/>
      <c r="ACP13" s="402">
        <v>44977</v>
      </c>
      <c r="ACQ13" s="474">
        <v>44978</v>
      </c>
      <c r="ACR13" s="475"/>
      <c r="ACS13" s="475"/>
      <c r="ACT13" s="476"/>
      <c r="ACU13" s="516" t="s">
        <v>688</v>
      </c>
      <c r="ACV13" s="474">
        <v>44979</v>
      </c>
      <c r="ACW13" s="475"/>
      <c r="ACX13" s="475"/>
      <c r="ACY13" s="476"/>
      <c r="ACZ13" s="402">
        <v>44979</v>
      </c>
      <c r="ADA13" s="479"/>
      <c r="ADB13" s="507" t="s">
        <v>3</v>
      </c>
      <c r="ADC13" s="485"/>
      <c r="ADD13" s="485"/>
      <c r="ADE13" s="485"/>
      <c r="ADF13" s="486"/>
      <c r="ADG13" s="474">
        <v>44982</v>
      </c>
      <c r="ADH13" s="475"/>
      <c r="ADI13" s="475"/>
      <c r="ADJ13" s="476"/>
      <c r="ADK13" s="402">
        <v>44982</v>
      </c>
      <c r="ADL13" s="474">
        <v>44983</v>
      </c>
      <c r="ADM13" s="475"/>
      <c r="ADN13" s="475"/>
      <c r="ADO13" s="476"/>
      <c r="ADP13" s="402">
        <v>44983</v>
      </c>
      <c r="ADQ13" s="474">
        <v>44984</v>
      </c>
      <c r="ADR13" s="475"/>
      <c r="ADS13" s="475"/>
      <c r="ADT13" s="476"/>
      <c r="ADU13" s="402">
        <v>44984</v>
      </c>
      <c r="ADV13" s="474">
        <v>44985</v>
      </c>
      <c r="ADW13" s="475"/>
      <c r="ADX13" s="475"/>
      <c r="ADY13" s="476"/>
      <c r="ADZ13" s="402">
        <v>44985</v>
      </c>
      <c r="AEA13" s="479"/>
      <c r="AEB13" s="507" t="s">
        <v>3</v>
      </c>
      <c r="AEC13" s="485"/>
      <c r="AED13" s="485"/>
      <c r="AEE13" s="485"/>
      <c r="AEF13" s="486"/>
      <c r="AEG13" s="474">
        <v>44987</v>
      </c>
      <c r="AEH13" s="475"/>
      <c r="AEI13" s="475"/>
      <c r="AEJ13" s="476"/>
      <c r="AEK13" s="402">
        <v>44987</v>
      </c>
      <c r="AEL13" s="474">
        <v>44988</v>
      </c>
      <c r="AEM13" s="475"/>
      <c r="AEN13" s="475"/>
      <c r="AEO13" s="476"/>
      <c r="AEP13" s="402">
        <v>44988</v>
      </c>
      <c r="AEQ13" s="474">
        <v>44989</v>
      </c>
      <c r="AER13" s="475"/>
      <c r="AES13" s="475"/>
      <c r="AET13" s="476"/>
      <c r="AEU13" s="402">
        <v>44989</v>
      </c>
      <c r="AEV13" s="474">
        <v>44990</v>
      </c>
      <c r="AEW13" s="475"/>
      <c r="AEX13" s="475"/>
      <c r="AEY13" s="476"/>
      <c r="AEZ13" s="402">
        <v>44990</v>
      </c>
      <c r="AFA13" s="479"/>
      <c r="AFB13" s="507" t="s">
        <v>3</v>
      </c>
      <c r="AFC13" s="485"/>
      <c r="AFD13" s="485"/>
      <c r="AFE13" s="485"/>
      <c r="AFF13" s="486"/>
      <c r="AFG13" s="474">
        <v>44991</v>
      </c>
      <c r="AFH13" s="475"/>
      <c r="AFI13" s="475"/>
      <c r="AFJ13" s="476"/>
      <c r="AFK13" s="402">
        <v>44991</v>
      </c>
      <c r="AFL13" s="474">
        <v>44992</v>
      </c>
      <c r="AFM13" s="475"/>
      <c r="AFN13" s="475"/>
      <c r="AFO13" s="476"/>
      <c r="AFP13" s="402">
        <v>44992</v>
      </c>
      <c r="AFQ13" s="474">
        <v>44993</v>
      </c>
      <c r="AFR13" s="475"/>
      <c r="AFS13" s="475"/>
      <c r="AFT13" s="476"/>
      <c r="AFU13" s="402">
        <v>44993</v>
      </c>
      <c r="AFV13" s="474">
        <v>44994</v>
      </c>
      <c r="AFW13" s="475"/>
      <c r="AFX13" s="475"/>
      <c r="AFY13" s="476"/>
      <c r="AFZ13" s="516" t="s">
        <v>688</v>
      </c>
      <c r="AGA13" s="479"/>
      <c r="AGB13" s="507" t="s">
        <v>3</v>
      </c>
      <c r="AGC13" s="485"/>
      <c r="AGD13" s="485"/>
      <c r="AGE13" s="485"/>
      <c r="AGF13" s="486"/>
      <c r="AGG13" s="474">
        <v>44995</v>
      </c>
      <c r="AGH13" s="475"/>
      <c r="AGI13" s="475"/>
      <c r="AGJ13" s="476"/>
      <c r="AGK13" s="402">
        <v>44995</v>
      </c>
      <c r="AGL13" s="474">
        <v>44996</v>
      </c>
      <c r="AGM13" s="475"/>
      <c r="AGN13" s="475"/>
      <c r="AGO13" s="476"/>
      <c r="AGP13" s="402">
        <v>44996</v>
      </c>
      <c r="AGQ13" s="474">
        <v>44997</v>
      </c>
      <c r="AGR13" s="475"/>
      <c r="AGS13" s="475"/>
      <c r="AGT13" s="476"/>
      <c r="AGU13" s="402">
        <v>44997</v>
      </c>
      <c r="AGV13" s="474">
        <v>44998</v>
      </c>
      <c r="AGW13" s="475"/>
      <c r="AGX13" s="475"/>
      <c r="AGY13" s="476"/>
      <c r="AGZ13" s="402">
        <v>44998</v>
      </c>
      <c r="AHA13" s="479"/>
      <c r="AHB13" s="507" t="s">
        <v>3</v>
      </c>
      <c r="AHC13" s="485"/>
      <c r="AHD13" s="485"/>
      <c r="AHE13" s="485"/>
      <c r="AHF13" s="486"/>
      <c r="AHG13" s="474">
        <v>44999</v>
      </c>
      <c r="AHH13" s="475"/>
      <c r="AHI13" s="475"/>
      <c r="AHJ13" s="476"/>
      <c r="AHK13" s="402">
        <v>44999</v>
      </c>
      <c r="AHL13" s="474">
        <v>45000</v>
      </c>
      <c r="AHM13" s="475"/>
      <c r="AHN13" s="475"/>
      <c r="AHO13" s="476"/>
      <c r="AHP13" s="402">
        <v>45000</v>
      </c>
      <c r="AHQ13" s="474">
        <v>45001</v>
      </c>
      <c r="AHR13" s="475"/>
      <c r="AHS13" s="475"/>
      <c r="AHT13" s="476"/>
      <c r="AHU13" s="402">
        <v>45001</v>
      </c>
      <c r="AHV13" s="474">
        <v>45003</v>
      </c>
      <c r="AHW13" s="475"/>
      <c r="AHX13" s="475"/>
      <c r="AHY13" s="476"/>
      <c r="AHZ13" s="402">
        <v>45003</v>
      </c>
      <c r="AIA13" s="479"/>
      <c r="AIB13" s="507" t="s">
        <v>3</v>
      </c>
      <c r="AIC13" s="485"/>
      <c r="AID13" s="485"/>
      <c r="AIE13" s="485"/>
      <c r="AIF13" s="486"/>
      <c r="AIG13" s="474">
        <v>45004</v>
      </c>
      <c r="AIH13" s="475"/>
      <c r="AII13" s="475"/>
      <c r="AIJ13" s="476"/>
      <c r="AIK13" s="402">
        <v>45004</v>
      </c>
      <c r="AIL13" s="474">
        <v>45005</v>
      </c>
      <c r="AIM13" s="475"/>
      <c r="AIN13" s="475"/>
      <c r="AIO13" s="476"/>
      <c r="AIP13" s="402">
        <v>45005</v>
      </c>
      <c r="AIQ13" s="474">
        <v>45007</v>
      </c>
      <c r="AIR13" s="475"/>
      <c r="AIS13" s="475"/>
      <c r="AIT13" s="476"/>
      <c r="AIU13" s="402">
        <v>45007</v>
      </c>
      <c r="AIV13" s="474">
        <v>45009</v>
      </c>
      <c r="AIW13" s="475"/>
      <c r="AIX13" s="475"/>
      <c r="AIY13" s="476"/>
      <c r="AIZ13" s="516" t="s">
        <v>688</v>
      </c>
      <c r="AJA13" s="479"/>
      <c r="AJB13" s="507" t="s">
        <v>3</v>
      </c>
      <c r="AJC13" s="485"/>
      <c r="AJD13" s="485"/>
      <c r="AJE13" s="485"/>
      <c r="AJF13" s="486"/>
      <c r="AJG13" s="474">
        <v>45010</v>
      </c>
      <c r="AJH13" s="475"/>
      <c r="AJI13" s="475"/>
      <c r="AJJ13" s="476"/>
      <c r="AJK13" s="402">
        <v>45010</v>
      </c>
      <c r="AJL13" s="474">
        <v>45011</v>
      </c>
      <c r="AJM13" s="475"/>
      <c r="AJN13" s="475"/>
      <c r="AJO13" s="476"/>
      <c r="AJP13" s="516" t="s">
        <v>688</v>
      </c>
      <c r="AJQ13" s="474">
        <v>45012</v>
      </c>
      <c r="AJR13" s="475"/>
      <c r="AJS13" s="475"/>
      <c r="AJT13" s="476"/>
      <c r="AJU13" s="402">
        <v>45012</v>
      </c>
      <c r="AJV13" s="474">
        <v>45013</v>
      </c>
      <c r="AJW13" s="475"/>
      <c r="AJX13" s="475"/>
      <c r="AJY13" s="476"/>
      <c r="AJZ13" s="402">
        <v>45013</v>
      </c>
      <c r="AKA13" s="479"/>
      <c r="AKB13" s="507" t="s">
        <v>3</v>
      </c>
      <c r="AKC13" s="485"/>
      <c r="AKD13" s="485"/>
      <c r="AKE13" s="485"/>
      <c r="AKF13" s="486"/>
      <c r="AKG13" s="474">
        <v>45014</v>
      </c>
      <c r="AKH13" s="475"/>
      <c r="AKI13" s="475"/>
      <c r="AKJ13" s="476"/>
      <c r="AKK13" s="402">
        <v>45014</v>
      </c>
      <c r="AKL13" s="474">
        <v>45015</v>
      </c>
      <c r="AKM13" s="475"/>
      <c r="AKN13" s="475"/>
      <c r="AKO13" s="476"/>
      <c r="AKP13" s="516" t="s">
        <v>688</v>
      </c>
      <c r="AKQ13" s="474">
        <v>45016</v>
      </c>
      <c r="AKR13" s="475"/>
      <c r="AKS13" s="475"/>
      <c r="AKT13" s="476"/>
      <c r="AKU13" s="402">
        <v>45016</v>
      </c>
      <c r="AKV13" s="474"/>
      <c r="AKW13" s="475"/>
      <c r="AKX13" s="475"/>
      <c r="AKY13" s="476"/>
      <c r="AKZ13" s="402"/>
    </row>
    <row r="14" spans="1:988" ht="45" customHeight="1" x14ac:dyDescent="0.4">
      <c r="A14" s="479"/>
      <c r="B14" s="511"/>
      <c r="C14" s="487"/>
      <c r="D14" s="487"/>
      <c r="E14" s="487"/>
      <c r="F14" s="488"/>
      <c r="G14" s="496" t="s">
        <v>159</v>
      </c>
      <c r="H14" s="497"/>
      <c r="I14" s="497"/>
      <c r="J14" s="498"/>
      <c r="K14" s="81" t="s">
        <v>712</v>
      </c>
      <c r="L14" s="496" t="s">
        <v>159</v>
      </c>
      <c r="M14" s="497"/>
      <c r="N14" s="497"/>
      <c r="O14" s="498"/>
      <c r="P14" s="81" t="s">
        <v>712</v>
      </c>
      <c r="Q14" s="496" t="s">
        <v>159</v>
      </c>
      <c r="R14" s="497"/>
      <c r="S14" s="497"/>
      <c r="T14" s="498"/>
      <c r="U14" s="81" t="s">
        <v>521</v>
      </c>
      <c r="V14" s="496" t="s">
        <v>159</v>
      </c>
      <c r="W14" s="497"/>
      <c r="X14" s="497"/>
      <c r="Y14" s="498"/>
      <c r="Z14" s="81" t="s">
        <v>788</v>
      </c>
      <c r="AA14" s="479"/>
      <c r="AB14" s="511"/>
      <c r="AC14" s="487"/>
      <c r="AD14" s="487"/>
      <c r="AE14" s="487"/>
      <c r="AF14" s="488"/>
      <c r="AG14" s="496" t="s">
        <v>159</v>
      </c>
      <c r="AH14" s="497"/>
      <c r="AI14" s="497"/>
      <c r="AJ14" s="498"/>
      <c r="AK14" s="81" t="s">
        <v>521</v>
      </c>
      <c r="AL14" s="496" t="s">
        <v>159</v>
      </c>
      <c r="AM14" s="497"/>
      <c r="AN14" s="497"/>
      <c r="AO14" s="498"/>
      <c r="AP14" s="81" t="s">
        <v>521</v>
      </c>
      <c r="AQ14" s="496" t="s">
        <v>159</v>
      </c>
      <c r="AR14" s="497"/>
      <c r="AS14" s="497"/>
      <c r="AT14" s="498"/>
      <c r="AU14" s="81" t="s">
        <v>717</v>
      </c>
      <c r="AV14" s="496" t="s">
        <v>159</v>
      </c>
      <c r="AW14" s="497"/>
      <c r="AX14" s="497"/>
      <c r="AY14" s="498"/>
      <c r="AZ14" s="81" t="s">
        <v>521</v>
      </c>
      <c r="BA14" s="479"/>
      <c r="BB14" s="511"/>
      <c r="BC14" s="487"/>
      <c r="BD14" s="487"/>
      <c r="BE14" s="487"/>
      <c r="BF14" s="488"/>
      <c r="BG14" s="496" t="s">
        <v>159</v>
      </c>
      <c r="BH14" s="497"/>
      <c r="BI14" s="497"/>
      <c r="BJ14" s="498"/>
      <c r="BK14" s="81" t="s">
        <v>702</v>
      </c>
      <c r="BL14" s="496" t="s">
        <v>159</v>
      </c>
      <c r="BM14" s="497"/>
      <c r="BN14" s="497"/>
      <c r="BO14" s="498"/>
      <c r="BP14" s="81" t="s">
        <v>521</v>
      </c>
      <c r="BQ14" s="496" t="s">
        <v>159</v>
      </c>
      <c r="BR14" s="497"/>
      <c r="BS14" s="497"/>
      <c r="BT14" s="498"/>
      <c r="BU14" s="490"/>
      <c r="BV14" s="496" t="s">
        <v>159</v>
      </c>
      <c r="BW14" s="497"/>
      <c r="BX14" s="497"/>
      <c r="BY14" s="498"/>
      <c r="BZ14" s="517"/>
      <c r="CA14" s="479"/>
      <c r="CB14" s="511"/>
      <c r="CC14" s="487"/>
      <c r="CD14" s="487"/>
      <c r="CE14" s="487"/>
      <c r="CF14" s="488"/>
      <c r="CG14" s="496" t="s">
        <v>159</v>
      </c>
      <c r="CH14" s="497"/>
      <c r="CI14" s="497"/>
      <c r="CJ14" s="498"/>
      <c r="CK14" s="517"/>
      <c r="CL14" s="496" t="s">
        <v>159</v>
      </c>
      <c r="CM14" s="497"/>
      <c r="CN14" s="497"/>
      <c r="CO14" s="498"/>
      <c r="CP14" s="81" t="s">
        <v>521</v>
      </c>
      <c r="CQ14" s="496" t="s">
        <v>159</v>
      </c>
      <c r="CR14" s="497"/>
      <c r="CS14" s="497"/>
      <c r="CT14" s="498"/>
      <c r="CU14" s="81" t="s">
        <v>787</v>
      </c>
      <c r="CV14" s="496" t="s">
        <v>159</v>
      </c>
      <c r="CW14" s="497"/>
      <c r="CX14" s="497"/>
      <c r="CY14" s="498"/>
      <c r="CZ14" s="517"/>
      <c r="DA14" s="479"/>
      <c r="DB14" s="511"/>
      <c r="DC14" s="487"/>
      <c r="DD14" s="487"/>
      <c r="DE14" s="487"/>
      <c r="DF14" s="488"/>
      <c r="DG14" s="496" t="s">
        <v>159</v>
      </c>
      <c r="DH14" s="497"/>
      <c r="DI14" s="497"/>
      <c r="DJ14" s="498"/>
      <c r="DK14" s="81" t="s">
        <v>521</v>
      </c>
      <c r="DL14" s="496" t="s">
        <v>159</v>
      </c>
      <c r="DM14" s="497"/>
      <c r="DN14" s="497"/>
      <c r="DO14" s="498"/>
      <c r="DP14" s="81" t="s">
        <v>786</v>
      </c>
      <c r="DQ14" s="496" t="s">
        <v>521</v>
      </c>
      <c r="DR14" s="497"/>
      <c r="DS14" s="497"/>
      <c r="DT14" s="498"/>
      <c r="DU14" s="81" t="s">
        <v>633</v>
      </c>
      <c r="DV14" s="496" t="s">
        <v>521</v>
      </c>
      <c r="DW14" s="497"/>
      <c r="DX14" s="497"/>
      <c r="DY14" s="498"/>
      <c r="DZ14" s="517"/>
      <c r="EA14" s="479"/>
      <c r="EB14" s="511"/>
      <c r="EC14" s="487"/>
      <c r="ED14" s="487"/>
      <c r="EE14" s="487"/>
      <c r="EF14" s="488"/>
      <c r="EG14" s="496" t="s">
        <v>159</v>
      </c>
      <c r="EH14" s="497"/>
      <c r="EI14" s="497"/>
      <c r="EJ14" s="498"/>
      <c r="EK14" s="517"/>
      <c r="EL14" s="496" t="s">
        <v>159</v>
      </c>
      <c r="EM14" s="497"/>
      <c r="EN14" s="497"/>
      <c r="EO14" s="498"/>
      <c r="EP14" s="81" t="s">
        <v>656</v>
      </c>
      <c r="EQ14" s="496" t="s">
        <v>159</v>
      </c>
      <c r="ER14" s="497"/>
      <c r="ES14" s="497"/>
      <c r="ET14" s="498"/>
      <c r="EU14" s="81" t="s">
        <v>521</v>
      </c>
      <c r="EV14" s="496" t="s">
        <v>159</v>
      </c>
      <c r="EW14" s="497"/>
      <c r="EX14" s="497"/>
      <c r="EY14" s="498"/>
      <c r="EZ14" s="517"/>
      <c r="FA14" s="479"/>
      <c r="FB14" s="511"/>
      <c r="FC14" s="487"/>
      <c r="FD14" s="487"/>
      <c r="FE14" s="487"/>
      <c r="FF14" s="488"/>
      <c r="FG14" s="496" t="s">
        <v>159</v>
      </c>
      <c r="FH14" s="497"/>
      <c r="FI14" s="497"/>
      <c r="FJ14" s="498"/>
      <c r="FK14" s="517"/>
      <c r="FL14" s="496" t="s">
        <v>159</v>
      </c>
      <c r="FM14" s="497"/>
      <c r="FN14" s="497"/>
      <c r="FO14" s="498"/>
      <c r="FP14" s="81" t="s">
        <v>785</v>
      </c>
      <c r="FQ14" s="496" t="s">
        <v>159</v>
      </c>
      <c r="FR14" s="497"/>
      <c r="FS14" s="497"/>
      <c r="FT14" s="498"/>
      <c r="FU14" s="81" t="s">
        <v>159</v>
      </c>
      <c r="FV14" s="496" t="s">
        <v>150</v>
      </c>
      <c r="FW14" s="497"/>
      <c r="FX14" s="497"/>
      <c r="FY14" s="498"/>
      <c r="FZ14" s="517"/>
      <c r="GA14" s="479"/>
      <c r="GB14" s="511"/>
      <c r="GC14" s="487"/>
      <c r="GD14" s="487"/>
      <c r="GE14" s="487"/>
      <c r="GF14" s="488"/>
      <c r="GG14" s="496" t="s">
        <v>159</v>
      </c>
      <c r="GH14" s="497"/>
      <c r="GI14" s="497"/>
      <c r="GJ14" s="498"/>
      <c r="GK14" s="517"/>
      <c r="GL14" s="496" t="s">
        <v>159</v>
      </c>
      <c r="GM14" s="497"/>
      <c r="GN14" s="497"/>
      <c r="GO14" s="498"/>
      <c r="GP14" s="517"/>
      <c r="GQ14" s="496" t="s">
        <v>159</v>
      </c>
      <c r="GR14" s="497"/>
      <c r="GS14" s="497"/>
      <c r="GT14" s="498"/>
      <c r="GU14" s="517"/>
      <c r="GV14" s="496" t="s">
        <v>159</v>
      </c>
      <c r="GW14" s="497"/>
      <c r="GX14" s="497"/>
      <c r="GY14" s="498"/>
      <c r="GZ14" s="81" t="s">
        <v>784</v>
      </c>
      <c r="HA14" s="479"/>
      <c r="HB14" s="511"/>
      <c r="HC14" s="487"/>
      <c r="HD14" s="487"/>
      <c r="HE14" s="487"/>
      <c r="HF14" s="488"/>
      <c r="HG14" s="496" t="s">
        <v>159</v>
      </c>
      <c r="HH14" s="497"/>
      <c r="HI14" s="497"/>
      <c r="HJ14" s="498"/>
      <c r="HK14" s="517"/>
      <c r="HL14" s="496" t="s">
        <v>159</v>
      </c>
      <c r="HM14" s="497"/>
      <c r="HN14" s="497"/>
      <c r="HO14" s="498"/>
      <c r="HP14" s="81" t="s">
        <v>782</v>
      </c>
      <c r="HQ14" s="496" t="s">
        <v>159</v>
      </c>
      <c r="HR14" s="497"/>
      <c r="HS14" s="497"/>
      <c r="HT14" s="498"/>
      <c r="HU14" s="81" t="s">
        <v>783</v>
      </c>
      <c r="HV14" s="496" t="s">
        <v>150</v>
      </c>
      <c r="HW14" s="497"/>
      <c r="HX14" s="497"/>
      <c r="HY14" s="498"/>
      <c r="HZ14" s="81" t="s">
        <v>150</v>
      </c>
      <c r="IA14" s="479"/>
      <c r="IB14" s="511"/>
      <c r="IC14" s="487"/>
      <c r="ID14" s="487"/>
      <c r="IE14" s="487"/>
      <c r="IF14" s="488"/>
      <c r="IG14" s="496" t="s">
        <v>150</v>
      </c>
      <c r="IH14" s="497"/>
      <c r="II14" s="497"/>
      <c r="IJ14" s="498"/>
      <c r="IK14" s="517"/>
      <c r="IL14" s="496" t="s">
        <v>159</v>
      </c>
      <c r="IM14" s="497"/>
      <c r="IN14" s="497"/>
      <c r="IO14" s="498"/>
      <c r="IP14" s="81" t="s">
        <v>150</v>
      </c>
      <c r="IQ14" s="496" t="s">
        <v>150</v>
      </c>
      <c r="IR14" s="497"/>
      <c r="IS14" s="497"/>
      <c r="IT14" s="498"/>
      <c r="IU14" s="517"/>
      <c r="IV14" s="496" t="s">
        <v>159</v>
      </c>
      <c r="IW14" s="497"/>
      <c r="IX14" s="497"/>
      <c r="IY14" s="498"/>
      <c r="IZ14" s="517"/>
      <c r="JA14" s="479"/>
      <c r="JB14" s="511"/>
      <c r="JC14" s="487"/>
      <c r="JD14" s="487"/>
      <c r="JE14" s="487"/>
      <c r="JF14" s="488"/>
      <c r="JG14" s="496" t="s">
        <v>159</v>
      </c>
      <c r="JH14" s="497"/>
      <c r="JI14" s="497"/>
      <c r="JJ14" s="498"/>
      <c r="JK14" s="517"/>
      <c r="JL14" s="496" t="s">
        <v>159</v>
      </c>
      <c r="JM14" s="497"/>
      <c r="JN14" s="497"/>
      <c r="JO14" s="498"/>
      <c r="JP14" s="517"/>
      <c r="JQ14" s="496" t="s">
        <v>150</v>
      </c>
      <c r="JR14" s="497"/>
      <c r="JS14" s="497"/>
      <c r="JT14" s="498"/>
      <c r="JU14" s="81" t="s">
        <v>779</v>
      </c>
      <c r="JV14" s="496" t="s">
        <v>150</v>
      </c>
      <c r="JW14" s="497"/>
      <c r="JX14" s="497"/>
      <c r="JY14" s="498"/>
      <c r="JZ14" s="517"/>
      <c r="KA14" s="479"/>
      <c r="KB14" s="511"/>
      <c r="KC14" s="487"/>
      <c r="KD14" s="487"/>
      <c r="KE14" s="487"/>
      <c r="KF14" s="488"/>
      <c r="KG14" s="496" t="s">
        <v>150</v>
      </c>
      <c r="KH14" s="497"/>
      <c r="KI14" s="497"/>
      <c r="KJ14" s="498"/>
      <c r="KK14" s="517"/>
      <c r="KL14" s="496" t="s">
        <v>159</v>
      </c>
      <c r="KM14" s="497"/>
      <c r="KN14" s="497"/>
      <c r="KO14" s="498"/>
      <c r="KP14" s="517"/>
      <c r="KQ14" s="496" t="s">
        <v>150</v>
      </c>
      <c r="KR14" s="497"/>
      <c r="KS14" s="497"/>
      <c r="KT14" s="498"/>
      <c r="KU14" s="517"/>
      <c r="KV14" s="496" t="s">
        <v>159</v>
      </c>
      <c r="KW14" s="497"/>
      <c r="KX14" s="497"/>
      <c r="KY14" s="498"/>
      <c r="KZ14" s="81" t="s">
        <v>762</v>
      </c>
      <c r="LA14" s="479"/>
      <c r="LB14" s="511"/>
      <c r="LC14" s="487"/>
      <c r="LD14" s="487"/>
      <c r="LE14" s="487"/>
      <c r="LF14" s="488"/>
      <c r="LG14" s="496" t="s">
        <v>150</v>
      </c>
      <c r="LH14" s="497"/>
      <c r="LI14" s="497"/>
      <c r="LJ14" s="498"/>
      <c r="LK14" s="517"/>
      <c r="LL14" s="496" t="s">
        <v>159</v>
      </c>
      <c r="LM14" s="497"/>
      <c r="LN14" s="497"/>
      <c r="LO14" s="498"/>
      <c r="LP14" s="81" t="s">
        <v>150</v>
      </c>
      <c r="LQ14" s="496" t="s">
        <v>159</v>
      </c>
      <c r="LR14" s="497"/>
      <c r="LS14" s="497"/>
      <c r="LT14" s="498"/>
      <c r="LU14" s="517"/>
      <c r="LV14" s="496" t="s">
        <v>159</v>
      </c>
      <c r="LW14" s="497"/>
      <c r="LX14" s="497"/>
      <c r="LY14" s="498"/>
      <c r="LZ14" s="517"/>
      <c r="MA14" s="479"/>
      <c r="MB14" s="511"/>
      <c r="MC14" s="487"/>
      <c r="MD14" s="487"/>
      <c r="ME14" s="487"/>
      <c r="MF14" s="488"/>
      <c r="MG14" s="496" t="s">
        <v>159</v>
      </c>
      <c r="MH14" s="497"/>
      <c r="MI14" s="497"/>
      <c r="MJ14" s="498"/>
      <c r="MK14" s="517"/>
      <c r="ML14" s="496" t="s">
        <v>159</v>
      </c>
      <c r="MM14" s="497"/>
      <c r="MN14" s="497"/>
      <c r="MO14" s="498"/>
      <c r="MP14" s="517"/>
      <c r="MQ14" s="496" t="s">
        <v>159</v>
      </c>
      <c r="MR14" s="497"/>
      <c r="MS14" s="497"/>
      <c r="MT14" s="498"/>
      <c r="MU14" s="517"/>
      <c r="MV14" s="496" t="s">
        <v>159</v>
      </c>
      <c r="MW14" s="497"/>
      <c r="MX14" s="497"/>
      <c r="MY14" s="498"/>
      <c r="MZ14" s="517"/>
      <c r="NA14" s="479"/>
      <c r="NB14" s="511"/>
      <c r="NC14" s="487"/>
      <c r="ND14" s="487"/>
      <c r="NE14" s="487"/>
      <c r="NF14" s="488"/>
      <c r="NG14" s="496" t="s">
        <v>159</v>
      </c>
      <c r="NH14" s="497"/>
      <c r="NI14" s="497"/>
      <c r="NJ14" s="498"/>
      <c r="NK14" s="517"/>
      <c r="NL14" s="496" t="s">
        <v>159</v>
      </c>
      <c r="NM14" s="497"/>
      <c r="NN14" s="497"/>
      <c r="NO14" s="498"/>
      <c r="NP14" s="517"/>
      <c r="NQ14" s="496" t="s">
        <v>159</v>
      </c>
      <c r="NR14" s="497"/>
      <c r="NS14" s="497"/>
      <c r="NT14" s="498"/>
      <c r="NU14" s="517"/>
      <c r="NV14" s="496" t="s">
        <v>159</v>
      </c>
      <c r="NW14" s="497"/>
      <c r="NX14" s="497"/>
      <c r="NY14" s="498"/>
      <c r="NZ14" s="517"/>
      <c r="OA14" s="479"/>
      <c r="OB14" s="511"/>
      <c r="OC14" s="487"/>
      <c r="OD14" s="487"/>
      <c r="OE14" s="487"/>
      <c r="OF14" s="488"/>
      <c r="OG14" s="496" t="s">
        <v>159</v>
      </c>
      <c r="OH14" s="497"/>
      <c r="OI14" s="497"/>
      <c r="OJ14" s="498"/>
      <c r="OK14" s="81" t="s">
        <v>780</v>
      </c>
      <c r="OL14" s="496" t="s">
        <v>159</v>
      </c>
      <c r="OM14" s="497"/>
      <c r="ON14" s="497"/>
      <c r="OO14" s="498"/>
      <c r="OP14" s="81" t="s">
        <v>781</v>
      </c>
      <c r="OQ14" s="496" t="s">
        <v>159</v>
      </c>
      <c r="OR14" s="497"/>
      <c r="OS14" s="497"/>
      <c r="OT14" s="498"/>
      <c r="OU14" s="517"/>
      <c r="OV14" s="496" t="s">
        <v>159</v>
      </c>
      <c r="OW14" s="497"/>
      <c r="OX14" s="497"/>
      <c r="OY14" s="498"/>
      <c r="OZ14" s="517"/>
      <c r="PA14" s="479"/>
      <c r="PB14" s="511"/>
      <c r="PC14" s="487"/>
      <c r="PD14" s="487"/>
      <c r="PE14" s="487"/>
      <c r="PF14" s="488"/>
      <c r="PG14" s="496" t="s">
        <v>159</v>
      </c>
      <c r="PH14" s="497"/>
      <c r="PI14" s="497"/>
      <c r="PJ14" s="498"/>
      <c r="PK14" s="81" t="s">
        <v>150</v>
      </c>
      <c r="PL14" s="496" t="s">
        <v>159</v>
      </c>
      <c r="PM14" s="497"/>
      <c r="PN14" s="497"/>
      <c r="PO14" s="498"/>
      <c r="PP14" s="81" t="s">
        <v>150</v>
      </c>
      <c r="PQ14" s="496" t="s">
        <v>159</v>
      </c>
      <c r="PR14" s="497"/>
      <c r="PS14" s="497"/>
      <c r="PT14" s="498"/>
      <c r="PU14" s="81" t="s">
        <v>767</v>
      </c>
      <c r="PV14" s="496" t="s">
        <v>159</v>
      </c>
      <c r="PW14" s="497"/>
      <c r="PX14" s="497"/>
      <c r="PY14" s="498"/>
      <c r="PZ14" s="81" t="s">
        <v>150</v>
      </c>
      <c r="QA14" s="479"/>
      <c r="QB14" s="511"/>
      <c r="QC14" s="487"/>
      <c r="QD14" s="487"/>
      <c r="QE14" s="487"/>
      <c r="QF14" s="488"/>
      <c r="QG14" s="496" t="s">
        <v>159</v>
      </c>
      <c r="QH14" s="497"/>
      <c r="QI14" s="497"/>
      <c r="QJ14" s="498"/>
      <c r="QK14" s="517"/>
      <c r="QL14" s="496" t="s">
        <v>159</v>
      </c>
      <c r="QM14" s="497"/>
      <c r="QN14" s="497"/>
      <c r="QO14" s="498"/>
      <c r="QP14" s="517"/>
      <c r="QQ14" s="496" t="s">
        <v>159</v>
      </c>
      <c r="QR14" s="497"/>
      <c r="QS14" s="497"/>
      <c r="QT14" s="498"/>
      <c r="QU14" s="517"/>
      <c r="QV14" s="496" t="s">
        <v>159</v>
      </c>
      <c r="QW14" s="497"/>
      <c r="QX14" s="497"/>
      <c r="QY14" s="498"/>
      <c r="QZ14" s="517"/>
      <c r="RA14" s="479"/>
      <c r="RB14" s="511"/>
      <c r="RC14" s="487"/>
      <c r="RD14" s="487"/>
      <c r="RE14" s="487"/>
      <c r="RF14" s="488"/>
      <c r="RG14" s="496" t="s">
        <v>159</v>
      </c>
      <c r="RH14" s="497"/>
      <c r="RI14" s="497"/>
      <c r="RJ14" s="498"/>
      <c r="RK14" s="81" t="s">
        <v>772</v>
      </c>
      <c r="RL14" s="496" t="s">
        <v>159</v>
      </c>
      <c r="RM14" s="497"/>
      <c r="RN14" s="497"/>
      <c r="RO14" s="498"/>
      <c r="RP14" s="405" t="s">
        <v>159</v>
      </c>
      <c r="RQ14" s="496" t="s">
        <v>159</v>
      </c>
      <c r="RR14" s="497"/>
      <c r="RS14" s="497"/>
      <c r="RT14" s="498"/>
      <c r="RU14" s="420" t="s">
        <v>765</v>
      </c>
      <c r="RV14" s="566" t="s">
        <v>159</v>
      </c>
      <c r="RW14" s="497"/>
      <c r="RX14" s="497"/>
      <c r="RY14" s="567"/>
      <c r="RZ14" s="517"/>
      <c r="SA14" s="479"/>
      <c r="SB14" s="511"/>
      <c r="SC14" s="487"/>
      <c r="SD14" s="487"/>
      <c r="SE14" s="487"/>
      <c r="SF14" s="488"/>
      <c r="SG14" s="496" t="s">
        <v>159</v>
      </c>
      <c r="SH14" s="497"/>
      <c r="SI14" s="497"/>
      <c r="SJ14" s="498"/>
      <c r="SK14" s="517"/>
      <c r="SL14" s="496" t="s">
        <v>159</v>
      </c>
      <c r="SM14" s="497"/>
      <c r="SN14" s="497"/>
      <c r="SO14" s="498"/>
      <c r="SP14" s="517"/>
      <c r="SQ14" s="496" t="s">
        <v>159</v>
      </c>
      <c r="SR14" s="497"/>
      <c r="SS14" s="497"/>
      <c r="ST14" s="498"/>
      <c r="SU14" s="517"/>
      <c r="SV14" s="496" t="s">
        <v>159</v>
      </c>
      <c r="SW14" s="497"/>
      <c r="SX14" s="497"/>
      <c r="SY14" s="498"/>
      <c r="SZ14" s="517"/>
      <c r="TA14" s="479"/>
      <c r="TB14" s="511"/>
      <c r="TC14" s="487"/>
      <c r="TD14" s="487"/>
      <c r="TE14" s="487"/>
      <c r="TF14" s="488"/>
      <c r="TG14" s="496" t="s">
        <v>159</v>
      </c>
      <c r="TH14" s="497"/>
      <c r="TI14" s="497"/>
      <c r="TJ14" s="498"/>
      <c r="TK14" s="517"/>
      <c r="TL14" s="496" t="s">
        <v>159</v>
      </c>
      <c r="TM14" s="497"/>
      <c r="TN14" s="497"/>
      <c r="TO14" s="498"/>
      <c r="TP14" s="517"/>
      <c r="TQ14" s="496" t="s">
        <v>159</v>
      </c>
      <c r="TR14" s="497"/>
      <c r="TS14" s="497"/>
      <c r="TT14" s="498"/>
      <c r="TU14" s="517"/>
      <c r="TV14" s="496" t="s">
        <v>159</v>
      </c>
      <c r="TW14" s="497"/>
      <c r="TX14" s="497"/>
      <c r="TY14" s="498"/>
      <c r="TZ14" s="81" t="s">
        <v>779</v>
      </c>
      <c r="UA14" s="479"/>
      <c r="UB14" s="511"/>
      <c r="UC14" s="487"/>
      <c r="UD14" s="487"/>
      <c r="UE14" s="487"/>
      <c r="UF14" s="488"/>
      <c r="UG14" s="496" t="s">
        <v>159</v>
      </c>
      <c r="UH14" s="497"/>
      <c r="UI14" s="497"/>
      <c r="UJ14" s="498"/>
      <c r="UK14" s="562"/>
      <c r="UL14" s="496" t="s">
        <v>159</v>
      </c>
      <c r="UM14" s="497"/>
      <c r="UN14" s="497"/>
      <c r="UO14" s="498"/>
      <c r="UP14" s="517"/>
      <c r="UQ14" s="496" t="s">
        <v>159</v>
      </c>
      <c r="UR14" s="497"/>
      <c r="US14" s="497"/>
      <c r="UT14" s="498"/>
      <c r="UU14" s="562"/>
      <c r="UV14" s="496" t="s">
        <v>159</v>
      </c>
      <c r="UW14" s="497"/>
      <c r="UX14" s="497"/>
      <c r="UY14" s="498"/>
      <c r="UZ14" s="517"/>
      <c r="VA14" s="479"/>
      <c r="VB14" s="511"/>
      <c r="VC14" s="487"/>
      <c r="VD14" s="487"/>
      <c r="VE14" s="487"/>
      <c r="VF14" s="488"/>
      <c r="VG14" s="496" t="s">
        <v>159</v>
      </c>
      <c r="VH14" s="497"/>
      <c r="VI14" s="497"/>
      <c r="VJ14" s="498"/>
      <c r="VK14" s="562"/>
      <c r="VL14" s="496" t="s">
        <v>159</v>
      </c>
      <c r="VM14" s="497"/>
      <c r="VN14" s="497"/>
      <c r="VO14" s="498"/>
      <c r="VP14" s="562"/>
      <c r="VQ14" s="496" t="s">
        <v>150</v>
      </c>
      <c r="VR14" s="497"/>
      <c r="VS14" s="497"/>
      <c r="VT14" s="498"/>
      <c r="VU14" s="81" t="s">
        <v>778</v>
      </c>
      <c r="VV14" s="496" t="s">
        <v>159</v>
      </c>
      <c r="VW14" s="497"/>
      <c r="VX14" s="497"/>
      <c r="VY14" s="498"/>
      <c r="VZ14" s="81" t="s">
        <v>150</v>
      </c>
      <c r="WA14" s="479"/>
      <c r="WB14" s="511"/>
      <c r="WC14" s="487"/>
      <c r="WD14" s="487"/>
      <c r="WE14" s="487"/>
      <c r="WF14" s="488"/>
      <c r="WG14" s="496" t="s">
        <v>159</v>
      </c>
      <c r="WH14" s="497"/>
      <c r="WI14" s="497"/>
      <c r="WJ14" s="498"/>
      <c r="WK14" s="81" t="s">
        <v>759</v>
      </c>
      <c r="WL14" s="496" t="s">
        <v>159</v>
      </c>
      <c r="WM14" s="497"/>
      <c r="WN14" s="497"/>
      <c r="WO14" s="498"/>
      <c r="WP14" s="81" t="s">
        <v>776</v>
      </c>
      <c r="WQ14" s="496" t="s">
        <v>159</v>
      </c>
      <c r="WR14" s="497"/>
      <c r="WS14" s="497"/>
      <c r="WT14" s="498"/>
      <c r="WU14" s="81" t="s">
        <v>777</v>
      </c>
      <c r="WV14" s="496" t="s">
        <v>159</v>
      </c>
      <c r="WW14" s="497"/>
      <c r="WX14" s="497"/>
      <c r="WY14" s="498"/>
      <c r="WZ14" s="517"/>
      <c r="XA14" s="479"/>
      <c r="XB14" s="511"/>
      <c r="XC14" s="487"/>
      <c r="XD14" s="487"/>
      <c r="XE14" s="487"/>
      <c r="XF14" s="488"/>
      <c r="XG14" s="496" t="s">
        <v>159</v>
      </c>
      <c r="XH14" s="497"/>
      <c r="XI14" s="497"/>
      <c r="XJ14" s="498"/>
      <c r="XK14" s="517"/>
      <c r="XL14" s="496" t="s">
        <v>159</v>
      </c>
      <c r="XM14" s="497"/>
      <c r="XN14" s="497"/>
      <c r="XO14" s="498"/>
      <c r="XP14" s="81" t="s">
        <v>774</v>
      </c>
      <c r="XQ14" s="496" t="s">
        <v>159</v>
      </c>
      <c r="XR14" s="497"/>
      <c r="XS14" s="497"/>
      <c r="XT14" s="498"/>
      <c r="XU14" s="81" t="s">
        <v>775</v>
      </c>
      <c r="XV14" s="496" t="s">
        <v>159</v>
      </c>
      <c r="XW14" s="497"/>
      <c r="XX14" s="497"/>
      <c r="XY14" s="498"/>
      <c r="XZ14" s="517"/>
      <c r="YA14" s="479"/>
      <c r="YB14" s="511"/>
      <c r="YC14" s="487"/>
      <c r="YD14" s="487"/>
      <c r="YE14" s="487"/>
      <c r="YF14" s="488"/>
      <c r="YG14" s="496" t="s">
        <v>159</v>
      </c>
      <c r="YH14" s="497"/>
      <c r="YI14" s="497"/>
      <c r="YJ14" s="498"/>
      <c r="YK14" s="517"/>
      <c r="YL14" s="496" t="s">
        <v>159</v>
      </c>
      <c r="YM14" s="497"/>
      <c r="YN14" s="497"/>
      <c r="YO14" s="498"/>
      <c r="YP14" s="517"/>
      <c r="YQ14" s="496" t="s">
        <v>159</v>
      </c>
      <c r="YR14" s="497"/>
      <c r="YS14" s="497"/>
      <c r="YT14" s="498"/>
      <c r="YU14" s="517"/>
      <c r="YV14" s="496" t="s">
        <v>159</v>
      </c>
      <c r="YW14" s="497"/>
      <c r="YX14" s="497"/>
      <c r="YY14" s="498"/>
      <c r="YZ14" s="517"/>
      <c r="ZA14" s="479"/>
      <c r="ZB14" s="511"/>
      <c r="ZC14" s="487"/>
      <c r="ZD14" s="487"/>
      <c r="ZE14" s="487"/>
      <c r="ZF14" s="488"/>
      <c r="ZG14" s="496" t="s">
        <v>159</v>
      </c>
      <c r="ZH14" s="497"/>
      <c r="ZI14" s="497"/>
      <c r="ZJ14" s="498"/>
      <c r="ZK14" s="517"/>
      <c r="ZL14" s="496" t="s">
        <v>159</v>
      </c>
      <c r="ZM14" s="497"/>
      <c r="ZN14" s="497"/>
      <c r="ZO14" s="498"/>
      <c r="ZP14" s="81" t="s">
        <v>772</v>
      </c>
      <c r="ZQ14" s="496" t="s">
        <v>150</v>
      </c>
      <c r="ZR14" s="497"/>
      <c r="ZS14" s="497"/>
      <c r="ZT14" s="498"/>
      <c r="ZU14" s="81" t="s">
        <v>767</v>
      </c>
      <c r="ZV14" s="496" t="s">
        <v>159</v>
      </c>
      <c r="ZW14" s="497"/>
      <c r="ZX14" s="497"/>
      <c r="ZY14" s="498"/>
      <c r="ZZ14" s="81" t="s">
        <v>773</v>
      </c>
      <c r="AAA14" s="479"/>
      <c r="AAB14" s="511"/>
      <c r="AAC14" s="487"/>
      <c r="AAD14" s="487"/>
      <c r="AAE14" s="487"/>
      <c r="AAF14" s="488"/>
      <c r="AAG14" s="496" t="s">
        <v>159</v>
      </c>
      <c r="AAH14" s="497"/>
      <c r="AAI14" s="497"/>
      <c r="AAJ14" s="498"/>
      <c r="AAK14" s="81" t="s">
        <v>770</v>
      </c>
      <c r="AAL14" s="496" t="s">
        <v>159</v>
      </c>
      <c r="AAM14" s="497"/>
      <c r="AAN14" s="497"/>
      <c r="AAO14" s="498"/>
      <c r="AAP14" s="81" t="s">
        <v>771</v>
      </c>
      <c r="AAQ14" s="496" t="s">
        <v>159</v>
      </c>
      <c r="AAR14" s="497"/>
      <c r="AAS14" s="497"/>
      <c r="AAT14" s="498"/>
      <c r="AAU14" s="517"/>
      <c r="AAV14" s="496" t="s">
        <v>159</v>
      </c>
      <c r="AAW14" s="497"/>
      <c r="AAX14" s="497"/>
      <c r="AAY14" s="498"/>
      <c r="AAZ14" s="517"/>
      <c r="ABA14" s="479"/>
      <c r="ABB14" s="511"/>
      <c r="ABC14" s="487"/>
      <c r="ABD14" s="487"/>
      <c r="ABE14" s="487"/>
      <c r="ABF14" s="488"/>
      <c r="ABG14" s="496" t="s">
        <v>159</v>
      </c>
      <c r="ABH14" s="497"/>
      <c r="ABI14" s="497"/>
      <c r="ABJ14" s="498"/>
      <c r="ABK14" s="81" t="s">
        <v>769</v>
      </c>
      <c r="ABL14" s="496" t="s">
        <v>159</v>
      </c>
      <c r="ABM14" s="497"/>
      <c r="ABN14" s="497"/>
      <c r="ABO14" s="498"/>
      <c r="ABP14" s="81" t="s">
        <v>765</v>
      </c>
      <c r="ABQ14" s="496" t="s">
        <v>159</v>
      </c>
      <c r="ABR14" s="497"/>
      <c r="ABS14" s="497"/>
      <c r="ABT14" s="498"/>
      <c r="ABU14" s="517"/>
      <c r="ABV14" s="496" t="s">
        <v>159</v>
      </c>
      <c r="ABW14" s="497"/>
      <c r="ABX14" s="497"/>
      <c r="ABY14" s="498"/>
      <c r="ABZ14" s="517"/>
      <c r="ACA14" s="479"/>
      <c r="ACB14" s="511"/>
      <c r="ACC14" s="487"/>
      <c r="ACD14" s="487"/>
      <c r="ACE14" s="487"/>
      <c r="ACF14" s="488"/>
      <c r="ACG14" s="496" t="s">
        <v>159</v>
      </c>
      <c r="ACH14" s="497"/>
      <c r="ACI14" s="497"/>
      <c r="ACJ14" s="498"/>
      <c r="ACK14" s="517"/>
      <c r="ACL14" s="496" t="s">
        <v>159</v>
      </c>
      <c r="ACM14" s="497"/>
      <c r="ACN14" s="497"/>
      <c r="ACO14" s="498"/>
      <c r="ACP14" s="81" t="s">
        <v>767</v>
      </c>
      <c r="ACQ14" s="496" t="s">
        <v>159</v>
      </c>
      <c r="ACR14" s="497"/>
      <c r="ACS14" s="497"/>
      <c r="ACT14" s="498"/>
      <c r="ACU14" s="517"/>
      <c r="ACV14" s="496" t="s">
        <v>159</v>
      </c>
      <c r="ACW14" s="497"/>
      <c r="ACX14" s="497"/>
      <c r="ACY14" s="498"/>
      <c r="ACZ14" s="81" t="s">
        <v>768</v>
      </c>
      <c r="ADA14" s="479"/>
      <c r="ADB14" s="511"/>
      <c r="ADC14" s="487"/>
      <c r="ADD14" s="487"/>
      <c r="ADE14" s="487"/>
      <c r="ADF14" s="488"/>
      <c r="ADG14" s="496" t="s">
        <v>159</v>
      </c>
      <c r="ADH14" s="497"/>
      <c r="ADI14" s="497"/>
      <c r="ADJ14" s="498"/>
      <c r="ADK14" s="81" t="s">
        <v>765</v>
      </c>
      <c r="ADL14" s="496" t="s">
        <v>150</v>
      </c>
      <c r="ADM14" s="497"/>
      <c r="ADN14" s="497"/>
      <c r="ADO14" s="498"/>
      <c r="ADP14" s="81" t="s">
        <v>150</v>
      </c>
      <c r="ADQ14" s="496" t="s">
        <v>159</v>
      </c>
      <c r="ADR14" s="497"/>
      <c r="ADS14" s="497"/>
      <c r="ADT14" s="498"/>
      <c r="ADU14" s="81" t="s">
        <v>762</v>
      </c>
      <c r="ADV14" s="496" t="s">
        <v>159</v>
      </c>
      <c r="ADW14" s="497"/>
      <c r="ADX14" s="497"/>
      <c r="ADY14" s="498"/>
      <c r="ADZ14" s="81" t="s">
        <v>766</v>
      </c>
      <c r="AEA14" s="479"/>
      <c r="AEB14" s="511"/>
      <c r="AEC14" s="487"/>
      <c r="AED14" s="487"/>
      <c r="AEE14" s="487"/>
      <c r="AEF14" s="488"/>
      <c r="AEG14" s="496" t="s">
        <v>159</v>
      </c>
      <c r="AEH14" s="497"/>
      <c r="AEI14" s="497"/>
      <c r="AEJ14" s="498"/>
      <c r="AEK14" s="81" t="s">
        <v>150</v>
      </c>
      <c r="AEL14" s="496" t="s">
        <v>159</v>
      </c>
      <c r="AEM14" s="497"/>
      <c r="AEN14" s="497"/>
      <c r="AEO14" s="498"/>
      <c r="AEP14" s="81" t="s">
        <v>762</v>
      </c>
      <c r="AEQ14" s="496" t="s">
        <v>159</v>
      </c>
      <c r="AER14" s="497"/>
      <c r="AES14" s="497"/>
      <c r="AET14" s="498"/>
      <c r="AEU14" s="81" t="s">
        <v>763</v>
      </c>
      <c r="AEV14" s="496" t="s">
        <v>764</v>
      </c>
      <c r="AEW14" s="497"/>
      <c r="AEX14" s="497"/>
      <c r="AEY14" s="498"/>
      <c r="AEZ14" s="81" t="s">
        <v>764</v>
      </c>
      <c r="AFA14" s="479"/>
      <c r="AFB14" s="511"/>
      <c r="AFC14" s="487"/>
      <c r="AFD14" s="487"/>
      <c r="AFE14" s="487"/>
      <c r="AFF14" s="488"/>
      <c r="AFG14" s="496" t="s">
        <v>159</v>
      </c>
      <c r="AFH14" s="497"/>
      <c r="AFI14" s="497"/>
      <c r="AFJ14" s="498"/>
      <c r="AFK14" s="81" t="s">
        <v>761</v>
      </c>
      <c r="AFL14" s="496" t="s">
        <v>159</v>
      </c>
      <c r="AFM14" s="497"/>
      <c r="AFN14" s="497"/>
      <c r="AFO14" s="498"/>
      <c r="AFP14" s="81" t="s">
        <v>150</v>
      </c>
      <c r="AFQ14" s="496" t="s">
        <v>159</v>
      </c>
      <c r="AFR14" s="497"/>
      <c r="AFS14" s="497"/>
      <c r="AFT14" s="498"/>
      <c r="AFU14" s="81" t="s">
        <v>150</v>
      </c>
      <c r="AFV14" s="496" t="s">
        <v>159</v>
      </c>
      <c r="AFW14" s="497"/>
      <c r="AFX14" s="497"/>
      <c r="AFY14" s="498"/>
      <c r="AFZ14" s="517"/>
      <c r="AGA14" s="479"/>
      <c r="AGB14" s="511"/>
      <c r="AGC14" s="487"/>
      <c r="AGD14" s="487"/>
      <c r="AGE14" s="487"/>
      <c r="AGF14" s="488"/>
      <c r="AGG14" s="496" t="s">
        <v>159</v>
      </c>
      <c r="AGH14" s="497"/>
      <c r="AGI14" s="497"/>
      <c r="AGJ14" s="498"/>
      <c r="AGK14" s="81" t="s">
        <v>159</v>
      </c>
      <c r="AGL14" s="496" t="s">
        <v>159</v>
      </c>
      <c r="AGM14" s="497"/>
      <c r="AGN14" s="497"/>
      <c r="AGO14" s="498"/>
      <c r="AGP14" s="81" t="s">
        <v>159</v>
      </c>
      <c r="AGQ14" s="496" t="s">
        <v>159</v>
      </c>
      <c r="AGR14" s="497"/>
      <c r="AGS14" s="497"/>
      <c r="AGT14" s="498"/>
      <c r="AGU14" s="81" t="s">
        <v>761</v>
      </c>
      <c r="AGV14" s="496" t="s">
        <v>159</v>
      </c>
      <c r="AGW14" s="497"/>
      <c r="AGX14" s="497"/>
      <c r="AGY14" s="498"/>
      <c r="AGZ14" s="81" t="s">
        <v>761</v>
      </c>
      <c r="AHA14" s="479"/>
      <c r="AHB14" s="511"/>
      <c r="AHC14" s="487"/>
      <c r="AHD14" s="487"/>
      <c r="AHE14" s="487"/>
      <c r="AHF14" s="488"/>
      <c r="AHG14" s="496" t="s">
        <v>159</v>
      </c>
      <c r="AHH14" s="497"/>
      <c r="AHI14" s="497"/>
      <c r="AHJ14" s="498"/>
      <c r="AHK14" s="81" t="s">
        <v>159</v>
      </c>
      <c r="AHL14" s="496" t="s">
        <v>159</v>
      </c>
      <c r="AHM14" s="497"/>
      <c r="AHN14" s="497"/>
      <c r="AHO14" s="498"/>
      <c r="AHP14" s="81" t="s">
        <v>55</v>
      </c>
      <c r="AHQ14" s="496" t="s">
        <v>159</v>
      </c>
      <c r="AHR14" s="497"/>
      <c r="AHS14" s="497"/>
      <c r="AHT14" s="498"/>
      <c r="AHU14" s="81" t="s">
        <v>759</v>
      </c>
      <c r="AHV14" s="496" t="s">
        <v>159</v>
      </c>
      <c r="AHW14" s="497"/>
      <c r="AHX14" s="497"/>
      <c r="AHY14" s="498"/>
      <c r="AHZ14" s="81" t="s">
        <v>760</v>
      </c>
      <c r="AIA14" s="479"/>
      <c r="AIB14" s="511"/>
      <c r="AIC14" s="487"/>
      <c r="AID14" s="487"/>
      <c r="AIE14" s="487"/>
      <c r="AIF14" s="488"/>
      <c r="AIG14" s="496" t="s">
        <v>159</v>
      </c>
      <c r="AIH14" s="497"/>
      <c r="AII14" s="497"/>
      <c r="AIJ14" s="498"/>
      <c r="AIK14" s="81" t="s">
        <v>751</v>
      </c>
      <c r="AIL14" s="496" t="s">
        <v>159</v>
      </c>
      <c r="AIM14" s="497"/>
      <c r="AIN14" s="497"/>
      <c r="AIO14" s="498"/>
      <c r="AIP14" s="81" t="s">
        <v>150</v>
      </c>
      <c r="AIQ14" s="496" t="s">
        <v>159</v>
      </c>
      <c r="AIR14" s="497"/>
      <c r="AIS14" s="497"/>
      <c r="AIT14" s="498"/>
      <c r="AIU14" s="81" t="s">
        <v>758</v>
      </c>
      <c r="AIV14" s="496" t="s">
        <v>159</v>
      </c>
      <c r="AIW14" s="497"/>
      <c r="AIX14" s="497"/>
      <c r="AIY14" s="498"/>
      <c r="AIZ14" s="517"/>
      <c r="AJA14" s="479"/>
      <c r="AJB14" s="511"/>
      <c r="AJC14" s="487"/>
      <c r="AJD14" s="487"/>
      <c r="AJE14" s="487"/>
      <c r="AJF14" s="488"/>
      <c r="AJG14" s="496" t="s">
        <v>159</v>
      </c>
      <c r="AJH14" s="497"/>
      <c r="AJI14" s="497"/>
      <c r="AJJ14" s="498"/>
      <c r="AJK14" s="81" t="s">
        <v>756</v>
      </c>
      <c r="AJL14" s="496" t="s">
        <v>159</v>
      </c>
      <c r="AJM14" s="497"/>
      <c r="AJN14" s="497"/>
      <c r="AJO14" s="498"/>
      <c r="AJP14" s="517"/>
      <c r="AJQ14" s="496" t="s">
        <v>159</v>
      </c>
      <c r="AJR14" s="497"/>
      <c r="AJS14" s="497"/>
      <c r="AJT14" s="498"/>
      <c r="AJU14" s="81" t="s">
        <v>757</v>
      </c>
      <c r="AJV14" s="496" t="s">
        <v>159</v>
      </c>
      <c r="AJW14" s="497"/>
      <c r="AJX14" s="497"/>
      <c r="AJY14" s="498"/>
      <c r="AJZ14" s="81" t="s">
        <v>757</v>
      </c>
      <c r="AKA14" s="479"/>
      <c r="AKB14" s="511"/>
      <c r="AKC14" s="487"/>
      <c r="AKD14" s="487"/>
      <c r="AKE14" s="487"/>
      <c r="AKF14" s="488"/>
      <c r="AKG14" s="496" t="s">
        <v>150</v>
      </c>
      <c r="AKH14" s="497"/>
      <c r="AKI14" s="497"/>
      <c r="AKJ14" s="498"/>
      <c r="AKK14" s="81" t="s">
        <v>150</v>
      </c>
      <c r="AKL14" s="496" t="s">
        <v>159</v>
      </c>
      <c r="AKM14" s="497"/>
      <c r="AKN14" s="497"/>
      <c r="AKO14" s="498"/>
      <c r="AKP14" s="517"/>
      <c r="AKQ14" s="496" t="s">
        <v>150</v>
      </c>
      <c r="AKR14" s="497"/>
      <c r="AKS14" s="497"/>
      <c r="AKT14" s="498"/>
      <c r="AKU14" s="81" t="s">
        <v>755</v>
      </c>
      <c r="AKV14" s="496"/>
      <c r="AKW14" s="497"/>
      <c r="AKX14" s="497"/>
      <c r="AKY14" s="498"/>
      <c r="AKZ14" s="81"/>
    </row>
    <row r="15" spans="1:988" ht="45" customHeight="1" x14ac:dyDescent="0.4">
      <c r="A15" s="479"/>
      <c r="B15" s="507" t="s">
        <v>1</v>
      </c>
      <c r="C15" s="485"/>
      <c r="D15" s="485"/>
      <c r="E15" s="485"/>
      <c r="F15" s="486"/>
      <c r="G15" s="504">
        <v>0.52083333333333315</v>
      </c>
      <c r="H15" s="505"/>
      <c r="I15" s="505"/>
      <c r="J15" s="506"/>
      <c r="K15" s="82">
        <v>0.52083333333333337</v>
      </c>
      <c r="L15" s="504">
        <v>0.52083333333333315</v>
      </c>
      <c r="M15" s="505"/>
      <c r="N15" s="505"/>
      <c r="O15" s="506"/>
      <c r="P15" s="82">
        <v>0.52083333333333337</v>
      </c>
      <c r="Q15" s="504">
        <v>0.49999999999999978</v>
      </c>
      <c r="R15" s="505"/>
      <c r="S15" s="505"/>
      <c r="T15" s="506"/>
      <c r="U15" s="82">
        <v>0.54166666666666663</v>
      </c>
      <c r="V15" s="504">
        <v>0.52083333333333315</v>
      </c>
      <c r="W15" s="505"/>
      <c r="X15" s="505"/>
      <c r="Y15" s="506"/>
      <c r="Z15" s="82">
        <v>0.52083333333333337</v>
      </c>
      <c r="AA15" s="479"/>
      <c r="AB15" s="507" t="s">
        <v>1</v>
      </c>
      <c r="AC15" s="485"/>
      <c r="AD15" s="485"/>
      <c r="AE15" s="485"/>
      <c r="AF15" s="486"/>
      <c r="AG15" s="504">
        <v>0.52083333333333315</v>
      </c>
      <c r="AH15" s="505"/>
      <c r="AI15" s="505"/>
      <c r="AJ15" s="506"/>
      <c r="AK15" s="82">
        <v>0.52083333333333337</v>
      </c>
      <c r="AL15" s="504">
        <v>0.52083333333333315</v>
      </c>
      <c r="AM15" s="505"/>
      <c r="AN15" s="505"/>
      <c r="AO15" s="506"/>
      <c r="AP15" s="82">
        <v>0.52083333333333337</v>
      </c>
      <c r="AQ15" s="504">
        <v>0.52083333333333315</v>
      </c>
      <c r="AR15" s="505"/>
      <c r="AS15" s="505"/>
      <c r="AT15" s="506"/>
      <c r="AU15" s="82">
        <v>0.5</v>
      </c>
      <c r="AV15" s="504">
        <v>0.52083333333333315</v>
      </c>
      <c r="AW15" s="505"/>
      <c r="AX15" s="505"/>
      <c r="AY15" s="506"/>
      <c r="AZ15" s="82">
        <v>0.5</v>
      </c>
      <c r="BA15" s="479"/>
      <c r="BB15" s="507" t="s">
        <v>1</v>
      </c>
      <c r="BC15" s="485"/>
      <c r="BD15" s="485"/>
      <c r="BE15" s="485"/>
      <c r="BF15" s="486"/>
      <c r="BG15" s="504">
        <v>0.52083333333333315</v>
      </c>
      <c r="BH15" s="505"/>
      <c r="BI15" s="505"/>
      <c r="BJ15" s="506"/>
      <c r="BK15" s="82">
        <v>0.52083333333333337</v>
      </c>
      <c r="BL15" s="504">
        <v>0.47916666666666646</v>
      </c>
      <c r="BM15" s="505"/>
      <c r="BN15" s="505"/>
      <c r="BO15" s="506"/>
      <c r="BP15" s="82">
        <v>0.5</v>
      </c>
      <c r="BQ15" s="504">
        <v>0.52083333333333315</v>
      </c>
      <c r="BR15" s="505"/>
      <c r="BS15" s="505"/>
      <c r="BT15" s="506"/>
      <c r="BU15" s="490"/>
      <c r="BV15" s="504">
        <v>0.52083333333333315</v>
      </c>
      <c r="BW15" s="505"/>
      <c r="BX15" s="505"/>
      <c r="BY15" s="506"/>
      <c r="BZ15" s="517"/>
      <c r="CA15" s="479"/>
      <c r="CB15" s="507" t="s">
        <v>1</v>
      </c>
      <c r="CC15" s="485"/>
      <c r="CD15" s="485"/>
      <c r="CE15" s="485"/>
      <c r="CF15" s="486"/>
      <c r="CG15" s="504">
        <v>0.52083333333333315</v>
      </c>
      <c r="CH15" s="505"/>
      <c r="CI15" s="505"/>
      <c r="CJ15" s="506"/>
      <c r="CK15" s="517"/>
      <c r="CL15" s="504">
        <v>0.52083333333333315</v>
      </c>
      <c r="CM15" s="505"/>
      <c r="CN15" s="505"/>
      <c r="CO15" s="506"/>
      <c r="CP15" s="82">
        <v>0.52083333333333337</v>
      </c>
      <c r="CQ15" s="504">
        <v>0.52083333333333315</v>
      </c>
      <c r="CR15" s="505"/>
      <c r="CS15" s="505"/>
      <c r="CT15" s="506"/>
      <c r="CU15" s="82">
        <v>0.5</v>
      </c>
      <c r="CV15" s="504">
        <v>0.52083333333333315</v>
      </c>
      <c r="CW15" s="505"/>
      <c r="CX15" s="505"/>
      <c r="CY15" s="506"/>
      <c r="CZ15" s="517"/>
      <c r="DA15" s="479"/>
      <c r="DB15" s="507" t="s">
        <v>1</v>
      </c>
      <c r="DC15" s="485"/>
      <c r="DD15" s="485"/>
      <c r="DE15" s="485"/>
      <c r="DF15" s="486"/>
      <c r="DG15" s="504">
        <v>0.52083333333333315</v>
      </c>
      <c r="DH15" s="505"/>
      <c r="DI15" s="505"/>
      <c r="DJ15" s="506"/>
      <c r="DK15" s="82">
        <v>0.5625</v>
      </c>
      <c r="DL15" s="504">
        <v>0.52083333333333315</v>
      </c>
      <c r="DM15" s="505"/>
      <c r="DN15" s="505"/>
      <c r="DO15" s="506"/>
      <c r="DP15" s="82">
        <v>0.52083333333333337</v>
      </c>
      <c r="DQ15" s="504">
        <v>0.52083333333333315</v>
      </c>
      <c r="DR15" s="505"/>
      <c r="DS15" s="505"/>
      <c r="DT15" s="506"/>
      <c r="DU15" s="82">
        <v>0.52083333333333337</v>
      </c>
      <c r="DV15" s="504">
        <v>0.52083333333333315</v>
      </c>
      <c r="DW15" s="505"/>
      <c r="DX15" s="505"/>
      <c r="DY15" s="506"/>
      <c r="DZ15" s="517"/>
      <c r="EA15" s="479"/>
      <c r="EB15" s="507" t="s">
        <v>1</v>
      </c>
      <c r="EC15" s="485"/>
      <c r="ED15" s="485"/>
      <c r="EE15" s="485"/>
      <c r="EF15" s="486"/>
      <c r="EG15" s="504">
        <v>0.52083333333333315</v>
      </c>
      <c r="EH15" s="505"/>
      <c r="EI15" s="505"/>
      <c r="EJ15" s="506"/>
      <c r="EK15" s="517"/>
      <c r="EL15" s="504">
        <v>0.52083333333333315</v>
      </c>
      <c r="EM15" s="505"/>
      <c r="EN15" s="505"/>
      <c r="EO15" s="506"/>
      <c r="EP15" s="82">
        <v>0.52083333333333337</v>
      </c>
      <c r="EQ15" s="504">
        <v>0.47916666666666669</v>
      </c>
      <c r="ER15" s="505"/>
      <c r="ES15" s="505"/>
      <c r="ET15" s="506"/>
      <c r="EU15" s="82">
        <v>0.5</v>
      </c>
      <c r="EV15" s="504">
        <v>0.52083333333333315</v>
      </c>
      <c r="EW15" s="505"/>
      <c r="EX15" s="505"/>
      <c r="EY15" s="506"/>
      <c r="EZ15" s="517"/>
      <c r="FA15" s="479"/>
      <c r="FB15" s="507" t="s">
        <v>1</v>
      </c>
      <c r="FC15" s="485"/>
      <c r="FD15" s="485"/>
      <c r="FE15" s="485"/>
      <c r="FF15" s="486"/>
      <c r="FG15" s="504">
        <v>0.52083333333333315</v>
      </c>
      <c r="FH15" s="505"/>
      <c r="FI15" s="505"/>
      <c r="FJ15" s="506"/>
      <c r="FK15" s="517"/>
      <c r="FL15" s="504">
        <v>0.5</v>
      </c>
      <c r="FM15" s="505"/>
      <c r="FN15" s="505"/>
      <c r="FO15" s="506"/>
      <c r="FP15" s="82">
        <v>0.47916666666666669</v>
      </c>
      <c r="FQ15" s="504">
        <v>0.47916666666666646</v>
      </c>
      <c r="FR15" s="505"/>
      <c r="FS15" s="505"/>
      <c r="FT15" s="506"/>
      <c r="FU15" s="82">
        <v>0.5</v>
      </c>
      <c r="FV15" s="504">
        <v>0.45833333333333315</v>
      </c>
      <c r="FW15" s="505"/>
      <c r="FX15" s="505"/>
      <c r="FY15" s="506"/>
      <c r="FZ15" s="517"/>
      <c r="GA15" s="479"/>
      <c r="GB15" s="507" t="s">
        <v>1</v>
      </c>
      <c r="GC15" s="485"/>
      <c r="GD15" s="485"/>
      <c r="GE15" s="485"/>
      <c r="GF15" s="486"/>
      <c r="GG15" s="504">
        <v>0.47916666666666646</v>
      </c>
      <c r="GH15" s="505"/>
      <c r="GI15" s="505"/>
      <c r="GJ15" s="506"/>
      <c r="GK15" s="517"/>
      <c r="GL15" s="504">
        <v>0.49999999999999978</v>
      </c>
      <c r="GM15" s="505"/>
      <c r="GN15" s="505"/>
      <c r="GO15" s="506"/>
      <c r="GP15" s="517"/>
      <c r="GQ15" s="504">
        <v>0.49999999999999978</v>
      </c>
      <c r="GR15" s="505"/>
      <c r="GS15" s="505"/>
      <c r="GT15" s="506"/>
      <c r="GU15" s="517"/>
      <c r="GV15" s="504">
        <v>0.49999999999999978</v>
      </c>
      <c r="GW15" s="505"/>
      <c r="GX15" s="505"/>
      <c r="GY15" s="506"/>
      <c r="GZ15" s="82">
        <v>0.52083333333333337</v>
      </c>
      <c r="HA15" s="479"/>
      <c r="HB15" s="507" t="s">
        <v>1</v>
      </c>
      <c r="HC15" s="485"/>
      <c r="HD15" s="485"/>
      <c r="HE15" s="485"/>
      <c r="HF15" s="486"/>
      <c r="HG15" s="504">
        <v>0.56249999999999989</v>
      </c>
      <c r="HH15" s="505"/>
      <c r="HI15" s="505"/>
      <c r="HJ15" s="506"/>
      <c r="HK15" s="517"/>
      <c r="HL15" s="504">
        <v>0.52083333333333315</v>
      </c>
      <c r="HM15" s="505"/>
      <c r="HN15" s="505"/>
      <c r="HO15" s="506"/>
      <c r="HP15" s="82">
        <v>0.52083333333333337</v>
      </c>
      <c r="HQ15" s="504">
        <v>0.52083333333333315</v>
      </c>
      <c r="HR15" s="505"/>
      <c r="HS15" s="505"/>
      <c r="HT15" s="506"/>
      <c r="HU15" s="82">
        <v>0.52083333333333337</v>
      </c>
      <c r="HV15" s="504">
        <v>0.52083333333333315</v>
      </c>
      <c r="HW15" s="505"/>
      <c r="HX15" s="505"/>
      <c r="HY15" s="506"/>
      <c r="HZ15" s="82">
        <v>0.5625</v>
      </c>
      <c r="IA15" s="479"/>
      <c r="IB15" s="507" t="s">
        <v>1</v>
      </c>
      <c r="IC15" s="485"/>
      <c r="ID15" s="485"/>
      <c r="IE15" s="485"/>
      <c r="IF15" s="486"/>
      <c r="IG15" s="504">
        <v>0.5</v>
      </c>
      <c r="IH15" s="505"/>
      <c r="II15" s="505"/>
      <c r="IJ15" s="506"/>
      <c r="IK15" s="517"/>
      <c r="IL15" s="504">
        <v>0.49999999999999978</v>
      </c>
      <c r="IM15" s="505"/>
      <c r="IN15" s="505"/>
      <c r="IO15" s="506"/>
      <c r="IP15" s="82">
        <v>0.5</v>
      </c>
      <c r="IQ15" s="504">
        <v>0.45833333333333331</v>
      </c>
      <c r="IR15" s="505"/>
      <c r="IS15" s="505"/>
      <c r="IT15" s="506"/>
      <c r="IU15" s="517"/>
      <c r="IV15" s="504">
        <v>0.52083333333333315</v>
      </c>
      <c r="IW15" s="505"/>
      <c r="IX15" s="505"/>
      <c r="IY15" s="506"/>
      <c r="IZ15" s="517"/>
      <c r="JA15" s="479"/>
      <c r="JB15" s="507" t="s">
        <v>1</v>
      </c>
      <c r="JC15" s="485"/>
      <c r="JD15" s="485"/>
      <c r="JE15" s="485"/>
      <c r="JF15" s="486"/>
      <c r="JG15" s="504">
        <v>0.45833333333333315</v>
      </c>
      <c r="JH15" s="505"/>
      <c r="JI15" s="505"/>
      <c r="JJ15" s="506"/>
      <c r="JK15" s="517"/>
      <c r="JL15" s="504">
        <v>0.49999999999999978</v>
      </c>
      <c r="JM15" s="505"/>
      <c r="JN15" s="505"/>
      <c r="JO15" s="506"/>
      <c r="JP15" s="517"/>
      <c r="JQ15" s="504">
        <v>0.45833333333333331</v>
      </c>
      <c r="JR15" s="505"/>
      <c r="JS15" s="505"/>
      <c r="JT15" s="506"/>
      <c r="JU15" s="82">
        <v>0.5</v>
      </c>
      <c r="JV15" s="504">
        <v>0.52083333333333337</v>
      </c>
      <c r="JW15" s="505"/>
      <c r="JX15" s="505"/>
      <c r="JY15" s="506"/>
      <c r="JZ15" s="517"/>
      <c r="KA15" s="479"/>
      <c r="KB15" s="507" t="s">
        <v>1</v>
      </c>
      <c r="KC15" s="485"/>
      <c r="KD15" s="485"/>
      <c r="KE15" s="485"/>
      <c r="KF15" s="486"/>
      <c r="KG15" s="504">
        <v>0.45833333333333331</v>
      </c>
      <c r="KH15" s="505"/>
      <c r="KI15" s="505"/>
      <c r="KJ15" s="506"/>
      <c r="KK15" s="517"/>
      <c r="KL15" s="504">
        <v>0.47916666666666646</v>
      </c>
      <c r="KM15" s="505"/>
      <c r="KN15" s="505"/>
      <c r="KO15" s="506"/>
      <c r="KP15" s="517"/>
      <c r="KQ15" s="504">
        <v>0.49999999999999978</v>
      </c>
      <c r="KR15" s="505"/>
      <c r="KS15" s="505"/>
      <c r="KT15" s="506"/>
      <c r="KU15" s="517"/>
      <c r="KV15" s="504">
        <v>0.49999999999999978</v>
      </c>
      <c r="KW15" s="505"/>
      <c r="KX15" s="505"/>
      <c r="KY15" s="506"/>
      <c r="KZ15" s="82">
        <v>0.47916666666666702</v>
      </c>
      <c r="LA15" s="479"/>
      <c r="LB15" s="507" t="s">
        <v>1</v>
      </c>
      <c r="LC15" s="485"/>
      <c r="LD15" s="485"/>
      <c r="LE15" s="485"/>
      <c r="LF15" s="486"/>
      <c r="LG15" s="504">
        <v>0.5</v>
      </c>
      <c r="LH15" s="505"/>
      <c r="LI15" s="505"/>
      <c r="LJ15" s="506"/>
      <c r="LK15" s="517"/>
      <c r="LL15" s="504">
        <v>0.43749999999999983</v>
      </c>
      <c r="LM15" s="505"/>
      <c r="LN15" s="505"/>
      <c r="LO15" s="506"/>
      <c r="LP15" s="82">
        <v>0.45833333333333331</v>
      </c>
      <c r="LQ15" s="504">
        <v>0.49999999999999978</v>
      </c>
      <c r="LR15" s="505"/>
      <c r="LS15" s="505"/>
      <c r="LT15" s="506"/>
      <c r="LU15" s="517"/>
      <c r="LV15" s="504">
        <v>0.4375</v>
      </c>
      <c r="LW15" s="505"/>
      <c r="LX15" s="505"/>
      <c r="LY15" s="506"/>
      <c r="LZ15" s="517"/>
      <c r="MA15" s="479"/>
      <c r="MB15" s="507" t="s">
        <v>1</v>
      </c>
      <c r="MC15" s="485"/>
      <c r="MD15" s="485"/>
      <c r="ME15" s="485"/>
      <c r="MF15" s="486"/>
      <c r="MG15" s="504">
        <v>0.52083333333333315</v>
      </c>
      <c r="MH15" s="505"/>
      <c r="MI15" s="505"/>
      <c r="MJ15" s="506"/>
      <c r="MK15" s="517"/>
      <c r="ML15" s="504">
        <v>0.49999999999999978</v>
      </c>
      <c r="MM15" s="505"/>
      <c r="MN15" s="505"/>
      <c r="MO15" s="506"/>
      <c r="MP15" s="517"/>
      <c r="MQ15" s="504">
        <v>0.49999999999999978</v>
      </c>
      <c r="MR15" s="505"/>
      <c r="MS15" s="505"/>
      <c r="MT15" s="506"/>
      <c r="MU15" s="517"/>
      <c r="MV15" s="504">
        <v>0.52083333333333315</v>
      </c>
      <c r="MW15" s="505"/>
      <c r="MX15" s="505"/>
      <c r="MY15" s="506"/>
      <c r="MZ15" s="517"/>
      <c r="NA15" s="479"/>
      <c r="NB15" s="507" t="s">
        <v>1</v>
      </c>
      <c r="NC15" s="485"/>
      <c r="ND15" s="485"/>
      <c r="NE15" s="485"/>
      <c r="NF15" s="486"/>
      <c r="NG15" s="504">
        <v>0.49999999999999978</v>
      </c>
      <c r="NH15" s="505"/>
      <c r="NI15" s="505"/>
      <c r="NJ15" s="506"/>
      <c r="NK15" s="517"/>
      <c r="NL15" s="504">
        <v>0.45833333333333331</v>
      </c>
      <c r="NM15" s="505"/>
      <c r="NN15" s="505"/>
      <c r="NO15" s="506"/>
      <c r="NP15" s="517"/>
      <c r="NQ15" s="504">
        <v>0.52083333333333315</v>
      </c>
      <c r="NR15" s="505"/>
      <c r="NS15" s="505"/>
      <c r="NT15" s="506"/>
      <c r="NU15" s="517"/>
      <c r="NV15" s="504">
        <v>0.52083333333333315</v>
      </c>
      <c r="NW15" s="505"/>
      <c r="NX15" s="505"/>
      <c r="NY15" s="506"/>
      <c r="NZ15" s="517"/>
      <c r="OA15" s="479"/>
      <c r="OB15" s="507" t="s">
        <v>1</v>
      </c>
      <c r="OC15" s="485"/>
      <c r="OD15" s="485"/>
      <c r="OE15" s="485"/>
      <c r="OF15" s="486"/>
      <c r="OG15" s="504">
        <v>0.52083333333333315</v>
      </c>
      <c r="OH15" s="505"/>
      <c r="OI15" s="505"/>
      <c r="OJ15" s="506"/>
      <c r="OK15" s="82">
        <v>0.47916666666666669</v>
      </c>
      <c r="OL15" s="504">
        <v>0.49999999999999978</v>
      </c>
      <c r="OM15" s="505"/>
      <c r="ON15" s="505"/>
      <c r="OO15" s="506"/>
      <c r="OP15" s="82">
        <v>0.5</v>
      </c>
      <c r="OQ15" s="504">
        <v>0.49999999999999978</v>
      </c>
      <c r="OR15" s="505"/>
      <c r="OS15" s="505"/>
      <c r="OT15" s="506"/>
      <c r="OU15" s="517"/>
      <c r="OV15" s="504">
        <v>0.49999999999999978</v>
      </c>
      <c r="OW15" s="505"/>
      <c r="OX15" s="505"/>
      <c r="OY15" s="506"/>
      <c r="OZ15" s="517"/>
      <c r="PA15" s="479"/>
      <c r="PB15" s="507" t="s">
        <v>1</v>
      </c>
      <c r="PC15" s="485"/>
      <c r="PD15" s="485"/>
      <c r="PE15" s="485"/>
      <c r="PF15" s="486"/>
      <c r="PG15" s="504">
        <v>0.52083333333333315</v>
      </c>
      <c r="PH15" s="505"/>
      <c r="PI15" s="505"/>
      <c r="PJ15" s="506"/>
      <c r="PK15" s="82">
        <v>0.5</v>
      </c>
      <c r="PL15" s="504">
        <v>0.52083333333333315</v>
      </c>
      <c r="PM15" s="505"/>
      <c r="PN15" s="505"/>
      <c r="PO15" s="506"/>
      <c r="PP15" s="82">
        <v>0.5</v>
      </c>
      <c r="PQ15" s="504">
        <v>0.52083333333333315</v>
      </c>
      <c r="PR15" s="505"/>
      <c r="PS15" s="505"/>
      <c r="PT15" s="506"/>
      <c r="PU15" s="82">
        <v>0.47916666666666669</v>
      </c>
      <c r="PV15" s="504">
        <v>0.47916666666666646</v>
      </c>
      <c r="PW15" s="505"/>
      <c r="PX15" s="505"/>
      <c r="PY15" s="506"/>
      <c r="PZ15" s="82">
        <v>0.5</v>
      </c>
      <c r="QA15" s="479"/>
      <c r="QB15" s="507" t="s">
        <v>1</v>
      </c>
      <c r="QC15" s="485"/>
      <c r="QD15" s="485"/>
      <c r="QE15" s="485"/>
      <c r="QF15" s="486"/>
      <c r="QG15" s="504">
        <v>0.49999999999999978</v>
      </c>
      <c r="QH15" s="505"/>
      <c r="QI15" s="505"/>
      <c r="QJ15" s="506"/>
      <c r="QK15" s="517"/>
      <c r="QL15" s="504">
        <v>0.49999999999999978</v>
      </c>
      <c r="QM15" s="505"/>
      <c r="QN15" s="505"/>
      <c r="QO15" s="506"/>
      <c r="QP15" s="517"/>
      <c r="QQ15" s="504">
        <v>0.49999999999999978</v>
      </c>
      <c r="QR15" s="505"/>
      <c r="QS15" s="505"/>
      <c r="QT15" s="506"/>
      <c r="QU15" s="517"/>
      <c r="QV15" s="504">
        <v>0.49999999999999978</v>
      </c>
      <c r="QW15" s="505"/>
      <c r="QX15" s="505"/>
      <c r="QY15" s="506"/>
      <c r="QZ15" s="517"/>
      <c r="RA15" s="479"/>
      <c r="RB15" s="507" t="s">
        <v>1</v>
      </c>
      <c r="RC15" s="485"/>
      <c r="RD15" s="485"/>
      <c r="RE15" s="485"/>
      <c r="RF15" s="486"/>
      <c r="RG15" s="504">
        <v>0.47916666666666646</v>
      </c>
      <c r="RH15" s="505"/>
      <c r="RI15" s="505"/>
      <c r="RJ15" s="506"/>
      <c r="RK15" s="82">
        <v>0.5</v>
      </c>
      <c r="RL15" s="504">
        <v>0.45833333333333315</v>
      </c>
      <c r="RM15" s="505"/>
      <c r="RN15" s="505"/>
      <c r="RO15" s="506"/>
      <c r="RP15" s="82">
        <v>0.52083333333333337</v>
      </c>
      <c r="RQ15" s="504">
        <v>0.49999999999999978</v>
      </c>
      <c r="RR15" s="505"/>
      <c r="RS15" s="505"/>
      <c r="RT15" s="506"/>
      <c r="RU15" s="421">
        <v>0.5</v>
      </c>
      <c r="RV15" s="555">
        <v>0.49999999999999978</v>
      </c>
      <c r="RW15" s="505"/>
      <c r="RX15" s="505"/>
      <c r="RY15" s="556"/>
      <c r="RZ15" s="517"/>
      <c r="SA15" s="479"/>
      <c r="SB15" s="507" t="s">
        <v>1</v>
      </c>
      <c r="SC15" s="485"/>
      <c r="SD15" s="485"/>
      <c r="SE15" s="485"/>
      <c r="SF15" s="486"/>
      <c r="SG15" s="504">
        <v>0.45833333333333315</v>
      </c>
      <c r="SH15" s="505"/>
      <c r="SI15" s="505"/>
      <c r="SJ15" s="506"/>
      <c r="SK15" s="517"/>
      <c r="SL15" s="504">
        <v>0.52083333333333315</v>
      </c>
      <c r="SM15" s="505"/>
      <c r="SN15" s="505"/>
      <c r="SO15" s="506"/>
      <c r="SP15" s="517"/>
      <c r="SQ15" s="504">
        <v>0.49999999999999978</v>
      </c>
      <c r="SR15" s="505"/>
      <c r="SS15" s="505"/>
      <c r="ST15" s="506"/>
      <c r="SU15" s="517"/>
      <c r="SV15" s="504">
        <v>0.52083333333333315</v>
      </c>
      <c r="SW15" s="505"/>
      <c r="SX15" s="505"/>
      <c r="SY15" s="506"/>
      <c r="SZ15" s="517"/>
      <c r="TA15" s="479"/>
      <c r="TB15" s="507" t="s">
        <v>1</v>
      </c>
      <c r="TC15" s="485"/>
      <c r="TD15" s="485"/>
      <c r="TE15" s="485"/>
      <c r="TF15" s="486"/>
      <c r="TG15" s="504">
        <v>0.49999999999999978</v>
      </c>
      <c r="TH15" s="505"/>
      <c r="TI15" s="505"/>
      <c r="TJ15" s="506"/>
      <c r="TK15" s="517"/>
      <c r="TL15" s="504">
        <v>0.52083333333333315</v>
      </c>
      <c r="TM15" s="505"/>
      <c r="TN15" s="505"/>
      <c r="TO15" s="506"/>
      <c r="TP15" s="517"/>
      <c r="TQ15" s="504">
        <v>0.52083333333333337</v>
      </c>
      <c r="TR15" s="505"/>
      <c r="TS15" s="505"/>
      <c r="TT15" s="506"/>
      <c r="TU15" s="517"/>
      <c r="TV15" s="504">
        <v>0.47916666666666646</v>
      </c>
      <c r="TW15" s="505"/>
      <c r="TX15" s="505"/>
      <c r="TY15" s="506"/>
      <c r="TZ15" s="82">
        <v>0.47916666666666702</v>
      </c>
      <c r="UA15" s="479"/>
      <c r="UB15" s="507" t="s">
        <v>1</v>
      </c>
      <c r="UC15" s="485"/>
      <c r="UD15" s="485"/>
      <c r="UE15" s="485"/>
      <c r="UF15" s="486"/>
      <c r="UG15" s="504">
        <v>0.52083333333333315</v>
      </c>
      <c r="UH15" s="505"/>
      <c r="UI15" s="505"/>
      <c r="UJ15" s="506"/>
      <c r="UK15" s="562"/>
      <c r="UL15" s="504">
        <v>0.52083333333333315</v>
      </c>
      <c r="UM15" s="505"/>
      <c r="UN15" s="505"/>
      <c r="UO15" s="506"/>
      <c r="UP15" s="517"/>
      <c r="UQ15" s="504">
        <v>0.52083333333333315</v>
      </c>
      <c r="UR15" s="505"/>
      <c r="US15" s="505"/>
      <c r="UT15" s="506"/>
      <c r="UU15" s="562"/>
      <c r="UV15" s="504">
        <v>0.52083333333333315</v>
      </c>
      <c r="UW15" s="505"/>
      <c r="UX15" s="505"/>
      <c r="UY15" s="506"/>
      <c r="UZ15" s="517"/>
      <c r="VA15" s="479"/>
      <c r="VB15" s="507" t="s">
        <v>1</v>
      </c>
      <c r="VC15" s="485"/>
      <c r="VD15" s="485"/>
      <c r="VE15" s="485"/>
      <c r="VF15" s="486"/>
      <c r="VG15" s="504">
        <v>0.52083333333333315</v>
      </c>
      <c r="VH15" s="505"/>
      <c r="VI15" s="505"/>
      <c r="VJ15" s="506"/>
      <c r="VK15" s="562"/>
      <c r="VL15" s="504">
        <v>0.52083333333333315</v>
      </c>
      <c r="VM15" s="505"/>
      <c r="VN15" s="505"/>
      <c r="VO15" s="506"/>
      <c r="VP15" s="562"/>
      <c r="VQ15" s="504">
        <v>0.52083333333333315</v>
      </c>
      <c r="VR15" s="505"/>
      <c r="VS15" s="505"/>
      <c r="VT15" s="506"/>
      <c r="VU15" s="82">
        <v>0.52083333333333304</v>
      </c>
      <c r="VV15" s="504">
        <v>0.49999999999999978</v>
      </c>
      <c r="VW15" s="505"/>
      <c r="VX15" s="505"/>
      <c r="VY15" s="506"/>
      <c r="VZ15" s="82">
        <v>0.52083333333333304</v>
      </c>
      <c r="WA15" s="479"/>
      <c r="WB15" s="507" t="s">
        <v>1</v>
      </c>
      <c r="WC15" s="485"/>
      <c r="WD15" s="485"/>
      <c r="WE15" s="485"/>
      <c r="WF15" s="486"/>
      <c r="WG15" s="504">
        <v>0.52083333333333315</v>
      </c>
      <c r="WH15" s="505"/>
      <c r="WI15" s="505"/>
      <c r="WJ15" s="506"/>
      <c r="WK15" s="82">
        <v>0.52083333333333304</v>
      </c>
      <c r="WL15" s="504">
        <v>0.52083333333333315</v>
      </c>
      <c r="WM15" s="505"/>
      <c r="WN15" s="505"/>
      <c r="WO15" s="506"/>
      <c r="WP15" s="82">
        <v>0.52083333333333304</v>
      </c>
      <c r="WQ15" s="504">
        <v>0.49999999999999978</v>
      </c>
      <c r="WR15" s="505"/>
      <c r="WS15" s="505"/>
      <c r="WT15" s="506"/>
      <c r="WU15" s="82">
        <v>0.52083333333333304</v>
      </c>
      <c r="WV15" s="504">
        <v>0.52083333333333315</v>
      </c>
      <c r="WW15" s="505"/>
      <c r="WX15" s="505"/>
      <c r="WY15" s="506"/>
      <c r="WZ15" s="517"/>
      <c r="XA15" s="479"/>
      <c r="XB15" s="507" t="s">
        <v>1</v>
      </c>
      <c r="XC15" s="485"/>
      <c r="XD15" s="485"/>
      <c r="XE15" s="485"/>
      <c r="XF15" s="486"/>
      <c r="XG15" s="504">
        <v>0.52083333333333315</v>
      </c>
      <c r="XH15" s="505"/>
      <c r="XI15" s="505"/>
      <c r="XJ15" s="506"/>
      <c r="XK15" s="517"/>
      <c r="XL15" s="504">
        <v>0.49999999999999978</v>
      </c>
      <c r="XM15" s="505"/>
      <c r="XN15" s="505"/>
      <c r="XO15" s="506"/>
      <c r="XP15" s="82">
        <v>0.52083333333333304</v>
      </c>
      <c r="XQ15" s="504">
        <v>0.49999999999999978</v>
      </c>
      <c r="XR15" s="505"/>
      <c r="XS15" s="505"/>
      <c r="XT15" s="506"/>
      <c r="XU15" s="82">
        <v>0.5</v>
      </c>
      <c r="XV15" s="504">
        <v>0.52083333333333315</v>
      </c>
      <c r="XW15" s="505"/>
      <c r="XX15" s="505"/>
      <c r="XY15" s="506"/>
      <c r="XZ15" s="517"/>
      <c r="YA15" s="479"/>
      <c r="YB15" s="507" t="s">
        <v>1</v>
      </c>
      <c r="YC15" s="485"/>
      <c r="YD15" s="485"/>
      <c r="YE15" s="485"/>
      <c r="YF15" s="486"/>
      <c r="YG15" s="504">
        <v>0.49999999999999978</v>
      </c>
      <c r="YH15" s="505"/>
      <c r="YI15" s="505"/>
      <c r="YJ15" s="506"/>
      <c r="YK15" s="517"/>
      <c r="YL15" s="504">
        <v>0.52083333333333315</v>
      </c>
      <c r="YM15" s="505"/>
      <c r="YN15" s="505"/>
      <c r="YO15" s="506"/>
      <c r="YP15" s="517"/>
      <c r="YQ15" s="504">
        <v>0.52083333333333315</v>
      </c>
      <c r="YR15" s="505"/>
      <c r="YS15" s="505"/>
      <c r="YT15" s="506"/>
      <c r="YU15" s="517"/>
      <c r="YV15" s="504">
        <v>0.49999999999999978</v>
      </c>
      <c r="YW15" s="505"/>
      <c r="YX15" s="505"/>
      <c r="YY15" s="506"/>
      <c r="YZ15" s="517"/>
      <c r="ZA15" s="479"/>
      <c r="ZB15" s="507" t="s">
        <v>1</v>
      </c>
      <c r="ZC15" s="485"/>
      <c r="ZD15" s="485"/>
      <c r="ZE15" s="485"/>
      <c r="ZF15" s="486"/>
      <c r="ZG15" s="504">
        <v>0.52083333333333315</v>
      </c>
      <c r="ZH15" s="505"/>
      <c r="ZI15" s="505"/>
      <c r="ZJ15" s="506"/>
      <c r="ZK15" s="517"/>
      <c r="ZL15" s="504">
        <v>0.52083333333333315</v>
      </c>
      <c r="ZM15" s="505"/>
      <c r="ZN15" s="505"/>
      <c r="ZO15" s="506"/>
      <c r="ZP15" s="82">
        <v>0.52083333333333337</v>
      </c>
      <c r="ZQ15" s="504">
        <v>0.49999999999999978</v>
      </c>
      <c r="ZR15" s="505"/>
      <c r="ZS15" s="505"/>
      <c r="ZT15" s="506"/>
      <c r="ZU15" s="82">
        <v>0.47916666666666669</v>
      </c>
      <c r="ZV15" s="504">
        <v>0.52083333333333315</v>
      </c>
      <c r="ZW15" s="505"/>
      <c r="ZX15" s="505"/>
      <c r="ZY15" s="506"/>
      <c r="ZZ15" s="82">
        <v>0.52083333333333304</v>
      </c>
      <c r="AAA15" s="479"/>
      <c r="AAB15" s="507" t="s">
        <v>1</v>
      </c>
      <c r="AAC15" s="485"/>
      <c r="AAD15" s="485"/>
      <c r="AAE15" s="485"/>
      <c r="AAF15" s="486"/>
      <c r="AAG15" s="504">
        <v>0.49999999999999978</v>
      </c>
      <c r="AAH15" s="505"/>
      <c r="AAI15" s="505"/>
      <c r="AAJ15" s="506"/>
      <c r="AAK15" s="82">
        <v>0.52083333333333304</v>
      </c>
      <c r="AAL15" s="504">
        <v>0.49999999999999978</v>
      </c>
      <c r="AAM15" s="505"/>
      <c r="AAN15" s="505"/>
      <c r="AAO15" s="506"/>
      <c r="AAP15" s="82">
        <v>0.5</v>
      </c>
      <c r="AAQ15" s="504">
        <v>0.52083333333333315</v>
      </c>
      <c r="AAR15" s="505"/>
      <c r="AAS15" s="505"/>
      <c r="AAT15" s="506"/>
      <c r="AAU15" s="517"/>
      <c r="AAV15" s="504">
        <v>0.49999999999999978</v>
      </c>
      <c r="AAW15" s="505"/>
      <c r="AAX15" s="505"/>
      <c r="AAY15" s="506"/>
      <c r="AAZ15" s="517"/>
      <c r="ABA15" s="479"/>
      <c r="ABB15" s="507" t="s">
        <v>1</v>
      </c>
      <c r="ABC15" s="485"/>
      <c r="ABD15" s="485"/>
      <c r="ABE15" s="485"/>
      <c r="ABF15" s="486"/>
      <c r="ABG15" s="504">
        <v>0.52083333333333315</v>
      </c>
      <c r="ABH15" s="505"/>
      <c r="ABI15" s="505"/>
      <c r="ABJ15" s="506"/>
      <c r="ABK15" s="82">
        <v>0.54166666666666696</v>
      </c>
      <c r="ABL15" s="504">
        <v>0.52083333333333315</v>
      </c>
      <c r="ABM15" s="505"/>
      <c r="ABN15" s="505"/>
      <c r="ABO15" s="506"/>
      <c r="ABP15" s="82">
        <v>0.52083333333333304</v>
      </c>
      <c r="ABQ15" s="504">
        <v>0.52083333333333315</v>
      </c>
      <c r="ABR15" s="505"/>
      <c r="ABS15" s="505"/>
      <c r="ABT15" s="506"/>
      <c r="ABU15" s="517"/>
      <c r="ABV15" s="504">
        <v>0.52083333333333315</v>
      </c>
      <c r="ABW15" s="505"/>
      <c r="ABX15" s="505"/>
      <c r="ABY15" s="506"/>
      <c r="ABZ15" s="517"/>
      <c r="ACA15" s="479"/>
      <c r="ACB15" s="507" t="s">
        <v>1</v>
      </c>
      <c r="ACC15" s="485"/>
      <c r="ACD15" s="485"/>
      <c r="ACE15" s="485"/>
      <c r="ACF15" s="486"/>
      <c r="ACG15" s="504">
        <v>0.56249999999999989</v>
      </c>
      <c r="ACH15" s="505"/>
      <c r="ACI15" s="505"/>
      <c r="ACJ15" s="506"/>
      <c r="ACK15" s="517"/>
      <c r="ACL15" s="504">
        <v>0.52083333333333337</v>
      </c>
      <c r="ACM15" s="505"/>
      <c r="ACN15" s="505"/>
      <c r="ACO15" s="506"/>
      <c r="ACP15" s="82">
        <v>0.52083333333333337</v>
      </c>
      <c r="ACQ15" s="504">
        <v>0.52083333333333315</v>
      </c>
      <c r="ACR15" s="505"/>
      <c r="ACS15" s="505"/>
      <c r="ACT15" s="506"/>
      <c r="ACU15" s="517"/>
      <c r="ACV15" s="504">
        <v>0.52083333333333315</v>
      </c>
      <c r="ACW15" s="505"/>
      <c r="ACX15" s="505"/>
      <c r="ACY15" s="506"/>
      <c r="ACZ15" s="82">
        <v>0.52083333333333337</v>
      </c>
      <c r="ADA15" s="479"/>
      <c r="ADB15" s="507" t="s">
        <v>1</v>
      </c>
      <c r="ADC15" s="485"/>
      <c r="ADD15" s="485"/>
      <c r="ADE15" s="485"/>
      <c r="ADF15" s="486"/>
      <c r="ADG15" s="504">
        <v>0.52083333333333315</v>
      </c>
      <c r="ADH15" s="505"/>
      <c r="ADI15" s="505"/>
      <c r="ADJ15" s="506"/>
      <c r="ADK15" s="82">
        <v>0.52083333333333304</v>
      </c>
      <c r="ADL15" s="504">
        <v>0.49999999999999978</v>
      </c>
      <c r="ADM15" s="505"/>
      <c r="ADN15" s="505"/>
      <c r="ADO15" s="506"/>
      <c r="ADP15" s="82">
        <v>0.5625</v>
      </c>
      <c r="ADQ15" s="504">
        <v>0.52083333333333315</v>
      </c>
      <c r="ADR15" s="505"/>
      <c r="ADS15" s="505"/>
      <c r="ADT15" s="506"/>
      <c r="ADU15" s="82">
        <v>0.52083333333333337</v>
      </c>
      <c r="ADV15" s="504">
        <v>0.52083333333333315</v>
      </c>
      <c r="ADW15" s="505"/>
      <c r="ADX15" s="505"/>
      <c r="ADY15" s="506"/>
      <c r="ADZ15" s="82">
        <v>0.52083333333333304</v>
      </c>
      <c r="AEA15" s="479"/>
      <c r="AEB15" s="507" t="s">
        <v>1</v>
      </c>
      <c r="AEC15" s="485"/>
      <c r="AED15" s="485"/>
      <c r="AEE15" s="485"/>
      <c r="AEF15" s="486"/>
      <c r="AEG15" s="504">
        <v>0.52083333333333315</v>
      </c>
      <c r="AEH15" s="505"/>
      <c r="AEI15" s="505"/>
      <c r="AEJ15" s="506"/>
      <c r="AEK15" s="82">
        <v>0.52083333333333304</v>
      </c>
      <c r="AEL15" s="504">
        <v>0.52083333333333315</v>
      </c>
      <c r="AEM15" s="505"/>
      <c r="AEN15" s="505"/>
      <c r="AEO15" s="506"/>
      <c r="AEP15" s="82">
        <v>0.52083333333333304</v>
      </c>
      <c r="AEQ15" s="504">
        <v>0.52083333333333315</v>
      </c>
      <c r="AER15" s="505"/>
      <c r="AES15" s="505"/>
      <c r="AET15" s="506"/>
      <c r="AEU15" s="82">
        <v>0.5</v>
      </c>
      <c r="AEV15" s="504">
        <v>0.52083333333333315</v>
      </c>
      <c r="AEW15" s="505"/>
      <c r="AEX15" s="505"/>
      <c r="AEY15" s="506"/>
      <c r="AEZ15" s="82">
        <v>0.5625</v>
      </c>
      <c r="AFA15" s="479"/>
      <c r="AFB15" s="507" t="s">
        <v>1</v>
      </c>
      <c r="AFC15" s="485"/>
      <c r="AFD15" s="485"/>
      <c r="AFE15" s="485"/>
      <c r="AFF15" s="486"/>
      <c r="AFG15" s="504">
        <v>0.52083333333333315</v>
      </c>
      <c r="AFH15" s="505"/>
      <c r="AFI15" s="505"/>
      <c r="AFJ15" s="506"/>
      <c r="AFK15" s="82">
        <v>0.52083333333333304</v>
      </c>
      <c r="AFL15" s="504">
        <v>0.52083333333333315</v>
      </c>
      <c r="AFM15" s="505"/>
      <c r="AFN15" s="505"/>
      <c r="AFO15" s="506"/>
      <c r="AFP15" s="82">
        <v>0.52083333333333304</v>
      </c>
      <c r="AFQ15" s="504">
        <v>0.52083333333333315</v>
      </c>
      <c r="AFR15" s="505"/>
      <c r="AFS15" s="505"/>
      <c r="AFT15" s="506"/>
      <c r="AFU15" s="82">
        <v>0.5</v>
      </c>
      <c r="AFV15" s="504">
        <v>0.52083333333333315</v>
      </c>
      <c r="AFW15" s="505"/>
      <c r="AFX15" s="505"/>
      <c r="AFY15" s="506"/>
      <c r="AFZ15" s="517"/>
      <c r="AGA15" s="479"/>
      <c r="AGB15" s="507" t="s">
        <v>1</v>
      </c>
      <c r="AGC15" s="485"/>
      <c r="AGD15" s="485"/>
      <c r="AGE15" s="485"/>
      <c r="AGF15" s="486"/>
      <c r="AGG15" s="504">
        <v>0.52083333333333315</v>
      </c>
      <c r="AGH15" s="505"/>
      <c r="AGI15" s="505"/>
      <c r="AGJ15" s="506"/>
      <c r="AGK15" s="82">
        <v>0.5</v>
      </c>
      <c r="AGL15" s="504">
        <v>0.52083333333333315</v>
      </c>
      <c r="AGM15" s="505"/>
      <c r="AGN15" s="505"/>
      <c r="AGO15" s="506"/>
      <c r="AGP15" s="82">
        <v>0.5</v>
      </c>
      <c r="AGQ15" s="504">
        <v>0.47916666666666646</v>
      </c>
      <c r="AGR15" s="505"/>
      <c r="AGS15" s="505"/>
      <c r="AGT15" s="506"/>
      <c r="AGU15" s="82">
        <v>0.45833333333333298</v>
      </c>
      <c r="AGV15" s="504">
        <v>0.52083333333333337</v>
      </c>
      <c r="AGW15" s="505"/>
      <c r="AGX15" s="505"/>
      <c r="AGY15" s="506"/>
      <c r="AGZ15" s="82">
        <v>0.52083333333333337</v>
      </c>
      <c r="AHA15" s="479"/>
      <c r="AHB15" s="507" t="s">
        <v>1</v>
      </c>
      <c r="AHC15" s="485"/>
      <c r="AHD15" s="485"/>
      <c r="AHE15" s="485"/>
      <c r="AHF15" s="486"/>
      <c r="AHG15" s="504">
        <v>0.52083333333333315</v>
      </c>
      <c r="AHH15" s="505"/>
      <c r="AHI15" s="505"/>
      <c r="AHJ15" s="506"/>
      <c r="AHK15" s="82">
        <v>0.52083333333333337</v>
      </c>
      <c r="AHL15" s="504">
        <v>0.52083333333333315</v>
      </c>
      <c r="AHM15" s="505"/>
      <c r="AHN15" s="505"/>
      <c r="AHO15" s="506"/>
      <c r="AHP15" s="82">
        <v>0.52083333333333304</v>
      </c>
      <c r="AHQ15" s="504">
        <v>0.52083333333333315</v>
      </c>
      <c r="AHR15" s="505"/>
      <c r="AHS15" s="505"/>
      <c r="AHT15" s="506"/>
      <c r="AHU15" s="82">
        <v>0.5</v>
      </c>
      <c r="AHV15" s="504">
        <v>0.52083333333333315</v>
      </c>
      <c r="AHW15" s="505"/>
      <c r="AHX15" s="505"/>
      <c r="AHY15" s="506"/>
      <c r="AHZ15" s="82">
        <v>0.54166666666666696</v>
      </c>
      <c r="AIA15" s="479"/>
      <c r="AIB15" s="507" t="s">
        <v>1</v>
      </c>
      <c r="AIC15" s="485"/>
      <c r="AID15" s="485"/>
      <c r="AIE15" s="485"/>
      <c r="AIF15" s="486"/>
      <c r="AIG15" s="504">
        <v>0.52083333333333315</v>
      </c>
      <c r="AIH15" s="505"/>
      <c r="AII15" s="505"/>
      <c r="AIJ15" s="506"/>
      <c r="AIK15" s="82">
        <v>0.47916666666666702</v>
      </c>
      <c r="AIL15" s="504">
        <v>0.49999999999999978</v>
      </c>
      <c r="AIM15" s="505"/>
      <c r="AIN15" s="505"/>
      <c r="AIO15" s="506"/>
      <c r="AIP15" s="82">
        <v>0.45833333333333331</v>
      </c>
      <c r="AIQ15" s="504">
        <v>0.52083333333333315</v>
      </c>
      <c r="AIR15" s="505"/>
      <c r="AIS15" s="505"/>
      <c r="AIT15" s="506"/>
      <c r="AIU15" s="82">
        <v>0.5</v>
      </c>
      <c r="AIV15" s="504">
        <v>0.52083333333333315</v>
      </c>
      <c r="AIW15" s="505"/>
      <c r="AIX15" s="505"/>
      <c r="AIY15" s="506"/>
      <c r="AIZ15" s="517"/>
      <c r="AJA15" s="479"/>
      <c r="AJB15" s="507" t="s">
        <v>1</v>
      </c>
      <c r="AJC15" s="485"/>
      <c r="AJD15" s="485"/>
      <c r="AJE15" s="485"/>
      <c r="AJF15" s="486"/>
      <c r="AJG15" s="504">
        <v>0.47916666666666646</v>
      </c>
      <c r="AJH15" s="505"/>
      <c r="AJI15" s="505"/>
      <c r="AJJ15" s="506"/>
      <c r="AJK15" s="82">
        <v>0.54166666666666696</v>
      </c>
      <c r="AJL15" s="504">
        <v>0.56249999999999989</v>
      </c>
      <c r="AJM15" s="505"/>
      <c r="AJN15" s="505"/>
      <c r="AJO15" s="506"/>
      <c r="AJP15" s="517"/>
      <c r="AJQ15" s="504">
        <v>0.52083333333333315</v>
      </c>
      <c r="AJR15" s="505"/>
      <c r="AJS15" s="505"/>
      <c r="AJT15" s="506"/>
      <c r="AJU15" s="82">
        <v>0.52083333333333337</v>
      </c>
      <c r="AJV15" s="504">
        <v>0.52083333333333315</v>
      </c>
      <c r="AJW15" s="505"/>
      <c r="AJX15" s="505"/>
      <c r="AJY15" s="506"/>
      <c r="AJZ15" s="82">
        <v>0.52083333333333337</v>
      </c>
      <c r="AKA15" s="479"/>
      <c r="AKB15" s="507" t="s">
        <v>1</v>
      </c>
      <c r="AKC15" s="485"/>
      <c r="AKD15" s="485"/>
      <c r="AKE15" s="485"/>
      <c r="AKF15" s="486"/>
      <c r="AKG15" s="504">
        <v>0.52083333333333315</v>
      </c>
      <c r="AKH15" s="505"/>
      <c r="AKI15" s="505"/>
      <c r="AKJ15" s="506"/>
      <c r="AKK15" s="82">
        <v>0.52083333333333304</v>
      </c>
      <c r="AKL15" s="504">
        <v>0.47916666666666646</v>
      </c>
      <c r="AKM15" s="505"/>
      <c r="AKN15" s="505"/>
      <c r="AKO15" s="506"/>
      <c r="AKP15" s="517"/>
      <c r="AKQ15" s="504">
        <v>0.52083333333333315</v>
      </c>
      <c r="AKR15" s="505"/>
      <c r="AKS15" s="505"/>
      <c r="AKT15" s="506"/>
      <c r="AKU15" s="82">
        <v>0.52083333333333304</v>
      </c>
      <c r="AKV15" s="504"/>
      <c r="AKW15" s="505"/>
      <c r="AKX15" s="505"/>
      <c r="AKY15" s="506"/>
      <c r="AKZ15" s="82"/>
    </row>
    <row r="16" spans="1:988" ht="30" customHeight="1" x14ac:dyDescent="0.4">
      <c r="A16" s="479"/>
      <c r="B16" s="508"/>
      <c r="C16" s="509"/>
      <c r="D16" s="509"/>
      <c r="E16" s="509"/>
      <c r="F16" s="510"/>
      <c r="G16" s="513" t="s">
        <v>160</v>
      </c>
      <c r="H16" s="514"/>
      <c r="I16" s="514"/>
      <c r="J16" s="515"/>
      <c r="K16" s="42" t="s">
        <v>160</v>
      </c>
      <c r="L16" s="513" t="s">
        <v>160</v>
      </c>
      <c r="M16" s="514"/>
      <c r="N16" s="514"/>
      <c r="O16" s="515"/>
      <c r="P16" s="42" t="s">
        <v>160</v>
      </c>
      <c r="Q16" s="513" t="s">
        <v>673</v>
      </c>
      <c r="R16" s="514"/>
      <c r="S16" s="514"/>
      <c r="T16" s="515"/>
      <c r="U16" s="42" t="s">
        <v>673</v>
      </c>
      <c r="V16" s="513" t="s">
        <v>160</v>
      </c>
      <c r="W16" s="514"/>
      <c r="X16" s="514"/>
      <c r="Y16" s="515"/>
      <c r="Z16" s="42" t="s">
        <v>673</v>
      </c>
      <c r="AA16" s="479"/>
      <c r="AB16" s="508"/>
      <c r="AC16" s="509"/>
      <c r="AD16" s="509"/>
      <c r="AE16" s="509"/>
      <c r="AF16" s="510"/>
      <c r="AG16" s="513" t="s">
        <v>160</v>
      </c>
      <c r="AH16" s="514"/>
      <c r="AI16" s="514"/>
      <c r="AJ16" s="515"/>
      <c r="AK16" s="42" t="s">
        <v>160</v>
      </c>
      <c r="AL16" s="513" t="s">
        <v>160</v>
      </c>
      <c r="AM16" s="514"/>
      <c r="AN16" s="514"/>
      <c r="AO16" s="515"/>
      <c r="AP16" s="42" t="s">
        <v>160</v>
      </c>
      <c r="AQ16" s="513" t="s">
        <v>160</v>
      </c>
      <c r="AR16" s="514"/>
      <c r="AS16" s="514"/>
      <c r="AT16" s="515"/>
      <c r="AU16" s="42" t="s">
        <v>160</v>
      </c>
      <c r="AV16" s="513" t="s">
        <v>160</v>
      </c>
      <c r="AW16" s="514"/>
      <c r="AX16" s="514"/>
      <c r="AY16" s="515"/>
      <c r="AZ16" s="42" t="s">
        <v>160</v>
      </c>
      <c r="BA16" s="479"/>
      <c r="BB16" s="508"/>
      <c r="BC16" s="509"/>
      <c r="BD16" s="509"/>
      <c r="BE16" s="509"/>
      <c r="BF16" s="510"/>
      <c r="BG16" s="513" t="s">
        <v>160</v>
      </c>
      <c r="BH16" s="514"/>
      <c r="BI16" s="514"/>
      <c r="BJ16" s="515"/>
      <c r="BK16" s="42" t="s">
        <v>160</v>
      </c>
      <c r="BL16" s="513" t="s">
        <v>160</v>
      </c>
      <c r="BM16" s="514"/>
      <c r="BN16" s="514"/>
      <c r="BO16" s="515"/>
      <c r="BP16" s="42" t="s">
        <v>160</v>
      </c>
      <c r="BQ16" s="513" t="s">
        <v>160</v>
      </c>
      <c r="BR16" s="514"/>
      <c r="BS16" s="514"/>
      <c r="BT16" s="515"/>
      <c r="BU16" s="490"/>
      <c r="BV16" s="513" t="s">
        <v>160</v>
      </c>
      <c r="BW16" s="514"/>
      <c r="BX16" s="514"/>
      <c r="BY16" s="515"/>
      <c r="BZ16" s="517"/>
      <c r="CA16" s="479"/>
      <c r="CB16" s="508"/>
      <c r="CC16" s="509"/>
      <c r="CD16" s="509"/>
      <c r="CE16" s="509"/>
      <c r="CF16" s="510"/>
      <c r="CG16" s="513" t="s">
        <v>160</v>
      </c>
      <c r="CH16" s="514"/>
      <c r="CI16" s="514"/>
      <c r="CJ16" s="515"/>
      <c r="CK16" s="517"/>
      <c r="CL16" s="513" t="s">
        <v>160</v>
      </c>
      <c r="CM16" s="514"/>
      <c r="CN16" s="514"/>
      <c r="CO16" s="515"/>
      <c r="CP16" s="42" t="s">
        <v>160</v>
      </c>
      <c r="CQ16" s="513" t="s">
        <v>160</v>
      </c>
      <c r="CR16" s="514"/>
      <c r="CS16" s="514"/>
      <c r="CT16" s="515"/>
      <c r="CU16" s="42" t="s">
        <v>160</v>
      </c>
      <c r="CV16" s="513" t="s">
        <v>160</v>
      </c>
      <c r="CW16" s="514"/>
      <c r="CX16" s="514"/>
      <c r="CY16" s="515"/>
      <c r="CZ16" s="517"/>
      <c r="DA16" s="479"/>
      <c r="DB16" s="508"/>
      <c r="DC16" s="509"/>
      <c r="DD16" s="509"/>
      <c r="DE16" s="509"/>
      <c r="DF16" s="510"/>
      <c r="DG16" s="513" t="s">
        <v>160</v>
      </c>
      <c r="DH16" s="514"/>
      <c r="DI16" s="514"/>
      <c r="DJ16" s="515"/>
      <c r="DK16" s="42" t="s">
        <v>673</v>
      </c>
      <c r="DL16" s="513" t="s">
        <v>160</v>
      </c>
      <c r="DM16" s="514"/>
      <c r="DN16" s="514"/>
      <c r="DO16" s="515"/>
      <c r="DP16" s="42" t="s">
        <v>673</v>
      </c>
      <c r="DQ16" s="513" t="s">
        <v>160</v>
      </c>
      <c r="DR16" s="514"/>
      <c r="DS16" s="514"/>
      <c r="DT16" s="515"/>
      <c r="DU16" s="42" t="s">
        <v>673</v>
      </c>
      <c r="DV16" s="513" t="s">
        <v>160</v>
      </c>
      <c r="DW16" s="514"/>
      <c r="DX16" s="514"/>
      <c r="DY16" s="515"/>
      <c r="DZ16" s="517"/>
      <c r="EA16" s="479"/>
      <c r="EB16" s="508"/>
      <c r="EC16" s="509"/>
      <c r="ED16" s="509"/>
      <c r="EE16" s="509"/>
      <c r="EF16" s="510"/>
      <c r="EG16" s="513" t="s">
        <v>160</v>
      </c>
      <c r="EH16" s="514"/>
      <c r="EI16" s="514"/>
      <c r="EJ16" s="515"/>
      <c r="EK16" s="517"/>
      <c r="EL16" s="513" t="s">
        <v>160</v>
      </c>
      <c r="EM16" s="514"/>
      <c r="EN16" s="514"/>
      <c r="EO16" s="515"/>
      <c r="EP16" s="42" t="s">
        <v>673</v>
      </c>
      <c r="EQ16" s="513" t="s">
        <v>160</v>
      </c>
      <c r="ER16" s="514"/>
      <c r="ES16" s="514"/>
      <c r="ET16" s="515"/>
      <c r="EU16" s="42" t="s">
        <v>673</v>
      </c>
      <c r="EV16" s="513" t="s">
        <v>160</v>
      </c>
      <c r="EW16" s="514"/>
      <c r="EX16" s="514"/>
      <c r="EY16" s="515"/>
      <c r="EZ16" s="517"/>
      <c r="FA16" s="479"/>
      <c r="FB16" s="508"/>
      <c r="FC16" s="509"/>
      <c r="FD16" s="509"/>
      <c r="FE16" s="509"/>
      <c r="FF16" s="510"/>
      <c r="FG16" s="513" t="s">
        <v>160</v>
      </c>
      <c r="FH16" s="514"/>
      <c r="FI16" s="514"/>
      <c r="FJ16" s="515"/>
      <c r="FK16" s="517"/>
      <c r="FL16" s="513" t="s">
        <v>160</v>
      </c>
      <c r="FM16" s="514"/>
      <c r="FN16" s="514"/>
      <c r="FO16" s="515"/>
      <c r="FP16" s="42" t="s">
        <v>160</v>
      </c>
      <c r="FQ16" s="513" t="s">
        <v>160</v>
      </c>
      <c r="FR16" s="514"/>
      <c r="FS16" s="514"/>
      <c r="FT16" s="515"/>
      <c r="FU16" s="42" t="s">
        <v>160</v>
      </c>
      <c r="FV16" s="513" t="s">
        <v>160</v>
      </c>
      <c r="FW16" s="514"/>
      <c r="FX16" s="514"/>
      <c r="FY16" s="515"/>
      <c r="FZ16" s="517"/>
      <c r="GA16" s="479"/>
      <c r="GB16" s="508"/>
      <c r="GC16" s="509"/>
      <c r="GD16" s="509"/>
      <c r="GE16" s="509"/>
      <c r="GF16" s="510"/>
      <c r="GG16" s="513" t="s">
        <v>160</v>
      </c>
      <c r="GH16" s="514"/>
      <c r="GI16" s="514"/>
      <c r="GJ16" s="515"/>
      <c r="GK16" s="517"/>
      <c r="GL16" s="513" t="s">
        <v>160</v>
      </c>
      <c r="GM16" s="514"/>
      <c r="GN16" s="514"/>
      <c r="GO16" s="515"/>
      <c r="GP16" s="517"/>
      <c r="GQ16" s="513" t="s">
        <v>160</v>
      </c>
      <c r="GR16" s="514"/>
      <c r="GS16" s="514"/>
      <c r="GT16" s="515"/>
      <c r="GU16" s="517"/>
      <c r="GV16" s="513" t="s">
        <v>160</v>
      </c>
      <c r="GW16" s="514"/>
      <c r="GX16" s="514"/>
      <c r="GY16" s="515"/>
      <c r="GZ16" s="42" t="s">
        <v>160</v>
      </c>
      <c r="HA16" s="479"/>
      <c r="HB16" s="508"/>
      <c r="HC16" s="509"/>
      <c r="HD16" s="509"/>
      <c r="HE16" s="509"/>
      <c r="HF16" s="510"/>
      <c r="HG16" s="513" t="s">
        <v>160</v>
      </c>
      <c r="HH16" s="514"/>
      <c r="HI16" s="514"/>
      <c r="HJ16" s="515"/>
      <c r="HK16" s="517"/>
      <c r="HL16" s="513" t="s">
        <v>160</v>
      </c>
      <c r="HM16" s="514"/>
      <c r="HN16" s="514"/>
      <c r="HO16" s="515"/>
      <c r="HP16" s="42" t="s">
        <v>160</v>
      </c>
      <c r="HQ16" s="513" t="s">
        <v>160</v>
      </c>
      <c r="HR16" s="514"/>
      <c r="HS16" s="514"/>
      <c r="HT16" s="515"/>
      <c r="HU16" s="42" t="s">
        <v>160</v>
      </c>
      <c r="HV16" s="513" t="s">
        <v>160</v>
      </c>
      <c r="HW16" s="514"/>
      <c r="HX16" s="514"/>
      <c r="HY16" s="515"/>
      <c r="HZ16" s="42" t="s">
        <v>160</v>
      </c>
      <c r="IA16" s="479"/>
      <c r="IB16" s="508"/>
      <c r="IC16" s="509"/>
      <c r="ID16" s="509"/>
      <c r="IE16" s="509"/>
      <c r="IF16" s="510"/>
      <c r="IG16" s="513" t="s">
        <v>160</v>
      </c>
      <c r="IH16" s="514"/>
      <c r="II16" s="514"/>
      <c r="IJ16" s="515"/>
      <c r="IK16" s="517"/>
      <c r="IL16" s="513" t="s">
        <v>160</v>
      </c>
      <c r="IM16" s="514"/>
      <c r="IN16" s="514"/>
      <c r="IO16" s="515"/>
      <c r="IP16" s="42" t="s">
        <v>160</v>
      </c>
      <c r="IQ16" s="513" t="s">
        <v>2</v>
      </c>
      <c r="IR16" s="514"/>
      <c r="IS16" s="514"/>
      <c r="IT16" s="515"/>
      <c r="IU16" s="517"/>
      <c r="IV16" s="513" t="s">
        <v>160</v>
      </c>
      <c r="IW16" s="514"/>
      <c r="IX16" s="514"/>
      <c r="IY16" s="515"/>
      <c r="IZ16" s="517"/>
      <c r="JA16" s="479"/>
      <c r="JB16" s="508"/>
      <c r="JC16" s="509"/>
      <c r="JD16" s="509"/>
      <c r="JE16" s="509"/>
      <c r="JF16" s="510"/>
      <c r="JG16" s="513" t="s">
        <v>160</v>
      </c>
      <c r="JH16" s="514"/>
      <c r="JI16" s="514"/>
      <c r="JJ16" s="515"/>
      <c r="JK16" s="517"/>
      <c r="JL16" s="513" t="s">
        <v>160</v>
      </c>
      <c r="JM16" s="514"/>
      <c r="JN16" s="514"/>
      <c r="JO16" s="515"/>
      <c r="JP16" s="517"/>
      <c r="JQ16" s="513" t="s">
        <v>160</v>
      </c>
      <c r="JR16" s="514"/>
      <c r="JS16" s="514"/>
      <c r="JT16" s="515"/>
      <c r="JU16" s="42" t="s">
        <v>160</v>
      </c>
      <c r="JV16" s="513" t="s">
        <v>160</v>
      </c>
      <c r="JW16" s="514"/>
      <c r="JX16" s="514"/>
      <c r="JY16" s="515"/>
      <c r="JZ16" s="517"/>
      <c r="KA16" s="479"/>
      <c r="KB16" s="508"/>
      <c r="KC16" s="509"/>
      <c r="KD16" s="509"/>
      <c r="KE16" s="509"/>
      <c r="KF16" s="510"/>
      <c r="KG16" s="513" t="s">
        <v>160</v>
      </c>
      <c r="KH16" s="514"/>
      <c r="KI16" s="514"/>
      <c r="KJ16" s="515"/>
      <c r="KK16" s="517"/>
      <c r="KL16" s="513" t="s">
        <v>160</v>
      </c>
      <c r="KM16" s="514"/>
      <c r="KN16" s="514"/>
      <c r="KO16" s="515"/>
      <c r="KP16" s="517"/>
      <c r="KQ16" s="513" t="s">
        <v>160</v>
      </c>
      <c r="KR16" s="514"/>
      <c r="KS16" s="514"/>
      <c r="KT16" s="515"/>
      <c r="KU16" s="517"/>
      <c r="KV16" s="513" t="s">
        <v>160</v>
      </c>
      <c r="KW16" s="514"/>
      <c r="KX16" s="514"/>
      <c r="KY16" s="515"/>
      <c r="KZ16" s="42" t="s">
        <v>160</v>
      </c>
      <c r="LA16" s="479"/>
      <c r="LB16" s="508"/>
      <c r="LC16" s="509"/>
      <c r="LD16" s="509"/>
      <c r="LE16" s="509"/>
      <c r="LF16" s="510"/>
      <c r="LG16" s="513" t="s">
        <v>160</v>
      </c>
      <c r="LH16" s="514"/>
      <c r="LI16" s="514"/>
      <c r="LJ16" s="515"/>
      <c r="LK16" s="517"/>
      <c r="LL16" s="513" t="s">
        <v>160</v>
      </c>
      <c r="LM16" s="514"/>
      <c r="LN16" s="514"/>
      <c r="LO16" s="515"/>
      <c r="LP16" s="42" t="s">
        <v>160</v>
      </c>
      <c r="LQ16" s="513" t="s">
        <v>160</v>
      </c>
      <c r="LR16" s="514"/>
      <c r="LS16" s="514"/>
      <c r="LT16" s="515"/>
      <c r="LU16" s="517"/>
      <c r="LV16" s="513" t="s">
        <v>160</v>
      </c>
      <c r="LW16" s="514"/>
      <c r="LX16" s="514"/>
      <c r="LY16" s="515"/>
      <c r="LZ16" s="517"/>
      <c r="MA16" s="479"/>
      <c r="MB16" s="508"/>
      <c r="MC16" s="509"/>
      <c r="MD16" s="509"/>
      <c r="ME16" s="509"/>
      <c r="MF16" s="510"/>
      <c r="MG16" s="513" t="s">
        <v>160</v>
      </c>
      <c r="MH16" s="514"/>
      <c r="MI16" s="514"/>
      <c r="MJ16" s="515"/>
      <c r="MK16" s="517"/>
      <c r="ML16" s="513" t="s">
        <v>160</v>
      </c>
      <c r="MM16" s="514"/>
      <c r="MN16" s="514"/>
      <c r="MO16" s="515"/>
      <c r="MP16" s="517"/>
      <c r="MQ16" s="513" t="s">
        <v>160</v>
      </c>
      <c r="MR16" s="514"/>
      <c r="MS16" s="514"/>
      <c r="MT16" s="515"/>
      <c r="MU16" s="517"/>
      <c r="MV16" s="513" t="s">
        <v>160</v>
      </c>
      <c r="MW16" s="514"/>
      <c r="MX16" s="514"/>
      <c r="MY16" s="515"/>
      <c r="MZ16" s="517"/>
      <c r="NA16" s="479"/>
      <c r="NB16" s="508"/>
      <c r="NC16" s="509"/>
      <c r="ND16" s="509"/>
      <c r="NE16" s="509"/>
      <c r="NF16" s="510"/>
      <c r="NG16" s="513" t="s">
        <v>160</v>
      </c>
      <c r="NH16" s="514"/>
      <c r="NI16" s="514"/>
      <c r="NJ16" s="515"/>
      <c r="NK16" s="517"/>
      <c r="NL16" s="513" t="s">
        <v>160</v>
      </c>
      <c r="NM16" s="514"/>
      <c r="NN16" s="514"/>
      <c r="NO16" s="515"/>
      <c r="NP16" s="517"/>
      <c r="NQ16" s="513" t="s">
        <v>160</v>
      </c>
      <c r="NR16" s="514"/>
      <c r="NS16" s="514"/>
      <c r="NT16" s="515"/>
      <c r="NU16" s="517"/>
      <c r="NV16" s="513" t="s">
        <v>160</v>
      </c>
      <c r="NW16" s="514"/>
      <c r="NX16" s="514"/>
      <c r="NY16" s="515"/>
      <c r="NZ16" s="517"/>
      <c r="OA16" s="479"/>
      <c r="OB16" s="508"/>
      <c r="OC16" s="509"/>
      <c r="OD16" s="509"/>
      <c r="OE16" s="509"/>
      <c r="OF16" s="510"/>
      <c r="OG16" s="513" t="s">
        <v>160</v>
      </c>
      <c r="OH16" s="514"/>
      <c r="OI16" s="514"/>
      <c r="OJ16" s="515"/>
      <c r="OK16" s="42" t="s">
        <v>160</v>
      </c>
      <c r="OL16" s="513" t="s">
        <v>160</v>
      </c>
      <c r="OM16" s="514"/>
      <c r="ON16" s="514"/>
      <c r="OO16" s="515"/>
      <c r="OP16" s="42" t="s">
        <v>160</v>
      </c>
      <c r="OQ16" s="513" t="s">
        <v>160</v>
      </c>
      <c r="OR16" s="514"/>
      <c r="OS16" s="514"/>
      <c r="OT16" s="515"/>
      <c r="OU16" s="517"/>
      <c r="OV16" s="513" t="s">
        <v>160</v>
      </c>
      <c r="OW16" s="514"/>
      <c r="OX16" s="514"/>
      <c r="OY16" s="515"/>
      <c r="OZ16" s="517"/>
      <c r="PA16" s="479"/>
      <c r="PB16" s="508"/>
      <c r="PC16" s="509"/>
      <c r="PD16" s="509"/>
      <c r="PE16" s="509"/>
      <c r="PF16" s="510"/>
      <c r="PG16" s="513" t="s">
        <v>160</v>
      </c>
      <c r="PH16" s="514"/>
      <c r="PI16" s="514"/>
      <c r="PJ16" s="515"/>
      <c r="PK16" s="42" t="s">
        <v>160</v>
      </c>
      <c r="PL16" s="513" t="s">
        <v>160</v>
      </c>
      <c r="PM16" s="514"/>
      <c r="PN16" s="514"/>
      <c r="PO16" s="515"/>
      <c r="PP16" s="42" t="s">
        <v>160</v>
      </c>
      <c r="PQ16" s="513" t="s">
        <v>160</v>
      </c>
      <c r="PR16" s="514"/>
      <c r="PS16" s="514"/>
      <c r="PT16" s="515"/>
      <c r="PU16" s="42" t="s">
        <v>160</v>
      </c>
      <c r="PV16" s="513" t="s">
        <v>160</v>
      </c>
      <c r="PW16" s="514"/>
      <c r="PX16" s="514"/>
      <c r="PY16" s="515"/>
      <c r="PZ16" s="42" t="s">
        <v>160</v>
      </c>
      <c r="QA16" s="479"/>
      <c r="QB16" s="508"/>
      <c r="QC16" s="509"/>
      <c r="QD16" s="509"/>
      <c r="QE16" s="509"/>
      <c r="QF16" s="510"/>
      <c r="QG16" s="513" t="s">
        <v>160</v>
      </c>
      <c r="QH16" s="514"/>
      <c r="QI16" s="514"/>
      <c r="QJ16" s="515"/>
      <c r="QK16" s="517"/>
      <c r="QL16" s="513" t="s">
        <v>160</v>
      </c>
      <c r="QM16" s="514"/>
      <c r="QN16" s="514"/>
      <c r="QO16" s="515"/>
      <c r="QP16" s="517"/>
      <c r="QQ16" s="513" t="s">
        <v>160</v>
      </c>
      <c r="QR16" s="514"/>
      <c r="QS16" s="514"/>
      <c r="QT16" s="515"/>
      <c r="QU16" s="517"/>
      <c r="QV16" s="513" t="s">
        <v>160</v>
      </c>
      <c r="QW16" s="514"/>
      <c r="QX16" s="514"/>
      <c r="QY16" s="515"/>
      <c r="QZ16" s="517"/>
      <c r="RA16" s="479"/>
      <c r="RB16" s="508"/>
      <c r="RC16" s="509"/>
      <c r="RD16" s="509"/>
      <c r="RE16" s="509"/>
      <c r="RF16" s="510"/>
      <c r="RG16" s="513" t="s">
        <v>160</v>
      </c>
      <c r="RH16" s="514"/>
      <c r="RI16" s="514"/>
      <c r="RJ16" s="515"/>
      <c r="RK16" s="42" t="s">
        <v>160</v>
      </c>
      <c r="RL16" s="513" t="s">
        <v>160</v>
      </c>
      <c r="RM16" s="514"/>
      <c r="RN16" s="514"/>
      <c r="RO16" s="515"/>
      <c r="RP16" s="42" t="s">
        <v>160</v>
      </c>
      <c r="RQ16" s="513" t="s">
        <v>160</v>
      </c>
      <c r="RR16" s="514"/>
      <c r="RS16" s="514"/>
      <c r="RT16" s="515"/>
      <c r="RU16" s="422" t="s">
        <v>160</v>
      </c>
      <c r="RV16" s="569" t="s">
        <v>160</v>
      </c>
      <c r="RW16" s="514"/>
      <c r="RX16" s="514"/>
      <c r="RY16" s="570"/>
      <c r="RZ16" s="517"/>
      <c r="SA16" s="479"/>
      <c r="SB16" s="508"/>
      <c r="SC16" s="509"/>
      <c r="SD16" s="509"/>
      <c r="SE16" s="509"/>
      <c r="SF16" s="510"/>
      <c r="SG16" s="513" t="s">
        <v>160</v>
      </c>
      <c r="SH16" s="514"/>
      <c r="SI16" s="514"/>
      <c r="SJ16" s="515"/>
      <c r="SK16" s="517"/>
      <c r="SL16" s="513" t="s">
        <v>160</v>
      </c>
      <c r="SM16" s="514"/>
      <c r="SN16" s="514"/>
      <c r="SO16" s="515"/>
      <c r="SP16" s="517"/>
      <c r="SQ16" s="513" t="s">
        <v>160</v>
      </c>
      <c r="SR16" s="514"/>
      <c r="SS16" s="514"/>
      <c r="ST16" s="515"/>
      <c r="SU16" s="517"/>
      <c r="SV16" s="513" t="s">
        <v>160</v>
      </c>
      <c r="SW16" s="514"/>
      <c r="SX16" s="514"/>
      <c r="SY16" s="515"/>
      <c r="SZ16" s="517"/>
      <c r="TA16" s="479"/>
      <c r="TB16" s="508"/>
      <c r="TC16" s="509"/>
      <c r="TD16" s="509"/>
      <c r="TE16" s="509"/>
      <c r="TF16" s="510"/>
      <c r="TG16" s="513" t="s">
        <v>160</v>
      </c>
      <c r="TH16" s="514"/>
      <c r="TI16" s="514"/>
      <c r="TJ16" s="515"/>
      <c r="TK16" s="517"/>
      <c r="TL16" s="513" t="s">
        <v>160</v>
      </c>
      <c r="TM16" s="514"/>
      <c r="TN16" s="514"/>
      <c r="TO16" s="515"/>
      <c r="TP16" s="517"/>
      <c r="TQ16" s="513" t="s">
        <v>160</v>
      </c>
      <c r="TR16" s="514"/>
      <c r="TS16" s="514"/>
      <c r="TT16" s="515"/>
      <c r="TU16" s="517"/>
      <c r="TV16" s="513" t="s">
        <v>160</v>
      </c>
      <c r="TW16" s="514"/>
      <c r="TX16" s="514"/>
      <c r="TY16" s="515"/>
      <c r="TZ16" s="42" t="s">
        <v>160</v>
      </c>
      <c r="UA16" s="479"/>
      <c r="UB16" s="508"/>
      <c r="UC16" s="509"/>
      <c r="UD16" s="509"/>
      <c r="UE16" s="509"/>
      <c r="UF16" s="510"/>
      <c r="UG16" s="513" t="s">
        <v>160</v>
      </c>
      <c r="UH16" s="514"/>
      <c r="UI16" s="514"/>
      <c r="UJ16" s="515"/>
      <c r="UK16" s="562"/>
      <c r="UL16" s="513" t="s">
        <v>160</v>
      </c>
      <c r="UM16" s="568"/>
      <c r="UN16" s="568"/>
      <c r="UO16" s="515"/>
      <c r="UP16" s="517"/>
      <c r="UQ16" s="513" t="s">
        <v>160</v>
      </c>
      <c r="UR16" s="514"/>
      <c r="US16" s="514"/>
      <c r="UT16" s="515"/>
      <c r="UU16" s="562"/>
      <c r="UV16" s="513" t="s">
        <v>160</v>
      </c>
      <c r="UW16" s="514"/>
      <c r="UX16" s="514"/>
      <c r="UY16" s="515"/>
      <c r="UZ16" s="517"/>
      <c r="VA16" s="479"/>
      <c r="VB16" s="508"/>
      <c r="VC16" s="509"/>
      <c r="VD16" s="509"/>
      <c r="VE16" s="509"/>
      <c r="VF16" s="510"/>
      <c r="VG16" s="513" t="s">
        <v>160</v>
      </c>
      <c r="VH16" s="514"/>
      <c r="VI16" s="514"/>
      <c r="VJ16" s="515"/>
      <c r="VK16" s="562"/>
      <c r="VL16" s="513" t="s">
        <v>160</v>
      </c>
      <c r="VM16" s="514"/>
      <c r="VN16" s="514"/>
      <c r="VO16" s="515"/>
      <c r="VP16" s="562"/>
      <c r="VQ16" s="513" t="s">
        <v>160</v>
      </c>
      <c r="VR16" s="514"/>
      <c r="VS16" s="514"/>
      <c r="VT16" s="515"/>
      <c r="VU16" s="42" t="s">
        <v>160</v>
      </c>
      <c r="VV16" s="513" t="s">
        <v>160</v>
      </c>
      <c r="VW16" s="514"/>
      <c r="VX16" s="514"/>
      <c r="VY16" s="515"/>
      <c r="VZ16" s="42" t="s">
        <v>160</v>
      </c>
      <c r="WA16" s="479"/>
      <c r="WB16" s="508"/>
      <c r="WC16" s="509"/>
      <c r="WD16" s="509"/>
      <c r="WE16" s="509"/>
      <c r="WF16" s="510"/>
      <c r="WG16" s="513" t="s">
        <v>160</v>
      </c>
      <c r="WH16" s="514"/>
      <c r="WI16" s="514"/>
      <c r="WJ16" s="515"/>
      <c r="WK16" s="42" t="s">
        <v>160</v>
      </c>
      <c r="WL16" s="513" t="s">
        <v>160</v>
      </c>
      <c r="WM16" s="514"/>
      <c r="WN16" s="514"/>
      <c r="WO16" s="515"/>
      <c r="WP16" s="42" t="s">
        <v>160</v>
      </c>
      <c r="WQ16" s="513" t="s">
        <v>160</v>
      </c>
      <c r="WR16" s="514"/>
      <c r="WS16" s="514"/>
      <c r="WT16" s="515"/>
      <c r="WU16" s="42" t="s">
        <v>160</v>
      </c>
      <c r="WV16" s="513" t="s">
        <v>160</v>
      </c>
      <c r="WW16" s="514"/>
      <c r="WX16" s="514"/>
      <c r="WY16" s="515"/>
      <c r="WZ16" s="517"/>
      <c r="XA16" s="479"/>
      <c r="XB16" s="508"/>
      <c r="XC16" s="509"/>
      <c r="XD16" s="509"/>
      <c r="XE16" s="509"/>
      <c r="XF16" s="510"/>
      <c r="XG16" s="513" t="s">
        <v>160</v>
      </c>
      <c r="XH16" s="514"/>
      <c r="XI16" s="514"/>
      <c r="XJ16" s="515"/>
      <c r="XK16" s="517"/>
      <c r="XL16" s="513" t="s">
        <v>160</v>
      </c>
      <c r="XM16" s="514"/>
      <c r="XN16" s="514"/>
      <c r="XO16" s="515"/>
      <c r="XP16" s="42" t="s">
        <v>160</v>
      </c>
      <c r="XQ16" s="513" t="s">
        <v>160</v>
      </c>
      <c r="XR16" s="514"/>
      <c r="XS16" s="514"/>
      <c r="XT16" s="515"/>
      <c r="XU16" s="42" t="s">
        <v>160</v>
      </c>
      <c r="XV16" s="513" t="s">
        <v>160</v>
      </c>
      <c r="XW16" s="514"/>
      <c r="XX16" s="514"/>
      <c r="XY16" s="515"/>
      <c r="XZ16" s="517"/>
      <c r="YA16" s="479"/>
      <c r="YB16" s="508"/>
      <c r="YC16" s="509"/>
      <c r="YD16" s="509"/>
      <c r="YE16" s="509"/>
      <c r="YF16" s="510"/>
      <c r="YG16" s="513" t="s">
        <v>160</v>
      </c>
      <c r="YH16" s="514"/>
      <c r="YI16" s="514"/>
      <c r="YJ16" s="515"/>
      <c r="YK16" s="517"/>
      <c r="YL16" s="513" t="s">
        <v>160</v>
      </c>
      <c r="YM16" s="514"/>
      <c r="YN16" s="514"/>
      <c r="YO16" s="515"/>
      <c r="YP16" s="517"/>
      <c r="YQ16" s="513" t="s">
        <v>160</v>
      </c>
      <c r="YR16" s="514"/>
      <c r="YS16" s="514"/>
      <c r="YT16" s="515"/>
      <c r="YU16" s="517"/>
      <c r="YV16" s="513" t="s">
        <v>160</v>
      </c>
      <c r="YW16" s="514"/>
      <c r="YX16" s="514"/>
      <c r="YY16" s="515"/>
      <c r="YZ16" s="517"/>
      <c r="ZA16" s="479"/>
      <c r="ZB16" s="508"/>
      <c r="ZC16" s="509"/>
      <c r="ZD16" s="509"/>
      <c r="ZE16" s="509"/>
      <c r="ZF16" s="510"/>
      <c r="ZG16" s="513" t="s">
        <v>160</v>
      </c>
      <c r="ZH16" s="514"/>
      <c r="ZI16" s="514"/>
      <c r="ZJ16" s="515"/>
      <c r="ZK16" s="517"/>
      <c r="ZL16" s="513" t="s">
        <v>160</v>
      </c>
      <c r="ZM16" s="514"/>
      <c r="ZN16" s="514"/>
      <c r="ZO16" s="515"/>
      <c r="ZP16" s="42" t="s">
        <v>160</v>
      </c>
      <c r="ZQ16" s="513" t="s">
        <v>160</v>
      </c>
      <c r="ZR16" s="514"/>
      <c r="ZS16" s="514"/>
      <c r="ZT16" s="515"/>
      <c r="ZU16" s="42" t="s">
        <v>160</v>
      </c>
      <c r="ZV16" s="513" t="s">
        <v>160</v>
      </c>
      <c r="ZW16" s="514"/>
      <c r="ZX16" s="514"/>
      <c r="ZY16" s="515"/>
      <c r="ZZ16" s="42" t="s">
        <v>160</v>
      </c>
      <c r="AAA16" s="479"/>
      <c r="AAB16" s="508"/>
      <c r="AAC16" s="509"/>
      <c r="AAD16" s="509"/>
      <c r="AAE16" s="509"/>
      <c r="AAF16" s="510"/>
      <c r="AAG16" s="513" t="s">
        <v>160</v>
      </c>
      <c r="AAH16" s="514"/>
      <c r="AAI16" s="514"/>
      <c r="AAJ16" s="515"/>
      <c r="AAK16" s="42" t="s">
        <v>160</v>
      </c>
      <c r="AAL16" s="513" t="s">
        <v>160</v>
      </c>
      <c r="AAM16" s="514"/>
      <c r="AAN16" s="514"/>
      <c r="AAO16" s="515"/>
      <c r="AAP16" s="42" t="s">
        <v>160</v>
      </c>
      <c r="AAQ16" s="513" t="s">
        <v>160</v>
      </c>
      <c r="AAR16" s="514"/>
      <c r="AAS16" s="514"/>
      <c r="AAT16" s="515"/>
      <c r="AAU16" s="517"/>
      <c r="AAV16" s="513" t="s">
        <v>160</v>
      </c>
      <c r="AAW16" s="514"/>
      <c r="AAX16" s="514"/>
      <c r="AAY16" s="515"/>
      <c r="AAZ16" s="517"/>
      <c r="ABA16" s="479"/>
      <c r="ABB16" s="508"/>
      <c r="ABC16" s="509"/>
      <c r="ABD16" s="509"/>
      <c r="ABE16" s="509"/>
      <c r="ABF16" s="510"/>
      <c r="ABG16" s="513" t="s">
        <v>160</v>
      </c>
      <c r="ABH16" s="514"/>
      <c r="ABI16" s="514"/>
      <c r="ABJ16" s="515"/>
      <c r="ABK16" s="42" t="s">
        <v>160</v>
      </c>
      <c r="ABL16" s="513" t="s">
        <v>160</v>
      </c>
      <c r="ABM16" s="514"/>
      <c r="ABN16" s="514"/>
      <c r="ABO16" s="515"/>
      <c r="ABP16" s="42" t="s">
        <v>160</v>
      </c>
      <c r="ABQ16" s="513" t="s">
        <v>160</v>
      </c>
      <c r="ABR16" s="514"/>
      <c r="ABS16" s="514"/>
      <c r="ABT16" s="515"/>
      <c r="ABU16" s="517"/>
      <c r="ABV16" s="513" t="s">
        <v>160</v>
      </c>
      <c r="ABW16" s="514"/>
      <c r="ABX16" s="514"/>
      <c r="ABY16" s="515"/>
      <c r="ABZ16" s="517"/>
      <c r="ACA16" s="479"/>
      <c r="ACB16" s="508"/>
      <c r="ACC16" s="509"/>
      <c r="ACD16" s="509"/>
      <c r="ACE16" s="509"/>
      <c r="ACF16" s="510"/>
      <c r="ACG16" s="513" t="s">
        <v>160</v>
      </c>
      <c r="ACH16" s="514"/>
      <c r="ACI16" s="514"/>
      <c r="ACJ16" s="515"/>
      <c r="ACK16" s="517"/>
      <c r="ACL16" s="513" t="s">
        <v>160</v>
      </c>
      <c r="ACM16" s="514"/>
      <c r="ACN16" s="514"/>
      <c r="ACO16" s="515"/>
      <c r="ACP16" s="42" t="s">
        <v>160</v>
      </c>
      <c r="ACQ16" s="513" t="s">
        <v>160</v>
      </c>
      <c r="ACR16" s="514"/>
      <c r="ACS16" s="514"/>
      <c r="ACT16" s="515"/>
      <c r="ACU16" s="517"/>
      <c r="ACV16" s="513" t="s">
        <v>160</v>
      </c>
      <c r="ACW16" s="514"/>
      <c r="ACX16" s="514"/>
      <c r="ACY16" s="515"/>
      <c r="ACZ16" s="42" t="s">
        <v>160</v>
      </c>
      <c r="ADA16" s="479"/>
      <c r="ADB16" s="508"/>
      <c r="ADC16" s="509"/>
      <c r="ADD16" s="509"/>
      <c r="ADE16" s="509"/>
      <c r="ADF16" s="510"/>
      <c r="ADG16" s="513" t="s">
        <v>160</v>
      </c>
      <c r="ADH16" s="514"/>
      <c r="ADI16" s="514"/>
      <c r="ADJ16" s="515"/>
      <c r="ADK16" s="42" t="s">
        <v>160</v>
      </c>
      <c r="ADL16" s="513" t="s">
        <v>160</v>
      </c>
      <c r="ADM16" s="514"/>
      <c r="ADN16" s="514"/>
      <c r="ADO16" s="515"/>
      <c r="ADP16" s="42" t="s">
        <v>160</v>
      </c>
      <c r="ADQ16" s="513" t="s">
        <v>160</v>
      </c>
      <c r="ADR16" s="514"/>
      <c r="ADS16" s="514"/>
      <c r="ADT16" s="515"/>
      <c r="ADU16" s="42" t="s">
        <v>160</v>
      </c>
      <c r="ADV16" s="513" t="s">
        <v>160</v>
      </c>
      <c r="ADW16" s="514"/>
      <c r="ADX16" s="514"/>
      <c r="ADY16" s="515"/>
      <c r="ADZ16" s="42" t="s">
        <v>160</v>
      </c>
      <c r="AEA16" s="479"/>
      <c r="AEB16" s="508"/>
      <c r="AEC16" s="509"/>
      <c r="AED16" s="509"/>
      <c r="AEE16" s="509"/>
      <c r="AEF16" s="510"/>
      <c r="AEG16" s="513" t="s">
        <v>160</v>
      </c>
      <c r="AEH16" s="514"/>
      <c r="AEI16" s="514"/>
      <c r="AEJ16" s="515"/>
      <c r="AEK16" s="42" t="s">
        <v>160</v>
      </c>
      <c r="AEL16" s="513" t="s">
        <v>160</v>
      </c>
      <c r="AEM16" s="514"/>
      <c r="AEN16" s="514"/>
      <c r="AEO16" s="515"/>
      <c r="AEP16" s="42" t="s">
        <v>160</v>
      </c>
      <c r="AEQ16" s="513" t="s">
        <v>160</v>
      </c>
      <c r="AER16" s="514"/>
      <c r="AES16" s="514"/>
      <c r="AET16" s="515"/>
      <c r="AEU16" s="42" t="s">
        <v>160</v>
      </c>
      <c r="AEV16" s="513" t="s">
        <v>160</v>
      </c>
      <c r="AEW16" s="514"/>
      <c r="AEX16" s="514"/>
      <c r="AEY16" s="515"/>
      <c r="AEZ16" s="42" t="s">
        <v>160</v>
      </c>
      <c r="AFA16" s="479"/>
      <c r="AFB16" s="508"/>
      <c r="AFC16" s="509"/>
      <c r="AFD16" s="509"/>
      <c r="AFE16" s="509"/>
      <c r="AFF16" s="510"/>
      <c r="AFG16" s="513" t="s">
        <v>160</v>
      </c>
      <c r="AFH16" s="514"/>
      <c r="AFI16" s="514"/>
      <c r="AFJ16" s="515"/>
      <c r="AFK16" s="42" t="s">
        <v>160</v>
      </c>
      <c r="AFL16" s="513" t="s">
        <v>160</v>
      </c>
      <c r="AFM16" s="514"/>
      <c r="AFN16" s="514"/>
      <c r="AFO16" s="515"/>
      <c r="AFP16" s="42" t="s">
        <v>160</v>
      </c>
      <c r="AFQ16" s="513" t="s">
        <v>160</v>
      </c>
      <c r="AFR16" s="514"/>
      <c r="AFS16" s="514"/>
      <c r="AFT16" s="515"/>
      <c r="AFU16" s="42" t="s">
        <v>160</v>
      </c>
      <c r="AFV16" s="513" t="s">
        <v>160</v>
      </c>
      <c r="AFW16" s="514"/>
      <c r="AFX16" s="514"/>
      <c r="AFY16" s="515"/>
      <c r="AFZ16" s="517"/>
      <c r="AGA16" s="479"/>
      <c r="AGB16" s="508"/>
      <c r="AGC16" s="509"/>
      <c r="AGD16" s="509"/>
      <c r="AGE16" s="509"/>
      <c r="AGF16" s="510"/>
      <c r="AGG16" s="513" t="s">
        <v>160</v>
      </c>
      <c r="AGH16" s="514"/>
      <c r="AGI16" s="514"/>
      <c r="AGJ16" s="515"/>
      <c r="AGK16" s="42" t="s">
        <v>160</v>
      </c>
      <c r="AGL16" s="513" t="s">
        <v>160</v>
      </c>
      <c r="AGM16" s="514"/>
      <c r="AGN16" s="514"/>
      <c r="AGO16" s="515"/>
      <c r="AGP16" s="42" t="s">
        <v>160</v>
      </c>
      <c r="AGQ16" s="513" t="s">
        <v>160</v>
      </c>
      <c r="AGR16" s="514"/>
      <c r="AGS16" s="514"/>
      <c r="AGT16" s="515"/>
      <c r="AGU16" s="42" t="s">
        <v>160</v>
      </c>
      <c r="AGV16" s="513" t="s">
        <v>2</v>
      </c>
      <c r="AGW16" s="514"/>
      <c r="AGX16" s="514"/>
      <c r="AGY16" s="515"/>
      <c r="AGZ16" s="42" t="s">
        <v>160</v>
      </c>
      <c r="AHA16" s="479"/>
      <c r="AHB16" s="508"/>
      <c r="AHC16" s="509"/>
      <c r="AHD16" s="509"/>
      <c r="AHE16" s="509"/>
      <c r="AHF16" s="510"/>
      <c r="AHG16" s="513" t="s">
        <v>160</v>
      </c>
      <c r="AHH16" s="514"/>
      <c r="AHI16" s="514"/>
      <c r="AHJ16" s="515"/>
      <c r="AHK16" s="42" t="s">
        <v>160</v>
      </c>
      <c r="AHL16" s="513" t="s">
        <v>160</v>
      </c>
      <c r="AHM16" s="514"/>
      <c r="AHN16" s="514"/>
      <c r="AHO16" s="515"/>
      <c r="AHP16" s="42" t="s">
        <v>160</v>
      </c>
      <c r="AHQ16" s="513" t="s">
        <v>160</v>
      </c>
      <c r="AHR16" s="514"/>
      <c r="AHS16" s="514"/>
      <c r="AHT16" s="515"/>
      <c r="AHU16" s="42" t="s">
        <v>160</v>
      </c>
      <c r="AHV16" s="513" t="s">
        <v>160</v>
      </c>
      <c r="AHW16" s="514"/>
      <c r="AHX16" s="514"/>
      <c r="AHY16" s="515"/>
      <c r="AHZ16" s="42" t="s">
        <v>160</v>
      </c>
      <c r="AIA16" s="479"/>
      <c r="AIB16" s="508"/>
      <c r="AIC16" s="509"/>
      <c r="AID16" s="509"/>
      <c r="AIE16" s="509"/>
      <c r="AIF16" s="510"/>
      <c r="AIG16" s="513" t="s">
        <v>160</v>
      </c>
      <c r="AIH16" s="514"/>
      <c r="AII16" s="514"/>
      <c r="AIJ16" s="515"/>
      <c r="AIK16" s="42" t="s">
        <v>160</v>
      </c>
      <c r="AIL16" s="513" t="s">
        <v>160</v>
      </c>
      <c r="AIM16" s="514"/>
      <c r="AIN16" s="514"/>
      <c r="AIO16" s="515"/>
      <c r="AIP16" s="42" t="s">
        <v>160</v>
      </c>
      <c r="AIQ16" s="513" t="s">
        <v>160</v>
      </c>
      <c r="AIR16" s="514"/>
      <c r="AIS16" s="514"/>
      <c r="AIT16" s="515"/>
      <c r="AIU16" s="42" t="s">
        <v>160</v>
      </c>
      <c r="AIV16" s="513" t="s">
        <v>160</v>
      </c>
      <c r="AIW16" s="514"/>
      <c r="AIX16" s="514"/>
      <c r="AIY16" s="515"/>
      <c r="AIZ16" s="517"/>
      <c r="AJA16" s="479"/>
      <c r="AJB16" s="508"/>
      <c r="AJC16" s="509"/>
      <c r="AJD16" s="509"/>
      <c r="AJE16" s="509"/>
      <c r="AJF16" s="510"/>
      <c r="AJG16" s="513" t="s">
        <v>160</v>
      </c>
      <c r="AJH16" s="514"/>
      <c r="AJI16" s="514"/>
      <c r="AJJ16" s="515"/>
      <c r="AJK16" s="42" t="s">
        <v>160</v>
      </c>
      <c r="AJL16" s="513" t="s">
        <v>160</v>
      </c>
      <c r="AJM16" s="514"/>
      <c r="AJN16" s="514"/>
      <c r="AJO16" s="515"/>
      <c r="AJP16" s="517"/>
      <c r="AJQ16" s="513" t="s">
        <v>160</v>
      </c>
      <c r="AJR16" s="514"/>
      <c r="AJS16" s="514"/>
      <c r="AJT16" s="515"/>
      <c r="AJU16" s="42" t="s">
        <v>160</v>
      </c>
      <c r="AJV16" s="513" t="s">
        <v>160</v>
      </c>
      <c r="AJW16" s="514"/>
      <c r="AJX16" s="514"/>
      <c r="AJY16" s="515"/>
      <c r="AJZ16" s="42" t="s">
        <v>160</v>
      </c>
      <c r="AKA16" s="479"/>
      <c r="AKB16" s="508"/>
      <c r="AKC16" s="509"/>
      <c r="AKD16" s="509"/>
      <c r="AKE16" s="509"/>
      <c r="AKF16" s="510"/>
      <c r="AKG16" s="513" t="s">
        <v>160</v>
      </c>
      <c r="AKH16" s="514"/>
      <c r="AKI16" s="514"/>
      <c r="AKJ16" s="515"/>
      <c r="AKK16" s="42" t="s">
        <v>160</v>
      </c>
      <c r="AKL16" s="513" t="s">
        <v>160</v>
      </c>
      <c r="AKM16" s="514"/>
      <c r="AKN16" s="514"/>
      <c r="AKO16" s="515"/>
      <c r="AKP16" s="517"/>
      <c r="AKQ16" s="513" t="s">
        <v>160</v>
      </c>
      <c r="AKR16" s="514"/>
      <c r="AKS16" s="514"/>
      <c r="AKT16" s="515"/>
      <c r="AKU16" s="42" t="s">
        <v>160</v>
      </c>
      <c r="AKV16" s="513"/>
      <c r="AKW16" s="514"/>
      <c r="AKX16" s="514"/>
      <c r="AKY16" s="515"/>
      <c r="AKZ16" s="42"/>
    </row>
    <row r="17" spans="1:988" ht="45" customHeight="1" x14ac:dyDescent="0.4">
      <c r="A17" s="479"/>
      <c r="B17" s="511"/>
      <c r="C17" s="487"/>
      <c r="D17" s="487"/>
      <c r="E17" s="487"/>
      <c r="F17" s="488"/>
      <c r="G17" s="496">
        <v>0.54166666666666652</v>
      </c>
      <c r="H17" s="497"/>
      <c r="I17" s="497"/>
      <c r="J17" s="498"/>
      <c r="K17" s="81">
        <v>0.54166666666666663</v>
      </c>
      <c r="L17" s="496">
        <v>0.54166666666666652</v>
      </c>
      <c r="M17" s="497"/>
      <c r="N17" s="497"/>
      <c r="O17" s="498"/>
      <c r="P17" s="81">
        <v>0.54166666666666663</v>
      </c>
      <c r="Q17" s="496">
        <v>0.52083333333333315</v>
      </c>
      <c r="R17" s="497"/>
      <c r="S17" s="497"/>
      <c r="T17" s="498"/>
      <c r="U17" s="81">
        <v>0.5625</v>
      </c>
      <c r="V17" s="496">
        <v>0.54166666666666652</v>
      </c>
      <c r="W17" s="497"/>
      <c r="X17" s="497"/>
      <c r="Y17" s="498"/>
      <c r="Z17" s="81">
        <v>0.54166666666666663</v>
      </c>
      <c r="AA17" s="479"/>
      <c r="AB17" s="511"/>
      <c r="AC17" s="487"/>
      <c r="AD17" s="487"/>
      <c r="AE17" s="487"/>
      <c r="AF17" s="488"/>
      <c r="AG17" s="496">
        <v>0.54166666666666652</v>
      </c>
      <c r="AH17" s="497"/>
      <c r="AI17" s="497"/>
      <c r="AJ17" s="498"/>
      <c r="AK17" s="81">
        <v>0.54166666666666663</v>
      </c>
      <c r="AL17" s="496">
        <v>0.54166666666666652</v>
      </c>
      <c r="AM17" s="497"/>
      <c r="AN17" s="497"/>
      <c r="AO17" s="498"/>
      <c r="AP17" s="81">
        <v>0.54166666666666663</v>
      </c>
      <c r="AQ17" s="496">
        <v>0.54166666666666652</v>
      </c>
      <c r="AR17" s="497"/>
      <c r="AS17" s="497"/>
      <c r="AT17" s="498"/>
      <c r="AU17" s="81">
        <v>0.52083333333333337</v>
      </c>
      <c r="AV17" s="496">
        <v>0.54166666666666652</v>
      </c>
      <c r="AW17" s="497"/>
      <c r="AX17" s="497"/>
      <c r="AY17" s="498"/>
      <c r="AZ17" s="81">
        <v>0.52083333333333337</v>
      </c>
      <c r="BA17" s="479"/>
      <c r="BB17" s="511"/>
      <c r="BC17" s="487"/>
      <c r="BD17" s="487"/>
      <c r="BE17" s="487"/>
      <c r="BF17" s="488"/>
      <c r="BG17" s="496">
        <v>0.54166666666666652</v>
      </c>
      <c r="BH17" s="497"/>
      <c r="BI17" s="497"/>
      <c r="BJ17" s="498"/>
      <c r="BK17" s="81">
        <v>0.54166666666666663</v>
      </c>
      <c r="BL17" s="496">
        <v>0.49999999999999978</v>
      </c>
      <c r="BM17" s="497"/>
      <c r="BN17" s="497"/>
      <c r="BO17" s="498"/>
      <c r="BP17" s="81">
        <v>0.52083333333333337</v>
      </c>
      <c r="BQ17" s="496">
        <v>0.54166666666666652</v>
      </c>
      <c r="BR17" s="497"/>
      <c r="BS17" s="497"/>
      <c r="BT17" s="498"/>
      <c r="BU17" s="490"/>
      <c r="BV17" s="496">
        <v>0.54166666666666652</v>
      </c>
      <c r="BW17" s="497"/>
      <c r="BX17" s="497"/>
      <c r="BY17" s="498"/>
      <c r="BZ17" s="517"/>
      <c r="CA17" s="479"/>
      <c r="CB17" s="511"/>
      <c r="CC17" s="487"/>
      <c r="CD17" s="487"/>
      <c r="CE17" s="487"/>
      <c r="CF17" s="488"/>
      <c r="CG17" s="496">
        <v>0.54166666666666652</v>
      </c>
      <c r="CH17" s="497"/>
      <c r="CI17" s="497"/>
      <c r="CJ17" s="498"/>
      <c r="CK17" s="517"/>
      <c r="CL17" s="496">
        <v>0.54166666666666652</v>
      </c>
      <c r="CM17" s="497"/>
      <c r="CN17" s="497"/>
      <c r="CO17" s="498"/>
      <c r="CP17" s="81">
        <v>0.54166666666666663</v>
      </c>
      <c r="CQ17" s="496">
        <v>0.54166666666666652</v>
      </c>
      <c r="CR17" s="497"/>
      <c r="CS17" s="497"/>
      <c r="CT17" s="498"/>
      <c r="CU17" s="81">
        <v>0.52083333333333337</v>
      </c>
      <c r="CV17" s="496">
        <v>0.54166666666666652</v>
      </c>
      <c r="CW17" s="497"/>
      <c r="CX17" s="497"/>
      <c r="CY17" s="498"/>
      <c r="CZ17" s="517"/>
      <c r="DA17" s="479"/>
      <c r="DB17" s="511"/>
      <c r="DC17" s="487"/>
      <c r="DD17" s="487"/>
      <c r="DE17" s="487"/>
      <c r="DF17" s="488"/>
      <c r="DG17" s="496">
        <v>0.54166666666666652</v>
      </c>
      <c r="DH17" s="497"/>
      <c r="DI17" s="497"/>
      <c r="DJ17" s="498"/>
      <c r="DK17" s="81">
        <v>0.58333333333333337</v>
      </c>
      <c r="DL17" s="496">
        <v>0.54166666666666652</v>
      </c>
      <c r="DM17" s="497"/>
      <c r="DN17" s="497"/>
      <c r="DO17" s="498"/>
      <c r="DP17" s="81">
        <v>0.54166666666666663</v>
      </c>
      <c r="DQ17" s="496">
        <v>0.54166666666666652</v>
      </c>
      <c r="DR17" s="497"/>
      <c r="DS17" s="497"/>
      <c r="DT17" s="498"/>
      <c r="DU17" s="81">
        <v>0.54166666666666663</v>
      </c>
      <c r="DV17" s="496">
        <v>0.54166666666666652</v>
      </c>
      <c r="DW17" s="497"/>
      <c r="DX17" s="497"/>
      <c r="DY17" s="498"/>
      <c r="DZ17" s="517"/>
      <c r="EA17" s="479"/>
      <c r="EB17" s="511"/>
      <c r="EC17" s="487"/>
      <c r="ED17" s="487"/>
      <c r="EE17" s="487"/>
      <c r="EF17" s="488"/>
      <c r="EG17" s="496">
        <v>0.54166666666666652</v>
      </c>
      <c r="EH17" s="497"/>
      <c r="EI17" s="497"/>
      <c r="EJ17" s="498"/>
      <c r="EK17" s="517"/>
      <c r="EL17" s="496">
        <v>0.54166666666666652</v>
      </c>
      <c r="EM17" s="497"/>
      <c r="EN17" s="497"/>
      <c r="EO17" s="498"/>
      <c r="EP17" s="81">
        <v>0.54166666666666663</v>
      </c>
      <c r="EQ17" s="496">
        <v>0.5</v>
      </c>
      <c r="ER17" s="497"/>
      <c r="ES17" s="497"/>
      <c r="ET17" s="498"/>
      <c r="EU17" s="81">
        <v>0.52083333333333337</v>
      </c>
      <c r="EV17" s="496">
        <v>0.54166666666666652</v>
      </c>
      <c r="EW17" s="497"/>
      <c r="EX17" s="497"/>
      <c r="EY17" s="498"/>
      <c r="EZ17" s="517"/>
      <c r="FA17" s="479"/>
      <c r="FB17" s="511"/>
      <c r="FC17" s="487"/>
      <c r="FD17" s="487"/>
      <c r="FE17" s="487"/>
      <c r="FF17" s="488"/>
      <c r="FG17" s="496">
        <v>0.54166666666666652</v>
      </c>
      <c r="FH17" s="497"/>
      <c r="FI17" s="497"/>
      <c r="FJ17" s="498"/>
      <c r="FK17" s="517"/>
      <c r="FL17" s="496">
        <v>0.52083333333333337</v>
      </c>
      <c r="FM17" s="497"/>
      <c r="FN17" s="497"/>
      <c r="FO17" s="498"/>
      <c r="FP17" s="81">
        <v>0.5</v>
      </c>
      <c r="FQ17" s="496">
        <v>0.49999999999999978</v>
      </c>
      <c r="FR17" s="497"/>
      <c r="FS17" s="497"/>
      <c r="FT17" s="498"/>
      <c r="FU17" s="81">
        <v>0.52083333333333337</v>
      </c>
      <c r="FV17" s="496">
        <v>0.47916666666666646</v>
      </c>
      <c r="FW17" s="497"/>
      <c r="FX17" s="497"/>
      <c r="FY17" s="498"/>
      <c r="FZ17" s="517"/>
      <c r="GA17" s="479"/>
      <c r="GB17" s="511"/>
      <c r="GC17" s="487"/>
      <c r="GD17" s="487"/>
      <c r="GE17" s="487"/>
      <c r="GF17" s="488"/>
      <c r="GG17" s="496">
        <v>0.49999999999999978</v>
      </c>
      <c r="GH17" s="497"/>
      <c r="GI17" s="497"/>
      <c r="GJ17" s="498"/>
      <c r="GK17" s="517"/>
      <c r="GL17" s="496">
        <v>0.52083333333333315</v>
      </c>
      <c r="GM17" s="497"/>
      <c r="GN17" s="497"/>
      <c r="GO17" s="498"/>
      <c r="GP17" s="517"/>
      <c r="GQ17" s="496">
        <v>0.52083333333333315</v>
      </c>
      <c r="GR17" s="497"/>
      <c r="GS17" s="497"/>
      <c r="GT17" s="498"/>
      <c r="GU17" s="517"/>
      <c r="GV17" s="496">
        <v>0.52083333333333315</v>
      </c>
      <c r="GW17" s="497"/>
      <c r="GX17" s="497"/>
      <c r="GY17" s="498"/>
      <c r="GZ17" s="81">
        <v>0.54166666666666663</v>
      </c>
      <c r="HA17" s="479"/>
      <c r="HB17" s="511"/>
      <c r="HC17" s="487"/>
      <c r="HD17" s="487"/>
      <c r="HE17" s="487"/>
      <c r="HF17" s="488"/>
      <c r="HG17" s="496">
        <v>0.58333333333333326</v>
      </c>
      <c r="HH17" s="497"/>
      <c r="HI17" s="497"/>
      <c r="HJ17" s="498"/>
      <c r="HK17" s="517"/>
      <c r="HL17" s="496">
        <v>0.54166666666666652</v>
      </c>
      <c r="HM17" s="497"/>
      <c r="HN17" s="497"/>
      <c r="HO17" s="498"/>
      <c r="HP17" s="81">
        <v>0.54166666666666663</v>
      </c>
      <c r="HQ17" s="496">
        <v>0.54166666666666652</v>
      </c>
      <c r="HR17" s="497"/>
      <c r="HS17" s="497"/>
      <c r="HT17" s="498"/>
      <c r="HU17" s="81">
        <v>0.54166666666666663</v>
      </c>
      <c r="HV17" s="496">
        <v>0.54166666666666652</v>
      </c>
      <c r="HW17" s="497"/>
      <c r="HX17" s="497"/>
      <c r="HY17" s="498"/>
      <c r="HZ17" s="81">
        <v>0.58333333333333337</v>
      </c>
      <c r="IA17" s="479"/>
      <c r="IB17" s="511"/>
      <c r="IC17" s="487"/>
      <c r="ID17" s="487"/>
      <c r="IE17" s="487"/>
      <c r="IF17" s="488"/>
      <c r="IG17" s="496">
        <v>0.52083333333333337</v>
      </c>
      <c r="IH17" s="497"/>
      <c r="II17" s="497"/>
      <c r="IJ17" s="498"/>
      <c r="IK17" s="517"/>
      <c r="IL17" s="496">
        <v>0.52083333333333315</v>
      </c>
      <c r="IM17" s="497"/>
      <c r="IN17" s="497"/>
      <c r="IO17" s="498"/>
      <c r="IP17" s="81">
        <v>0.52083333333333337</v>
      </c>
      <c r="IQ17" s="496">
        <v>0.47916666666666669</v>
      </c>
      <c r="IR17" s="497"/>
      <c r="IS17" s="497"/>
      <c r="IT17" s="498"/>
      <c r="IU17" s="517"/>
      <c r="IV17" s="496">
        <v>0.54166666666666652</v>
      </c>
      <c r="IW17" s="497"/>
      <c r="IX17" s="497"/>
      <c r="IY17" s="498"/>
      <c r="IZ17" s="517"/>
      <c r="JA17" s="479"/>
      <c r="JB17" s="511"/>
      <c r="JC17" s="487"/>
      <c r="JD17" s="487"/>
      <c r="JE17" s="487"/>
      <c r="JF17" s="488"/>
      <c r="JG17" s="496">
        <v>0.47916666666666646</v>
      </c>
      <c r="JH17" s="497"/>
      <c r="JI17" s="497"/>
      <c r="JJ17" s="498"/>
      <c r="JK17" s="517"/>
      <c r="JL17" s="496">
        <v>0.52083333333333315</v>
      </c>
      <c r="JM17" s="497"/>
      <c r="JN17" s="497"/>
      <c r="JO17" s="498"/>
      <c r="JP17" s="517"/>
      <c r="JQ17" s="496">
        <v>0.47916666666666669</v>
      </c>
      <c r="JR17" s="497"/>
      <c r="JS17" s="497"/>
      <c r="JT17" s="498"/>
      <c r="JU17" s="81">
        <v>0.52083333333333337</v>
      </c>
      <c r="JV17" s="496">
        <v>0.54166666666666663</v>
      </c>
      <c r="JW17" s="497"/>
      <c r="JX17" s="497"/>
      <c r="JY17" s="498"/>
      <c r="JZ17" s="517"/>
      <c r="KA17" s="479"/>
      <c r="KB17" s="511"/>
      <c r="KC17" s="487"/>
      <c r="KD17" s="487"/>
      <c r="KE17" s="487"/>
      <c r="KF17" s="488"/>
      <c r="KG17" s="496">
        <v>0.47916666666666669</v>
      </c>
      <c r="KH17" s="497"/>
      <c r="KI17" s="497"/>
      <c r="KJ17" s="498"/>
      <c r="KK17" s="517"/>
      <c r="KL17" s="496">
        <v>0.49999999999999978</v>
      </c>
      <c r="KM17" s="497"/>
      <c r="KN17" s="497"/>
      <c r="KO17" s="498"/>
      <c r="KP17" s="517"/>
      <c r="KQ17" s="496">
        <v>0.52083333333333315</v>
      </c>
      <c r="KR17" s="497"/>
      <c r="KS17" s="497"/>
      <c r="KT17" s="498"/>
      <c r="KU17" s="517"/>
      <c r="KV17" s="496">
        <v>0.52083333333333315</v>
      </c>
      <c r="KW17" s="497"/>
      <c r="KX17" s="497"/>
      <c r="KY17" s="498"/>
      <c r="KZ17" s="81">
        <v>0.5</v>
      </c>
      <c r="LA17" s="479"/>
      <c r="LB17" s="511"/>
      <c r="LC17" s="487"/>
      <c r="LD17" s="487"/>
      <c r="LE17" s="487"/>
      <c r="LF17" s="488"/>
      <c r="LG17" s="496">
        <v>0.52083333333333337</v>
      </c>
      <c r="LH17" s="497"/>
      <c r="LI17" s="497"/>
      <c r="LJ17" s="498"/>
      <c r="LK17" s="517"/>
      <c r="LL17" s="496">
        <v>0.45833333333333315</v>
      </c>
      <c r="LM17" s="497"/>
      <c r="LN17" s="497"/>
      <c r="LO17" s="498"/>
      <c r="LP17" s="81">
        <v>0.47916666666666669</v>
      </c>
      <c r="LQ17" s="496">
        <v>0.52083333333333315</v>
      </c>
      <c r="LR17" s="497"/>
      <c r="LS17" s="497"/>
      <c r="LT17" s="498"/>
      <c r="LU17" s="517"/>
      <c r="LV17" s="496">
        <v>0.45833333333333331</v>
      </c>
      <c r="LW17" s="497"/>
      <c r="LX17" s="497"/>
      <c r="LY17" s="498"/>
      <c r="LZ17" s="517"/>
      <c r="MA17" s="479"/>
      <c r="MB17" s="511"/>
      <c r="MC17" s="487"/>
      <c r="MD17" s="487"/>
      <c r="ME17" s="487"/>
      <c r="MF17" s="488"/>
      <c r="MG17" s="496">
        <v>0.54166666666666652</v>
      </c>
      <c r="MH17" s="497"/>
      <c r="MI17" s="497"/>
      <c r="MJ17" s="498"/>
      <c r="MK17" s="517"/>
      <c r="ML17" s="496">
        <v>0.52083333333333315</v>
      </c>
      <c r="MM17" s="497"/>
      <c r="MN17" s="497"/>
      <c r="MO17" s="498"/>
      <c r="MP17" s="517"/>
      <c r="MQ17" s="496">
        <v>0.52083333333333315</v>
      </c>
      <c r="MR17" s="497"/>
      <c r="MS17" s="497"/>
      <c r="MT17" s="498"/>
      <c r="MU17" s="517"/>
      <c r="MV17" s="496">
        <v>0.54166666666666652</v>
      </c>
      <c r="MW17" s="497"/>
      <c r="MX17" s="497"/>
      <c r="MY17" s="498"/>
      <c r="MZ17" s="517"/>
      <c r="NA17" s="479"/>
      <c r="NB17" s="511"/>
      <c r="NC17" s="487"/>
      <c r="ND17" s="487"/>
      <c r="NE17" s="487"/>
      <c r="NF17" s="488"/>
      <c r="NG17" s="496">
        <v>0.52083333333333315</v>
      </c>
      <c r="NH17" s="497"/>
      <c r="NI17" s="497"/>
      <c r="NJ17" s="498"/>
      <c r="NK17" s="517"/>
      <c r="NL17" s="496">
        <v>0.47916666666666669</v>
      </c>
      <c r="NM17" s="497"/>
      <c r="NN17" s="497"/>
      <c r="NO17" s="498"/>
      <c r="NP17" s="517"/>
      <c r="NQ17" s="496">
        <v>0.54166666666666652</v>
      </c>
      <c r="NR17" s="497"/>
      <c r="NS17" s="497"/>
      <c r="NT17" s="498"/>
      <c r="NU17" s="517"/>
      <c r="NV17" s="496">
        <v>0.54166666666666652</v>
      </c>
      <c r="NW17" s="497"/>
      <c r="NX17" s="497"/>
      <c r="NY17" s="498"/>
      <c r="NZ17" s="517"/>
      <c r="OA17" s="479"/>
      <c r="OB17" s="511"/>
      <c r="OC17" s="487"/>
      <c r="OD17" s="487"/>
      <c r="OE17" s="487"/>
      <c r="OF17" s="488"/>
      <c r="OG17" s="496">
        <v>0.54166666666666652</v>
      </c>
      <c r="OH17" s="497"/>
      <c r="OI17" s="497"/>
      <c r="OJ17" s="498"/>
      <c r="OK17" s="81">
        <v>0.5</v>
      </c>
      <c r="OL17" s="496">
        <v>0.52083333333333315</v>
      </c>
      <c r="OM17" s="497"/>
      <c r="ON17" s="497"/>
      <c r="OO17" s="498"/>
      <c r="OP17" s="81">
        <v>0.52083333333333337</v>
      </c>
      <c r="OQ17" s="496">
        <v>0.52083333333333315</v>
      </c>
      <c r="OR17" s="497"/>
      <c r="OS17" s="497"/>
      <c r="OT17" s="498"/>
      <c r="OU17" s="517"/>
      <c r="OV17" s="496">
        <v>0.52083333333333315</v>
      </c>
      <c r="OW17" s="497"/>
      <c r="OX17" s="497"/>
      <c r="OY17" s="498"/>
      <c r="OZ17" s="517"/>
      <c r="PA17" s="479"/>
      <c r="PB17" s="511"/>
      <c r="PC17" s="487"/>
      <c r="PD17" s="487"/>
      <c r="PE17" s="487"/>
      <c r="PF17" s="488"/>
      <c r="PG17" s="496">
        <v>0.54166666666666652</v>
      </c>
      <c r="PH17" s="497"/>
      <c r="PI17" s="497"/>
      <c r="PJ17" s="498"/>
      <c r="PK17" s="81">
        <v>0.52083333333333337</v>
      </c>
      <c r="PL17" s="496">
        <v>0.54166666666666652</v>
      </c>
      <c r="PM17" s="497"/>
      <c r="PN17" s="497"/>
      <c r="PO17" s="498"/>
      <c r="PP17" s="81">
        <v>0.52083333333333337</v>
      </c>
      <c r="PQ17" s="496">
        <v>0.54166666666666652</v>
      </c>
      <c r="PR17" s="497"/>
      <c r="PS17" s="497"/>
      <c r="PT17" s="498"/>
      <c r="PU17" s="81">
        <v>0.5</v>
      </c>
      <c r="PV17" s="496">
        <v>0.49999999999999978</v>
      </c>
      <c r="PW17" s="497"/>
      <c r="PX17" s="497"/>
      <c r="PY17" s="498"/>
      <c r="PZ17" s="81">
        <v>0.52083333333333337</v>
      </c>
      <c r="QA17" s="479"/>
      <c r="QB17" s="511"/>
      <c r="QC17" s="487"/>
      <c r="QD17" s="487"/>
      <c r="QE17" s="487"/>
      <c r="QF17" s="488"/>
      <c r="QG17" s="496">
        <v>0.52083333333333315</v>
      </c>
      <c r="QH17" s="497"/>
      <c r="QI17" s="497"/>
      <c r="QJ17" s="498"/>
      <c r="QK17" s="517"/>
      <c r="QL17" s="496">
        <v>0.52083333333333315</v>
      </c>
      <c r="QM17" s="497"/>
      <c r="QN17" s="497"/>
      <c r="QO17" s="498"/>
      <c r="QP17" s="517"/>
      <c r="QQ17" s="496">
        <v>0.52083333333333315</v>
      </c>
      <c r="QR17" s="497"/>
      <c r="QS17" s="497"/>
      <c r="QT17" s="498"/>
      <c r="QU17" s="517"/>
      <c r="QV17" s="496">
        <v>0.52083333333333315</v>
      </c>
      <c r="QW17" s="497"/>
      <c r="QX17" s="497"/>
      <c r="QY17" s="498"/>
      <c r="QZ17" s="517"/>
      <c r="RA17" s="479"/>
      <c r="RB17" s="511"/>
      <c r="RC17" s="487"/>
      <c r="RD17" s="487"/>
      <c r="RE17" s="487"/>
      <c r="RF17" s="488"/>
      <c r="RG17" s="496">
        <v>0.49999999999999978</v>
      </c>
      <c r="RH17" s="497"/>
      <c r="RI17" s="497"/>
      <c r="RJ17" s="498"/>
      <c r="RK17" s="81">
        <v>0.52083333333333337</v>
      </c>
      <c r="RL17" s="496">
        <v>0.47916666666666646</v>
      </c>
      <c r="RM17" s="497"/>
      <c r="RN17" s="497"/>
      <c r="RO17" s="498"/>
      <c r="RP17" s="81">
        <v>0.54166666666666663</v>
      </c>
      <c r="RQ17" s="496">
        <v>0.52083333333333315</v>
      </c>
      <c r="RR17" s="497"/>
      <c r="RS17" s="497"/>
      <c r="RT17" s="498"/>
      <c r="RU17" s="420">
        <v>0.52083333333333337</v>
      </c>
      <c r="RV17" s="566">
        <v>0.52083333333333315</v>
      </c>
      <c r="RW17" s="497"/>
      <c r="RX17" s="497"/>
      <c r="RY17" s="567"/>
      <c r="RZ17" s="517"/>
      <c r="SA17" s="479"/>
      <c r="SB17" s="511"/>
      <c r="SC17" s="487"/>
      <c r="SD17" s="487"/>
      <c r="SE17" s="487"/>
      <c r="SF17" s="488"/>
      <c r="SG17" s="496">
        <v>0.47916666666666646</v>
      </c>
      <c r="SH17" s="497"/>
      <c r="SI17" s="497"/>
      <c r="SJ17" s="498"/>
      <c r="SK17" s="517"/>
      <c r="SL17" s="496">
        <v>0.54166666666666652</v>
      </c>
      <c r="SM17" s="497"/>
      <c r="SN17" s="497"/>
      <c r="SO17" s="498"/>
      <c r="SP17" s="517"/>
      <c r="SQ17" s="496">
        <v>0.52083333333333315</v>
      </c>
      <c r="SR17" s="497"/>
      <c r="SS17" s="497"/>
      <c r="ST17" s="498"/>
      <c r="SU17" s="517"/>
      <c r="SV17" s="496">
        <v>0.54166666666666652</v>
      </c>
      <c r="SW17" s="497"/>
      <c r="SX17" s="497"/>
      <c r="SY17" s="498"/>
      <c r="SZ17" s="517"/>
      <c r="TA17" s="479"/>
      <c r="TB17" s="511"/>
      <c r="TC17" s="487"/>
      <c r="TD17" s="487"/>
      <c r="TE17" s="487"/>
      <c r="TF17" s="488"/>
      <c r="TG17" s="496">
        <v>0.52083333333333315</v>
      </c>
      <c r="TH17" s="497"/>
      <c r="TI17" s="497"/>
      <c r="TJ17" s="498"/>
      <c r="TK17" s="517"/>
      <c r="TL17" s="496">
        <v>0.54166666666666652</v>
      </c>
      <c r="TM17" s="497"/>
      <c r="TN17" s="497"/>
      <c r="TO17" s="498"/>
      <c r="TP17" s="517"/>
      <c r="TQ17" s="496">
        <v>0.54166666666666652</v>
      </c>
      <c r="TR17" s="497"/>
      <c r="TS17" s="497"/>
      <c r="TT17" s="498"/>
      <c r="TU17" s="517"/>
      <c r="TV17" s="496">
        <v>0.49999999999999978</v>
      </c>
      <c r="TW17" s="497"/>
      <c r="TX17" s="497"/>
      <c r="TY17" s="498"/>
      <c r="TZ17" s="81">
        <v>0.50000000000000033</v>
      </c>
      <c r="UA17" s="479"/>
      <c r="UB17" s="511"/>
      <c r="UC17" s="487"/>
      <c r="UD17" s="487"/>
      <c r="UE17" s="487"/>
      <c r="UF17" s="488"/>
      <c r="UG17" s="496">
        <v>0.54166666666666652</v>
      </c>
      <c r="UH17" s="497"/>
      <c r="UI17" s="497"/>
      <c r="UJ17" s="498"/>
      <c r="UK17" s="562"/>
      <c r="UL17" s="496">
        <v>0.54166666666666652</v>
      </c>
      <c r="UM17" s="497"/>
      <c r="UN17" s="497"/>
      <c r="UO17" s="498"/>
      <c r="UP17" s="517"/>
      <c r="UQ17" s="496">
        <v>0.54166666666666652</v>
      </c>
      <c r="UR17" s="497"/>
      <c r="US17" s="497"/>
      <c r="UT17" s="498"/>
      <c r="UU17" s="562"/>
      <c r="UV17" s="496">
        <v>0.54166666666666652</v>
      </c>
      <c r="UW17" s="497"/>
      <c r="UX17" s="497"/>
      <c r="UY17" s="498"/>
      <c r="UZ17" s="517"/>
      <c r="VA17" s="479"/>
      <c r="VB17" s="511"/>
      <c r="VC17" s="487"/>
      <c r="VD17" s="487"/>
      <c r="VE17" s="487"/>
      <c r="VF17" s="488"/>
      <c r="VG17" s="496">
        <v>0.54166666666666652</v>
      </c>
      <c r="VH17" s="497"/>
      <c r="VI17" s="497"/>
      <c r="VJ17" s="498"/>
      <c r="VK17" s="562"/>
      <c r="VL17" s="496">
        <v>0.54166666666666652</v>
      </c>
      <c r="VM17" s="497"/>
      <c r="VN17" s="497"/>
      <c r="VO17" s="498"/>
      <c r="VP17" s="562"/>
      <c r="VQ17" s="496">
        <v>0.54166666666666652</v>
      </c>
      <c r="VR17" s="497"/>
      <c r="VS17" s="497"/>
      <c r="VT17" s="498"/>
      <c r="VU17" s="81">
        <v>0.54166666666666663</v>
      </c>
      <c r="VV17" s="496">
        <v>0.52083333333333315</v>
      </c>
      <c r="VW17" s="497"/>
      <c r="VX17" s="497"/>
      <c r="VY17" s="498"/>
      <c r="VZ17" s="81">
        <v>0.54166666666666663</v>
      </c>
      <c r="WA17" s="479"/>
      <c r="WB17" s="511"/>
      <c r="WC17" s="487"/>
      <c r="WD17" s="487"/>
      <c r="WE17" s="487"/>
      <c r="WF17" s="488"/>
      <c r="WG17" s="496">
        <v>0.54166666666666652</v>
      </c>
      <c r="WH17" s="497"/>
      <c r="WI17" s="497"/>
      <c r="WJ17" s="498"/>
      <c r="WK17" s="81">
        <v>0.54166666666666663</v>
      </c>
      <c r="WL17" s="496">
        <v>0.54166666666666652</v>
      </c>
      <c r="WM17" s="497"/>
      <c r="WN17" s="497"/>
      <c r="WO17" s="498"/>
      <c r="WP17" s="81">
        <v>0.54166666666666641</v>
      </c>
      <c r="WQ17" s="496">
        <v>0.52083333333333315</v>
      </c>
      <c r="WR17" s="497"/>
      <c r="WS17" s="497"/>
      <c r="WT17" s="498"/>
      <c r="WU17" s="81">
        <v>0.54166666666666641</v>
      </c>
      <c r="WV17" s="496">
        <v>0.54166666666666652</v>
      </c>
      <c r="WW17" s="497"/>
      <c r="WX17" s="497"/>
      <c r="WY17" s="498"/>
      <c r="WZ17" s="517"/>
      <c r="XA17" s="479"/>
      <c r="XB17" s="511"/>
      <c r="XC17" s="487"/>
      <c r="XD17" s="487"/>
      <c r="XE17" s="487"/>
      <c r="XF17" s="488"/>
      <c r="XG17" s="496">
        <v>0.54166666666666652</v>
      </c>
      <c r="XH17" s="497"/>
      <c r="XI17" s="497"/>
      <c r="XJ17" s="498"/>
      <c r="XK17" s="517"/>
      <c r="XL17" s="496">
        <v>0.52083333333333315</v>
      </c>
      <c r="XM17" s="497"/>
      <c r="XN17" s="497"/>
      <c r="XO17" s="498"/>
      <c r="XP17" s="81">
        <v>0.54166666666666663</v>
      </c>
      <c r="XQ17" s="496">
        <v>0.52083333333333315</v>
      </c>
      <c r="XR17" s="497"/>
      <c r="XS17" s="497"/>
      <c r="XT17" s="498"/>
      <c r="XU17" s="81">
        <v>0.52083333333333337</v>
      </c>
      <c r="XV17" s="496">
        <v>0.54166666666666652</v>
      </c>
      <c r="XW17" s="497"/>
      <c r="XX17" s="497"/>
      <c r="XY17" s="498"/>
      <c r="XZ17" s="517"/>
      <c r="YA17" s="479"/>
      <c r="YB17" s="511"/>
      <c r="YC17" s="487"/>
      <c r="YD17" s="487"/>
      <c r="YE17" s="487"/>
      <c r="YF17" s="488"/>
      <c r="YG17" s="496">
        <v>0.52083333333333315</v>
      </c>
      <c r="YH17" s="497"/>
      <c r="YI17" s="497"/>
      <c r="YJ17" s="498"/>
      <c r="YK17" s="517"/>
      <c r="YL17" s="496">
        <v>0.54166666666666652</v>
      </c>
      <c r="YM17" s="497"/>
      <c r="YN17" s="497"/>
      <c r="YO17" s="498"/>
      <c r="YP17" s="517"/>
      <c r="YQ17" s="496">
        <v>0.54166666666666652</v>
      </c>
      <c r="YR17" s="497"/>
      <c r="YS17" s="497"/>
      <c r="YT17" s="498"/>
      <c r="YU17" s="517"/>
      <c r="YV17" s="496">
        <v>0.52083333333333315</v>
      </c>
      <c r="YW17" s="497"/>
      <c r="YX17" s="497"/>
      <c r="YY17" s="498"/>
      <c r="YZ17" s="517"/>
      <c r="ZA17" s="479"/>
      <c r="ZB17" s="511"/>
      <c r="ZC17" s="487"/>
      <c r="ZD17" s="487"/>
      <c r="ZE17" s="487"/>
      <c r="ZF17" s="488"/>
      <c r="ZG17" s="496">
        <v>0.54166666666666652</v>
      </c>
      <c r="ZH17" s="497"/>
      <c r="ZI17" s="497"/>
      <c r="ZJ17" s="498"/>
      <c r="ZK17" s="517"/>
      <c r="ZL17" s="496">
        <v>0.54166666666666652</v>
      </c>
      <c r="ZM17" s="497"/>
      <c r="ZN17" s="497"/>
      <c r="ZO17" s="498"/>
      <c r="ZP17" s="81">
        <v>0.54166666666666674</v>
      </c>
      <c r="ZQ17" s="496">
        <v>0.52083333333333315</v>
      </c>
      <c r="ZR17" s="497"/>
      <c r="ZS17" s="497"/>
      <c r="ZT17" s="498"/>
      <c r="ZU17" s="81">
        <v>0.5</v>
      </c>
      <c r="ZV17" s="496">
        <v>0.54166666666666652</v>
      </c>
      <c r="ZW17" s="497"/>
      <c r="ZX17" s="497"/>
      <c r="ZY17" s="498"/>
      <c r="ZZ17" s="81">
        <v>0.54166666666666641</v>
      </c>
      <c r="AAA17" s="479"/>
      <c r="AAB17" s="511"/>
      <c r="AAC17" s="487"/>
      <c r="AAD17" s="487"/>
      <c r="AAE17" s="487"/>
      <c r="AAF17" s="488"/>
      <c r="AAG17" s="496">
        <v>0.52083333333333315</v>
      </c>
      <c r="AAH17" s="497"/>
      <c r="AAI17" s="497"/>
      <c r="AAJ17" s="498"/>
      <c r="AAK17" s="81">
        <v>0.54166666666666641</v>
      </c>
      <c r="AAL17" s="496">
        <v>0.52083333333333315</v>
      </c>
      <c r="AAM17" s="497"/>
      <c r="AAN17" s="497"/>
      <c r="AAO17" s="498"/>
      <c r="AAP17" s="81">
        <v>0.52083333333333337</v>
      </c>
      <c r="AAQ17" s="496">
        <v>0.54166666666666652</v>
      </c>
      <c r="AAR17" s="497"/>
      <c r="AAS17" s="497"/>
      <c r="AAT17" s="498"/>
      <c r="AAU17" s="517"/>
      <c r="AAV17" s="496">
        <v>0.52083333333333315</v>
      </c>
      <c r="AAW17" s="497"/>
      <c r="AAX17" s="497"/>
      <c r="AAY17" s="498"/>
      <c r="AAZ17" s="517"/>
      <c r="ABA17" s="479"/>
      <c r="ABB17" s="511"/>
      <c r="ABC17" s="487"/>
      <c r="ABD17" s="487"/>
      <c r="ABE17" s="487"/>
      <c r="ABF17" s="488"/>
      <c r="ABG17" s="496">
        <v>0.54166666666666652</v>
      </c>
      <c r="ABH17" s="497"/>
      <c r="ABI17" s="497"/>
      <c r="ABJ17" s="498"/>
      <c r="ABK17" s="81">
        <v>0.56250000000000033</v>
      </c>
      <c r="ABL17" s="496">
        <v>0.54166666666666652</v>
      </c>
      <c r="ABM17" s="497"/>
      <c r="ABN17" s="497"/>
      <c r="ABO17" s="498"/>
      <c r="ABP17" s="81">
        <v>0.54166666666666641</v>
      </c>
      <c r="ABQ17" s="496">
        <v>0.54166666666666652</v>
      </c>
      <c r="ABR17" s="497"/>
      <c r="ABS17" s="497"/>
      <c r="ABT17" s="498"/>
      <c r="ABU17" s="517"/>
      <c r="ABV17" s="496">
        <v>0.54166666666666652</v>
      </c>
      <c r="ABW17" s="497"/>
      <c r="ABX17" s="497"/>
      <c r="ABY17" s="498"/>
      <c r="ABZ17" s="517"/>
      <c r="ACA17" s="479"/>
      <c r="ACB17" s="511"/>
      <c r="ACC17" s="487"/>
      <c r="ACD17" s="487"/>
      <c r="ACE17" s="487"/>
      <c r="ACF17" s="488"/>
      <c r="ACG17" s="496">
        <v>0.58333333333333326</v>
      </c>
      <c r="ACH17" s="497"/>
      <c r="ACI17" s="497"/>
      <c r="ACJ17" s="498"/>
      <c r="ACK17" s="517"/>
      <c r="ACL17" s="496">
        <v>0.54166666666666663</v>
      </c>
      <c r="ACM17" s="497"/>
      <c r="ACN17" s="497"/>
      <c r="ACO17" s="498"/>
      <c r="ACP17" s="81">
        <v>0.54166666666666663</v>
      </c>
      <c r="ACQ17" s="496">
        <v>0.54166666666666652</v>
      </c>
      <c r="ACR17" s="497"/>
      <c r="ACS17" s="497"/>
      <c r="ACT17" s="498"/>
      <c r="ACU17" s="517"/>
      <c r="ACV17" s="496">
        <v>0.54166666666666652</v>
      </c>
      <c r="ACW17" s="497"/>
      <c r="ACX17" s="497"/>
      <c r="ACY17" s="498"/>
      <c r="ACZ17" s="81">
        <v>0.54166666666666663</v>
      </c>
      <c r="ADA17" s="479"/>
      <c r="ADB17" s="511"/>
      <c r="ADC17" s="487"/>
      <c r="ADD17" s="487"/>
      <c r="ADE17" s="487"/>
      <c r="ADF17" s="488"/>
      <c r="ADG17" s="496">
        <v>0.54166666666666652</v>
      </c>
      <c r="ADH17" s="497"/>
      <c r="ADI17" s="497"/>
      <c r="ADJ17" s="498"/>
      <c r="ADK17" s="81">
        <v>0.54166666666666641</v>
      </c>
      <c r="ADL17" s="496">
        <v>0.52083333333333315</v>
      </c>
      <c r="ADM17" s="497"/>
      <c r="ADN17" s="497"/>
      <c r="ADO17" s="498"/>
      <c r="ADP17" s="81">
        <v>0.58333333333333337</v>
      </c>
      <c r="ADQ17" s="496">
        <v>0.54166666666666652</v>
      </c>
      <c r="ADR17" s="497"/>
      <c r="ADS17" s="497"/>
      <c r="ADT17" s="498"/>
      <c r="ADU17" s="81">
        <v>0.54166666666666663</v>
      </c>
      <c r="ADV17" s="496">
        <v>0.54166666666666652</v>
      </c>
      <c r="ADW17" s="497"/>
      <c r="ADX17" s="497"/>
      <c r="ADY17" s="498"/>
      <c r="ADZ17" s="81">
        <v>0.54166666666666641</v>
      </c>
      <c r="AEA17" s="479"/>
      <c r="AEB17" s="511"/>
      <c r="AEC17" s="487"/>
      <c r="AED17" s="487"/>
      <c r="AEE17" s="487"/>
      <c r="AEF17" s="488"/>
      <c r="AEG17" s="496">
        <v>0.54166666666666652</v>
      </c>
      <c r="AEH17" s="497"/>
      <c r="AEI17" s="497"/>
      <c r="AEJ17" s="498"/>
      <c r="AEK17" s="81">
        <v>0.54166666666666641</v>
      </c>
      <c r="AEL17" s="496">
        <v>0.54166666666666652</v>
      </c>
      <c r="AEM17" s="497"/>
      <c r="AEN17" s="497"/>
      <c r="AEO17" s="498"/>
      <c r="AEP17" s="81">
        <v>0.54166666666666641</v>
      </c>
      <c r="AEQ17" s="496">
        <v>0.54166666666666652</v>
      </c>
      <c r="AER17" s="497"/>
      <c r="AES17" s="497"/>
      <c r="AET17" s="498"/>
      <c r="AEU17" s="81">
        <v>0.52083333333333337</v>
      </c>
      <c r="AEV17" s="496">
        <v>0.54166666666666652</v>
      </c>
      <c r="AEW17" s="497"/>
      <c r="AEX17" s="497"/>
      <c r="AEY17" s="498"/>
      <c r="AEZ17" s="81">
        <v>0.58333333333333337</v>
      </c>
      <c r="AFA17" s="479"/>
      <c r="AFB17" s="511"/>
      <c r="AFC17" s="487"/>
      <c r="AFD17" s="487"/>
      <c r="AFE17" s="487"/>
      <c r="AFF17" s="488"/>
      <c r="AFG17" s="496">
        <v>0.54166666666666652</v>
      </c>
      <c r="AFH17" s="497"/>
      <c r="AFI17" s="497"/>
      <c r="AFJ17" s="498"/>
      <c r="AFK17" s="81">
        <v>0.54166666666666641</v>
      </c>
      <c r="AFL17" s="496">
        <v>0.54166666666666652</v>
      </c>
      <c r="AFM17" s="497"/>
      <c r="AFN17" s="497"/>
      <c r="AFO17" s="498"/>
      <c r="AFP17" s="81">
        <v>0.54166666666666641</v>
      </c>
      <c r="AFQ17" s="496">
        <v>0.54166666666666652</v>
      </c>
      <c r="AFR17" s="497"/>
      <c r="AFS17" s="497"/>
      <c r="AFT17" s="498"/>
      <c r="AFU17" s="81">
        <v>0.52083333333333337</v>
      </c>
      <c r="AFV17" s="496">
        <v>0.54166666666666652</v>
      </c>
      <c r="AFW17" s="497"/>
      <c r="AFX17" s="497"/>
      <c r="AFY17" s="498"/>
      <c r="AFZ17" s="517"/>
      <c r="AGA17" s="479"/>
      <c r="AGB17" s="511"/>
      <c r="AGC17" s="487"/>
      <c r="AGD17" s="487"/>
      <c r="AGE17" s="487"/>
      <c r="AGF17" s="488"/>
      <c r="AGG17" s="496">
        <v>0.54166666666666652</v>
      </c>
      <c r="AGH17" s="497"/>
      <c r="AGI17" s="497"/>
      <c r="AGJ17" s="498"/>
      <c r="AGK17" s="81">
        <v>0.52083333333333337</v>
      </c>
      <c r="AGL17" s="496">
        <v>0.54166666666666652</v>
      </c>
      <c r="AGM17" s="497"/>
      <c r="AGN17" s="497"/>
      <c r="AGO17" s="498"/>
      <c r="AGP17" s="81">
        <v>0.52083333333333337</v>
      </c>
      <c r="AGQ17" s="496">
        <v>0.49999999999999978</v>
      </c>
      <c r="AGR17" s="497"/>
      <c r="AGS17" s="497"/>
      <c r="AGT17" s="498"/>
      <c r="AGU17" s="81">
        <v>0.4791666666666663</v>
      </c>
      <c r="AGV17" s="496">
        <v>0.54166666666666663</v>
      </c>
      <c r="AGW17" s="497"/>
      <c r="AGX17" s="497"/>
      <c r="AGY17" s="498"/>
      <c r="AGZ17" s="81">
        <v>0.54166666666666663</v>
      </c>
      <c r="AHA17" s="479"/>
      <c r="AHB17" s="511"/>
      <c r="AHC17" s="487"/>
      <c r="AHD17" s="487"/>
      <c r="AHE17" s="487"/>
      <c r="AHF17" s="488"/>
      <c r="AHG17" s="496">
        <v>0.54166666666666652</v>
      </c>
      <c r="AHH17" s="497"/>
      <c r="AHI17" s="497"/>
      <c r="AHJ17" s="498"/>
      <c r="AHK17" s="81">
        <v>0.54166666666666663</v>
      </c>
      <c r="AHL17" s="496">
        <v>0.54166666666666652</v>
      </c>
      <c r="AHM17" s="497"/>
      <c r="AHN17" s="497"/>
      <c r="AHO17" s="498"/>
      <c r="AHP17" s="81">
        <v>0.54166666666666641</v>
      </c>
      <c r="AHQ17" s="496">
        <v>0.54166666666666652</v>
      </c>
      <c r="AHR17" s="497"/>
      <c r="AHS17" s="497"/>
      <c r="AHT17" s="498"/>
      <c r="AHU17" s="81">
        <v>0.52083333333333337</v>
      </c>
      <c r="AHV17" s="496">
        <v>0.54166666666666652</v>
      </c>
      <c r="AHW17" s="497"/>
      <c r="AHX17" s="497"/>
      <c r="AHY17" s="498"/>
      <c r="AHZ17" s="81">
        <v>0.56250000000000033</v>
      </c>
      <c r="AIA17" s="479"/>
      <c r="AIB17" s="511"/>
      <c r="AIC17" s="487"/>
      <c r="AID17" s="487"/>
      <c r="AIE17" s="487"/>
      <c r="AIF17" s="488"/>
      <c r="AIG17" s="496">
        <v>0.54166666666666652</v>
      </c>
      <c r="AIH17" s="497"/>
      <c r="AII17" s="497"/>
      <c r="AIJ17" s="498"/>
      <c r="AIK17" s="81">
        <v>0.50000000000000033</v>
      </c>
      <c r="AIL17" s="496">
        <v>0.52083333333333315</v>
      </c>
      <c r="AIM17" s="497"/>
      <c r="AIN17" s="497"/>
      <c r="AIO17" s="498"/>
      <c r="AIP17" s="81">
        <v>0.47916666666666669</v>
      </c>
      <c r="AIQ17" s="496">
        <v>0.54166666666666652</v>
      </c>
      <c r="AIR17" s="497"/>
      <c r="AIS17" s="497"/>
      <c r="AIT17" s="498"/>
      <c r="AIU17" s="81">
        <v>0.52083333333333337</v>
      </c>
      <c r="AIV17" s="496">
        <v>0.54166666666666652</v>
      </c>
      <c r="AIW17" s="497"/>
      <c r="AIX17" s="497"/>
      <c r="AIY17" s="498"/>
      <c r="AIZ17" s="517"/>
      <c r="AJA17" s="479"/>
      <c r="AJB17" s="511"/>
      <c r="AJC17" s="487"/>
      <c r="AJD17" s="487"/>
      <c r="AJE17" s="487"/>
      <c r="AJF17" s="488"/>
      <c r="AJG17" s="496">
        <v>0.49999999999999978</v>
      </c>
      <c r="AJH17" s="497"/>
      <c r="AJI17" s="497"/>
      <c r="AJJ17" s="498"/>
      <c r="AJK17" s="81">
        <v>0.56250000000000033</v>
      </c>
      <c r="AJL17" s="496">
        <v>0.58333333333333326</v>
      </c>
      <c r="AJM17" s="497"/>
      <c r="AJN17" s="497"/>
      <c r="AJO17" s="498"/>
      <c r="AJP17" s="517"/>
      <c r="AJQ17" s="496">
        <v>0.54166666666666652</v>
      </c>
      <c r="AJR17" s="497"/>
      <c r="AJS17" s="497"/>
      <c r="AJT17" s="498"/>
      <c r="AJU17" s="81">
        <v>0.54166666666666663</v>
      </c>
      <c r="AJV17" s="496">
        <v>0.54166666666666652</v>
      </c>
      <c r="AJW17" s="497"/>
      <c r="AJX17" s="497"/>
      <c r="AJY17" s="498"/>
      <c r="AJZ17" s="81">
        <v>0.54166666666666663</v>
      </c>
      <c r="AKA17" s="479"/>
      <c r="AKB17" s="511"/>
      <c r="AKC17" s="487"/>
      <c r="AKD17" s="487"/>
      <c r="AKE17" s="487"/>
      <c r="AKF17" s="488"/>
      <c r="AKG17" s="496">
        <v>0.54166666666666652</v>
      </c>
      <c r="AKH17" s="497"/>
      <c r="AKI17" s="497"/>
      <c r="AKJ17" s="498"/>
      <c r="AKK17" s="81">
        <v>0.54166666666666641</v>
      </c>
      <c r="AKL17" s="496">
        <v>0.49999999999999978</v>
      </c>
      <c r="AKM17" s="497"/>
      <c r="AKN17" s="497"/>
      <c r="AKO17" s="498"/>
      <c r="AKP17" s="517"/>
      <c r="AKQ17" s="496">
        <v>0.54166666666666652</v>
      </c>
      <c r="AKR17" s="497"/>
      <c r="AKS17" s="497"/>
      <c r="AKT17" s="498"/>
      <c r="AKU17" s="81">
        <v>0.54166666666666641</v>
      </c>
      <c r="AKV17" s="496"/>
      <c r="AKW17" s="497"/>
      <c r="AKX17" s="497"/>
      <c r="AKY17" s="498"/>
      <c r="AKZ17" s="81"/>
    </row>
    <row r="18" spans="1:988" ht="45" customHeight="1" x14ac:dyDescent="0.4">
      <c r="A18" s="480"/>
      <c r="B18" s="512" t="s">
        <v>11</v>
      </c>
      <c r="C18" s="458"/>
      <c r="D18" s="458"/>
      <c r="E18" s="458"/>
      <c r="F18" s="465"/>
      <c r="G18" s="49">
        <v>0</v>
      </c>
      <c r="H18" s="46" t="s">
        <v>378</v>
      </c>
      <c r="I18" s="427" t="s">
        <v>160</v>
      </c>
      <c r="J18" s="363">
        <v>176</v>
      </c>
      <c r="K18" s="24">
        <v>109.5</v>
      </c>
      <c r="L18" s="49">
        <v>0</v>
      </c>
      <c r="M18" s="46" t="s">
        <v>378</v>
      </c>
      <c r="N18" s="427" t="s">
        <v>160</v>
      </c>
      <c r="O18" s="363">
        <v>282.60000000000002</v>
      </c>
      <c r="P18" s="24">
        <v>129.6</v>
      </c>
      <c r="Q18" s="49">
        <v>33</v>
      </c>
      <c r="R18" s="46" t="s">
        <v>378</v>
      </c>
      <c r="S18" s="427" t="s">
        <v>160</v>
      </c>
      <c r="T18" s="363">
        <v>263</v>
      </c>
      <c r="U18" s="24">
        <v>222</v>
      </c>
      <c r="V18" s="49">
        <v>0</v>
      </c>
      <c r="W18" s="46" t="s">
        <v>378</v>
      </c>
      <c r="X18" s="427" t="s">
        <v>160</v>
      </c>
      <c r="Y18" s="363">
        <v>195</v>
      </c>
      <c r="Z18" s="24">
        <v>105.9</v>
      </c>
      <c r="AA18" s="480"/>
      <c r="AB18" s="512" t="s">
        <v>11</v>
      </c>
      <c r="AC18" s="458"/>
      <c r="AD18" s="458"/>
      <c r="AE18" s="458"/>
      <c r="AF18" s="465"/>
      <c r="AG18" s="49">
        <v>26.6</v>
      </c>
      <c r="AH18" s="46" t="s">
        <v>378</v>
      </c>
      <c r="AI18" s="427" t="s">
        <v>160</v>
      </c>
      <c r="AJ18" s="363">
        <v>226.6</v>
      </c>
      <c r="AK18" s="24">
        <v>82.4</v>
      </c>
      <c r="AL18" s="49">
        <v>61</v>
      </c>
      <c r="AM18" s="46" t="s">
        <v>378</v>
      </c>
      <c r="AN18" s="427" t="s">
        <v>160</v>
      </c>
      <c r="AO18" s="363">
        <v>241</v>
      </c>
      <c r="AP18" s="24">
        <v>118.6</v>
      </c>
      <c r="AQ18" s="49">
        <v>0</v>
      </c>
      <c r="AR18" s="46" t="s">
        <v>378</v>
      </c>
      <c r="AS18" s="427" t="s">
        <v>160</v>
      </c>
      <c r="AT18" s="363">
        <v>253</v>
      </c>
      <c r="AU18" s="24">
        <v>190</v>
      </c>
      <c r="AV18" s="49">
        <v>62.3</v>
      </c>
      <c r="AW18" s="46" t="s">
        <v>378</v>
      </c>
      <c r="AX18" s="427" t="s">
        <v>160</v>
      </c>
      <c r="AY18" s="363">
        <v>202.3</v>
      </c>
      <c r="AZ18" s="24">
        <v>86</v>
      </c>
      <c r="BA18" s="480"/>
      <c r="BB18" s="512" t="s">
        <v>11</v>
      </c>
      <c r="BC18" s="458"/>
      <c r="BD18" s="458"/>
      <c r="BE18" s="458"/>
      <c r="BF18" s="465"/>
      <c r="BG18" s="49">
        <v>0</v>
      </c>
      <c r="BH18" s="46" t="s">
        <v>378</v>
      </c>
      <c r="BI18" s="427" t="s">
        <v>160</v>
      </c>
      <c r="BJ18" s="363">
        <v>271</v>
      </c>
      <c r="BK18" s="24">
        <v>222</v>
      </c>
      <c r="BL18" s="49">
        <v>124</v>
      </c>
      <c r="BM18" s="46" t="s">
        <v>378</v>
      </c>
      <c r="BN18" s="427" t="s">
        <v>160</v>
      </c>
      <c r="BO18" s="363">
        <v>322</v>
      </c>
      <c r="BP18" s="24">
        <v>211</v>
      </c>
      <c r="BQ18" s="49">
        <v>0</v>
      </c>
      <c r="BR18" s="46" t="s">
        <v>378</v>
      </c>
      <c r="BS18" s="427" t="s">
        <v>160</v>
      </c>
      <c r="BT18" s="363">
        <v>279</v>
      </c>
      <c r="BU18" s="491"/>
      <c r="BV18" s="49">
        <v>0</v>
      </c>
      <c r="BW18" s="46" t="s">
        <v>378</v>
      </c>
      <c r="BX18" s="427" t="s">
        <v>160</v>
      </c>
      <c r="BY18" s="363">
        <v>79</v>
      </c>
      <c r="BZ18" s="518"/>
      <c r="CA18" s="480"/>
      <c r="CB18" s="512" t="s">
        <v>11</v>
      </c>
      <c r="CC18" s="458"/>
      <c r="CD18" s="458"/>
      <c r="CE18" s="458"/>
      <c r="CF18" s="465"/>
      <c r="CG18" s="49">
        <v>0</v>
      </c>
      <c r="CH18" s="46" t="s">
        <v>378</v>
      </c>
      <c r="CI18" s="427" t="s">
        <v>160</v>
      </c>
      <c r="CJ18" s="363">
        <v>72</v>
      </c>
      <c r="CK18" s="518"/>
      <c r="CL18" s="49">
        <v>129</v>
      </c>
      <c r="CM18" s="46" t="s">
        <v>378</v>
      </c>
      <c r="CN18" s="427" t="s">
        <v>160</v>
      </c>
      <c r="CO18" s="363">
        <v>293</v>
      </c>
      <c r="CP18" s="24">
        <v>205.8</v>
      </c>
      <c r="CQ18" s="49">
        <v>0</v>
      </c>
      <c r="CR18" s="46" t="s">
        <v>378</v>
      </c>
      <c r="CS18" s="427" t="s">
        <v>160</v>
      </c>
      <c r="CT18" s="363">
        <v>332.2</v>
      </c>
      <c r="CU18" s="24">
        <v>231</v>
      </c>
      <c r="CV18" s="49">
        <v>0</v>
      </c>
      <c r="CW18" s="46" t="s">
        <v>378</v>
      </c>
      <c r="CX18" s="427" t="s">
        <v>160</v>
      </c>
      <c r="CY18" s="363">
        <v>88</v>
      </c>
      <c r="CZ18" s="518"/>
      <c r="DA18" s="480"/>
      <c r="DB18" s="512" t="s">
        <v>11</v>
      </c>
      <c r="DC18" s="458"/>
      <c r="DD18" s="458"/>
      <c r="DE18" s="458"/>
      <c r="DF18" s="465"/>
      <c r="DG18" s="49">
        <v>19</v>
      </c>
      <c r="DH18" s="46" t="s">
        <v>378</v>
      </c>
      <c r="DI18" s="427" t="s">
        <v>160</v>
      </c>
      <c r="DJ18" s="363">
        <v>249</v>
      </c>
      <c r="DK18" s="24">
        <v>14</v>
      </c>
      <c r="DL18" s="49">
        <v>0</v>
      </c>
      <c r="DM18" s="46" t="s">
        <v>378</v>
      </c>
      <c r="DN18" s="427" t="s">
        <v>160</v>
      </c>
      <c r="DO18" s="363">
        <v>223</v>
      </c>
      <c r="DP18" s="24">
        <v>59.3</v>
      </c>
      <c r="DQ18" s="49">
        <v>0</v>
      </c>
      <c r="DR18" s="46" t="s">
        <v>378</v>
      </c>
      <c r="DS18" s="427" t="s">
        <v>160</v>
      </c>
      <c r="DT18" s="363">
        <v>198.8</v>
      </c>
      <c r="DU18" s="24">
        <v>71.149200000000008</v>
      </c>
      <c r="DV18" s="49">
        <v>0</v>
      </c>
      <c r="DW18" s="46" t="s">
        <v>378</v>
      </c>
      <c r="DX18" s="427" t="s">
        <v>160</v>
      </c>
      <c r="DY18" s="363">
        <v>34</v>
      </c>
      <c r="DZ18" s="518"/>
      <c r="EA18" s="480"/>
      <c r="EB18" s="512" t="s">
        <v>11</v>
      </c>
      <c r="EC18" s="458"/>
      <c r="ED18" s="458"/>
      <c r="EE18" s="458"/>
      <c r="EF18" s="465"/>
      <c r="EG18" s="49">
        <v>0</v>
      </c>
      <c r="EH18" s="46" t="s">
        <v>378</v>
      </c>
      <c r="EI18" s="427" t="s">
        <v>160</v>
      </c>
      <c r="EJ18" s="363">
        <v>81</v>
      </c>
      <c r="EK18" s="518"/>
      <c r="EL18" s="49">
        <v>0</v>
      </c>
      <c r="EM18" s="46" t="s">
        <v>378</v>
      </c>
      <c r="EN18" s="427" t="s">
        <v>160</v>
      </c>
      <c r="EO18" s="363">
        <v>130</v>
      </c>
      <c r="EP18" s="24">
        <v>37.299999999999997</v>
      </c>
      <c r="EQ18" s="49">
        <v>60</v>
      </c>
      <c r="ER18" s="46" t="s">
        <v>378</v>
      </c>
      <c r="ES18" s="427" t="s">
        <v>160</v>
      </c>
      <c r="ET18" s="363">
        <v>225.8</v>
      </c>
      <c r="EU18" s="24">
        <v>85.4</v>
      </c>
      <c r="EV18" s="49">
        <v>0</v>
      </c>
      <c r="EW18" s="46" t="s">
        <v>378</v>
      </c>
      <c r="EX18" s="427" t="s">
        <v>160</v>
      </c>
      <c r="EY18" s="363">
        <v>189</v>
      </c>
      <c r="EZ18" s="518"/>
      <c r="FA18" s="480"/>
      <c r="FB18" s="512" t="s">
        <v>11</v>
      </c>
      <c r="FC18" s="458"/>
      <c r="FD18" s="458"/>
      <c r="FE18" s="458"/>
      <c r="FF18" s="465"/>
      <c r="FG18" s="49">
        <v>0</v>
      </c>
      <c r="FH18" s="46" t="s">
        <v>378</v>
      </c>
      <c r="FI18" s="427" t="s">
        <v>160</v>
      </c>
      <c r="FJ18" s="363">
        <v>52</v>
      </c>
      <c r="FK18" s="518"/>
      <c r="FL18" s="49">
        <v>0</v>
      </c>
      <c r="FM18" s="46" t="s">
        <v>378</v>
      </c>
      <c r="FN18" s="427" t="s">
        <v>160</v>
      </c>
      <c r="FO18" s="363">
        <v>188</v>
      </c>
      <c r="FP18" s="24">
        <v>147</v>
      </c>
      <c r="FQ18" s="49">
        <v>109</v>
      </c>
      <c r="FR18" s="46" t="s">
        <v>378</v>
      </c>
      <c r="FS18" s="427" t="s">
        <v>160</v>
      </c>
      <c r="FT18" s="363">
        <v>194</v>
      </c>
      <c r="FU18" s="24">
        <v>104.5086</v>
      </c>
      <c r="FV18" s="49">
        <v>0</v>
      </c>
      <c r="FW18" s="46" t="s">
        <v>378</v>
      </c>
      <c r="FX18" s="427" t="s">
        <v>160</v>
      </c>
      <c r="FY18" s="363">
        <v>132</v>
      </c>
      <c r="FZ18" s="518"/>
      <c r="GA18" s="480"/>
      <c r="GB18" s="512" t="s">
        <v>11</v>
      </c>
      <c r="GC18" s="458"/>
      <c r="GD18" s="458"/>
      <c r="GE18" s="458"/>
      <c r="GF18" s="465"/>
      <c r="GG18" s="49">
        <v>0</v>
      </c>
      <c r="GH18" s="46" t="s">
        <v>378</v>
      </c>
      <c r="GI18" s="427" t="s">
        <v>160</v>
      </c>
      <c r="GJ18" s="363">
        <v>84</v>
      </c>
      <c r="GK18" s="518"/>
      <c r="GL18" s="49">
        <v>0</v>
      </c>
      <c r="GM18" s="46" t="s">
        <v>378</v>
      </c>
      <c r="GN18" s="427" t="s">
        <v>160</v>
      </c>
      <c r="GO18" s="363">
        <v>94</v>
      </c>
      <c r="GP18" s="518"/>
      <c r="GQ18" s="49">
        <v>0</v>
      </c>
      <c r="GR18" s="46" t="s">
        <v>378</v>
      </c>
      <c r="GS18" s="427" t="s">
        <v>160</v>
      </c>
      <c r="GT18" s="363">
        <v>158</v>
      </c>
      <c r="GU18" s="518"/>
      <c r="GV18" s="49">
        <v>0</v>
      </c>
      <c r="GW18" s="46" t="s">
        <v>378</v>
      </c>
      <c r="GX18" s="427" t="s">
        <v>160</v>
      </c>
      <c r="GY18" s="363">
        <v>264</v>
      </c>
      <c r="GZ18" s="24">
        <v>88.2</v>
      </c>
      <c r="HA18" s="480"/>
      <c r="HB18" s="512" t="s">
        <v>11</v>
      </c>
      <c r="HC18" s="458"/>
      <c r="HD18" s="458"/>
      <c r="HE18" s="458"/>
      <c r="HF18" s="465"/>
      <c r="HG18" s="49">
        <v>0</v>
      </c>
      <c r="HH18" s="46" t="s">
        <v>378</v>
      </c>
      <c r="HI18" s="427" t="s">
        <v>160</v>
      </c>
      <c r="HJ18" s="363">
        <v>30</v>
      </c>
      <c r="HK18" s="518"/>
      <c r="HL18" s="49">
        <v>0</v>
      </c>
      <c r="HM18" s="46" t="s">
        <v>378</v>
      </c>
      <c r="HN18" s="427" t="s">
        <v>160</v>
      </c>
      <c r="HO18" s="363">
        <v>28</v>
      </c>
      <c r="HP18" s="24">
        <v>86</v>
      </c>
      <c r="HQ18" s="49">
        <v>0</v>
      </c>
      <c r="HR18" s="46" t="s">
        <v>378</v>
      </c>
      <c r="HS18" s="427" t="s">
        <v>160</v>
      </c>
      <c r="HT18" s="363">
        <v>102</v>
      </c>
      <c r="HU18" s="24">
        <v>19</v>
      </c>
      <c r="HV18" s="49">
        <v>20</v>
      </c>
      <c r="HW18" s="46" t="s">
        <v>378</v>
      </c>
      <c r="HX18" s="427" t="s">
        <v>160</v>
      </c>
      <c r="HY18" s="363">
        <v>100</v>
      </c>
      <c r="HZ18" s="24">
        <v>22.1</v>
      </c>
      <c r="IA18" s="480"/>
      <c r="IB18" s="512" t="s">
        <v>11</v>
      </c>
      <c r="IC18" s="458"/>
      <c r="ID18" s="458"/>
      <c r="IE18" s="458"/>
      <c r="IF18" s="465"/>
      <c r="IG18" s="49">
        <v>0</v>
      </c>
      <c r="IH18" s="46" t="s">
        <v>378</v>
      </c>
      <c r="II18" s="427" t="s">
        <v>160</v>
      </c>
      <c r="IJ18" s="363">
        <v>90.8</v>
      </c>
      <c r="IK18" s="518"/>
      <c r="IL18" s="49">
        <v>40</v>
      </c>
      <c r="IM18" s="46" t="s">
        <v>378</v>
      </c>
      <c r="IN18" s="427" t="s">
        <v>160</v>
      </c>
      <c r="IO18" s="363">
        <v>136</v>
      </c>
      <c r="IP18" s="24">
        <v>61</v>
      </c>
      <c r="IQ18" s="49">
        <v>0</v>
      </c>
      <c r="IR18" s="46" t="s">
        <v>378</v>
      </c>
      <c r="IS18" s="427" t="s">
        <v>2</v>
      </c>
      <c r="IT18" s="363">
        <v>62.4</v>
      </c>
      <c r="IU18" s="518"/>
      <c r="IV18" s="49">
        <v>0</v>
      </c>
      <c r="IW18" s="46" t="s">
        <v>378</v>
      </c>
      <c r="IX18" s="427" t="s">
        <v>160</v>
      </c>
      <c r="IY18" s="433">
        <v>0.1</v>
      </c>
      <c r="IZ18" s="518"/>
      <c r="JA18" s="480"/>
      <c r="JB18" s="512" t="s">
        <v>11</v>
      </c>
      <c r="JC18" s="458"/>
      <c r="JD18" s="458"/>
      <c r="JE18" s="458"/>
      <c r="JF18" s="465"/>
      <c r="JG18" s="49">
        <v>0</v>
      </c>
      <c r="JH18" s="46" t="s">
        <v>378</v>
      </c>
      <c r="JI18" s="427" t="s">
        <v>160</v>
      </c>
      <c r="JJ18" s="363">
        <v>47</v>
      </c>
      <c r="JK18" s="518"/>
      <c r="JL18" s="49">
        <v>0</v>
      </c>
      <c r="JM18" s="46" t="s">
        <v>378</v>
      </c>
      <c r="JN18" s="427" t="s">
        <v>160</v>
      </c>
      <c r="JO18" s="363">
        <v>27</v>
      </c>
      <c r="JP18" s="518"/>
      <c r="JQ18" s="49">
        <v>0</v>
      </c>
      <c r="JR18" s="46" t="s">
        <v>378</v>
      </c>
      <c r="JS18" s="427" t="s">
        <v>160</v>
      </c>
      <c r="JT18" s="363">
        <v>95.2</v>
      </c>
      <c r="JU18" s="24">
        <v>35</v>
      </c>
      <c r="JV18" s="49">
        <v>0</v>
      </c>
      <c r="JW18" s="46" t="s">
        <v>378</v>
      </c>
      <c r="JX18" s="427" t="s">
        <v>160</v>
      </c>
      <c r="JY18" s="363">
        <v>19.7</v>
      </c>
      <c r="JZ18" s="518"/>
      <c r="KA18" s="480"/>
      <c r="KB18" s="512" t="s">
        <v>11</v>
      </c>
      <c r="KC18" s="458"/>
      <c r="KD18" s="458"/>
      <c r="KE18" s="458"/>
      <c r="KF18" s="465"/>
      <c r="KG18" s="49">
        <v>0</v>
      </c>
      <c r="KH18" s="46" t="s">
        <v>378</v>
      </c>
      <c r="KI18" s="427" t="s">
        <v>160</v>
      </c>
      <c r="KJ18" s="363">
        <v>18.3</v>
      </c>
      <c r="KK18" s="518"/>
      <c r="KL18" s="49">
        <v>0</v>
      </c>
      <c r="KM18" s="46" t="s">
        <v>378</v>
      </c>
      <c r="KN18" s="427" t="s">
        <v>160</v>
      </c>
      <c r="KO18" s="363">
        <v>249</v>
      </c>
      <c r="KP18" s="518"/>
      <c r="KQ18" s="49">
        <v>0</v>
      </c>
      <c r="KR18" s="46" t="s">
        <v>378</v>
      </c>
      <c r="KS18" s="427" t="s">
        <v>160</v>
      </c>
      <c r="KT18" s="363">
        <v>104</v>
      </c>
      <c r="KU18" s="518"/>
      <c r="KV18" s="49">
        <v>0</v>
      </c>
      <c r="KW18" s="46" t="s">
        <v>378</v>
      </c>
      <c r="KX18" s="427" t="s">
        <v>160</v>
      </c>
      <c r="KY18" s="363">
        <v>117</v>
      </c>
      <c r="KZ18" s="24">
        <v>67</v>
      </c>
      <c r="LA18" s="480"/>
      <c r="LB18" s="512" t="s">
        <v>11</v>
      </c>
      <c r="LC18" s="458"/>
      <c r="LD18" s="458"/>
      <c r="LE18" s="458"/>
      <c r="LF18" s="465"/>
      <c r="LG18" s="49">
        <v>0</v>
      </c>
      <c r="LH18" s="46" t="s">
        <v>378</v>
      </c>
      <c r="LI18" s="427" t="s">
        <v>160</v>
      </c>
      <c r="LJ18" s="363">
        <v>36.299999999999997</v>
      </c>
      <c r="LK18" s="518"/>
      <c r="LL18" s="49">
        <v>22</v>
      </c>
      <c r="LM18" s="46" t="s">
        <v>378</v>
      </c>
      <c r="LN18" s="427" t="s">
        <v>160</v>
      </c>
      <c r="LO18" s="363">
        <v>112</v>
      </c>
      <c r="LP18" s="24">
        <v>22</v>
      </c>
      <c r="LQ18" s="49">
        <v>0</v>
      </c>
      <c r="LR18" s="46" t="s">
        <v>378</v>
      </c>
      <c r="LS18" s="427" t="s">
        <v>160</v>
      </c>
      <c r="LT18" s="363">
        <v>83</v>
      </c>
      <c r="LU18" s="518"/>
      <c r="LV18" s="49">
        <v>0</v>
      </c>
      <c r="LW18" s="46" t="s">
        <v>378</v>
      </c>
      <c r="LX18" s="427" t="s">
        <v>160</v>
      </c>
      <c r="LY18" s="363">
        <v>101</v>
      </c>
      <c r="LZ18" s="518"/>
      <c r="MA18" s="480"/>
      <c r="MB18" s="512" t="s">
        <v>11</v>
      </c>
      <c r="MC18" s="458"/>
      <c r="MD18" s="458"/>
      <c r="ME18" s="458"/>
      <c r="MF18" s="465"/>
      <c r="MG18" s="49">
        <v>0</v>
      </c>
      <c r="MH18" s="46" t="s">
        <v>378</v>
      </c>
      <c r="MI18" s="427" t="s">
        <v>160</v>
      </c>
      <c r="MJ18" s="363">
        <v>85</v>
      </c>
      <c r="MK18" s="518"/>
      <c r="ML18" s="49">
        <v>0</v>
      </c>
      <c r="MM18" s="46" t="s">
        <v>378</v>
      </c>
      <c r="MN18" s="427" t="s">
        <v>160</v>
      </c>
      <c r="MO18" s="363">
        <v>107</v>
      </c>
      <c r="MP18" s="518"/>
      <c r="MQ18" s="49">
        <v>0</v>
      </c>
      <c r="MR18" s="46" t="s">
        <v>378</v>
      </c>
      <c r="MS18" s="427" t="s">
        <v>160</v>
      </c>
      <c r="MT18" s="363">
        <v>59</v>
      </c>
      <c r="MU18" s="518"/>
      <c r="MV18" s="49">
        <v>0</v>
      </c>
      <c r="MW18" s="46" t="s">
        <v>378</v>
      </c>
      <c r="MX18" s="427" t="s">
        <v>160</v>
      </c>
      <c r="MY18" s="363">
        <v>29</v>
      </c>
      <c r="MZ18" s="518"/>
      <c r="NA18" s="480"/>
      <c r="NB18" s="512" t="s">
        <v>11</v>
      </c>
      <c r="NC18" s="458"/>
      <c r="ND18" s="458"/>
      <c r="NE18" s="458"/>
      <c r="NF18" s="465"/>
      <c r="NG18" s="49">
        <v>0</v>
      </c>
      <c r="NH18" s="46" t="s">
        <v>378</v>
      </c>
      <c r="NI18" s="427" t="s">
        <v>160</v>
      </c>
      <c r="NJ18" s="363">
        <v>74</v>
      </c>
      <c r="NK18" s="518"/>
      <c r="NL18" s="49">
        <v>0</v>
      </c>
      <c r="NM18" s="46" t="s">
        <v>378</v>
      </c>
      <c r="NN18" s="427" t="s">
        <v>160</v>
      </c>
      <c r="NO18" s="363">
        <v>205</v>
      </c>
      <c r="NP18" s="518"/>
      <c r="NQ18" s="49">
        <v>0</v>
      </c>
      <c r="NR18" s="46" t="s">
        <v>378</v>
      </c>
      <c r="NS18" s="427" t="s">
        <v>160</v>
      </c>
      <c r="NT18" s="363">
        <v>79</v>
      </c>
      <c r="NU18" s="518"/>
      <c r="NV18" s="49">
        <v>0</v>
      </c>
      <c r="NW18" s="46" t="s">
        <v>378</v>
      </c>
      <c r="NX18" s="427" t="s">
        <v>160</v>
      </c>
      <c r="NY18" s="363">
        <v>56</v>
      </c>
      <c r="NZ18" s="518"/>
      <c r="OA18" s="480"/>
      <c r="OB18" s="512" t="s">
        <v>11</v>
      </c>
      <c r="OC18" s="458"/>
      <c r="OD18" s="458"/>
      <c r="OE18" s="458"/>
      <c r="OF18" s="465"/>
      <c r="OG18" s="49">
        <v>0</v>
      </c>
      <c r="OH18" s="46" t="s">
        <v>378</v>
      </c>
      <c r="OI18" s="427" t="s">
        <v>160</v>
      </c>
      <c r="OJ18" s="363">
        <v>99</v>
      </c>
      <c r="OK18" s="24">
        <v>24.9</v>
      </c>
      <c r="OL18" s="49">
        <v>0</v>
      </c>
      <c r="OM18" s="46" t="s">
        <v>378</v>
      </c>
      <c r="ON18" s="427" t="s">
        <v>160</v>
      </c>
      <c r="OO18" s="363">
        <v>238</v>
      </c>
      <c r="OP18" s="24">
        <v>45</v>
      </c>
      <c r="OQ18" s="49">
        <v>0</v>
      </c>
      <c r="OR18" s="46" t="s">
        <v>378</v>
      </c>
      <c r="OS18" s="427" t="s">
        <v>160</v>
      </c>
      <c r="OT18" s="363">
        <v>90</v>
      </c>
      <c r="OU18" s="518"/>
      <c r="OV18" s="49">
        <v>0</v>
      </c>
      <c r="OW18" s="46" t="s">
        <v>378</v>
      </c>
      <c r="OX18" s="427" t="s">
        <v>160</v>
      </c>
      <c r="OY18" s="363">
        <v>75</v>
      </c>
      <c r="OZ18" s="518"/>
      <c r="PA18" s="480"/>
      <c r="PB18" s="512" t="s">
        <v>11</v>
      </c>
      <c r="PC18" s="458"/>
      <c r="PD18" s="458"/>
      <c r="PE18" s="458"/>
      <c r="PF18" s="465"/>
      <c r="PG18" s="49">
        <v>30</v>
      </c>
      <c r="PH18" s="46" t="s">
        <v>378</v>
      </c>
      <c r="PI18" s="427" t="s">
        <v>160</v>
      </c>
      <c r="PJ18" s="363">
        <v>76</v>
      </c>
      <c r="PK18" s="24">
        <v>28</v>
      </c>
      <c r="PL18" s="49">
        <v>16</v>
      </c>
      <c r="PM18" s="46" t="s">
        <v>378</v>
      </c>
      <c r="PN18" s="427" t="s">
        <v>160</v>
      </c>
      <c r="PO18" s="363">
        <v>90</v>
      </c>
      <c r="PP18" s="24">
        <v>11.9</v>
      </c>
      <c r="PQ18" s="49">
        <v>0</v>
      </c>
      <c r="PR18" s="46" t="s">
        <v>378</v>
      </c>
      <c r="PS18" s="427" t="s">
        <v>160</v>
      </c>
      <c r="PT18" s="363">
        <v>202</v>
      </c>
      <c r="PU18" s="24">
        <v>49.2</v>
      </c>
      <c r="PV18" s="49">
        <v>101</v>
      </c>
      <c r="PW18" s="46" t="s">
        <v>378</v>
      </c>
      <c r="PX18" s="427" t="s">
        <v>160</v>
      </c>
      <c r="PY18" s="363">
        <v>247</v>
      </c>
      <c r="PZ18" s="24">
        <v>122</v>
      </c>
      <c r="QA18" s="480"/>
      <c r="QB18" s="512" t="s">
        <v>11</v>
      </c>
      <c r="QC18" s="458"/>
      <c r="QD18" s="458"/>
      <c r="QE18" s="458"/>
      <c r="QF18" s="465"/>
      <c r="QG18" s="49">
        <v>0</v>
      </c>
      <c r="QH18" s="46" t="s">
        <v>378</v>
      </c>
      <c r="QI18" s="427" t="s">
        <v>160</v>
      </c>
      <c r="QJ18" s="363">
        <v>46</v>
      </c>
      <c r="QK18" s="518"/>
      <c r="QL18" s="49">
        <v>0</v>
      </c>
      <c r="QM18" s="46" t="s">
        <v>378</v>
      </c>
      <c r="QN18" s="427" t="s">
        <v>160</v>
      </c>
      <c r="QO18" s="363">
        <v>1</v>
      </c>
      <c r="QP18" s="518"/>
      <c r="QQ18" s="49">
        <v>0</v>
      </c>
      <c r="QR18" s="46" t="s">
        <v>378</v>
      </c>
      <c r="QS18" s="427" t="s">
        <v>160</v>
      </c>
      <c r="QT18" s="363">
        <v>87</v>
      </c>
      <c r="QU18" s="518"/>
      <c r="QV18" s="49">
        <v>0</v>
      </c>
      <c r="QW18" s="46" t="s">
        <v>378</v>
      </c>
      <c r="QX18" s="427" t="s">
        <v>160</v>
      </c>
      <c r="QY18" s="363">
        <v>18</v>
      </c>
      <c r="QZ18" s="518"/>
      <c r="RA18" s="480"/>
      <c r="RB18" s="512" t="s">
        <v>11</v>
      </c>
      <c r="RC18" s="458"/>
      <c r="RD18" s="458"/>
      <c r="RE18" s="458"/>
      <c r="RF18" s="465"/>
      <c r="RG18" s="49">
        <v>0</v>
      </c>
      <c r="RH18" s="46" t="s">
        <v>378</v>
      </c>
      <c r="RI18" s="427" t="s">
        <v>160</v>
      </c>
      <c r="RJ18" s="363">
        <v>86</v>
      </c>
      <c r="RK18" s="24">
        <v>51</v>
      </c>
      <c r="RL18" s="49">
        <v>60</v>
      </c>
      <c r="RM18" s="46" t="s">
        <v>378</v>
      </c>
      <c r="RN18" s="427" t="s">
        <v>160</v>
      </c>
      <c r="RO18" s="363">
        <v>133</v>
      </c>
      <c r="RP18" s="418">
        <v>84</v>
      </c>
      <c r="RQ18" s="49">
        <v>0</v>
      </c>
      <c r="RR18" s="46" t="s">
        <v>378</v>
      </c>
      <c r="RS18" s="427" t="s">
        <v>160</v>
      </c>
      <c r="RT18" s="363">
        <v>106</v>
      </c>
      <c r="RU18" s="426">
        <v>89</v>
      </c>
      <c r="RV18" s="431">
        <v>0</v>
      </c>
      <c r="RW18" s="46" t="s">
        <v>378</v>
      </c>
      <c r="RX18" s="427" t="s">
        <v>160</v>
      </c>
      <c r="RY18" s="432">
        <v>15</v>
      </c>
      <c r="RZ18" s="518"/>
      <c r="SA18" s="480"/>
      <c r="SB18" s="512" t="s">
        <v>11</v>
      </c>
      <c r="SC18" s="458"/>
      <c r="SD18" s="458"/>
      <c r="SE18" s="458"/>
      <c r="SF18" s="465"/>
      <c r="SG18" s="49">
        <v>0</v>
      </c>
      <c r="SH18" s="46" t="s">
        <v>378</v>
      </c>
      <c r="SI18" s="427" t="s">
        <v>160</v>
      </c>
      <c r="SJ18" s="363">
        <v>59</v>
      </c>
      <c r="SK18" s="518"/>
      <c r="SL18" s="49">
        <v>0</v>
      </c>
      <c r="SM18" s="46" t="s">
        <v>378</v>
      </c>
      <c r="SN18" s="427" t="s">
        <v>160</v>
      </c>
      <c r="SO18" s="363">
        <v>15</v>
      </c>
      <c r="SP18" s="518"/>
      <c r="SQ18" s="49">
        <v>0</v>
      </c>
      <c r="SR18" s="46" t="s">
        <v>378</v>
      </c>
      <c r="SS18" s="427" t="s">
        <v>160</v>
      </c>
      <c r="ST18" s="363">
        <v>29</v>
      </c>
      <c r="SU18" s="518"/>
      <c r="SV18" s="49">
        <v>0</v>
      </c>
      <c r="SW18" s="46" t="s">
        <v>378</v>
      </c>
      <c r="SX18" s="427" t="s">
        <v>160</v>
      </c>
      <c r="SY18" s="363">
        <v>59</v>
      </c>
      <c r="SZ18" s="518"/>
      <c r="TA18" s="480"/>
      <c r="TB18" s="512" t="s">
        <v>11</v>
      </c>
      <c r="TC18" s="458"/>
      <c r="TD18" s="458"/>
      <c r="TE18" s="458"/>
      <c r="TF18" s="465"/>
      <c r="TG18" s="49">
        <v>0</v>
      </c>
      <c r="TH18" s="46" t="s">
        <v>378</v>
      </c>
      <c r="TI18" s="427" t="s">
        <v>160</v>
      </c>
      <c r="TJ18" s="363">
        <v>48</v>
      </c>
      <c r="TK18" s="518"/>
      <c r="TL18" s="49">
        <v>0</v>
      </c>
      <c r="TM18" s="46" t="s">
        <v>378</v>
      </c>
      <c r="TN18" s="427" t="s">
        <v>160</v>
      </c>
      <c r="TO18" s="363">
        <v>83</v>
      </c>
      <c r="TP18" s="518"/>
      <c r="TQ18" s="49">
        <v>0</v>
      </c>
      <c r="TR18" s="46" t="s">
        <v>378</v>
      </c>
      <c r="TS18" s="427" t="s">
        <v>160</v>
      </c>
      <c r="TT18" s="363">
        <v>37</v>
      </c>
      <c r="TU18" s="518"/>
      <c r="TV18" s="49">
        <v>0</v>
      </c>
      <c r="TW18" s="46" t="s">
        <v>378</v>
      </c>
      <c r="TX18" s="427" t="s">
        <v>160</v>
      </c>
      <c r="TY18" s="363">
        <v>178</v>
      </c>
      <c r="TZ18" s="24">
        <v>125</v>
      </c>
      <c r="UA18" s="480"/>
      <c r="UB18" s="512" t="s">
        <v>11</v>
      </c>
      <c r="UC18" s="458"/>
      <c r="UD18" s="458"/>
      <c r="UE18" s="458"/>
      <c r="UF18" s="465"/>
      <c r="UG18" s="49">
        <v>0</v>
      </c>
      <c r="UH18" s="46"/>
      <c r="UI18" s="427" t="s">
        <v>160</v>
      </c>
      <c r="UJ18" s="363">
        <v>81</v>
      </c>
      <c r="UK18" s="563"/>
      <c r="UL18" s="49">
        <v>0</v>
      </c>
      <c r="UM18" s="46"/>
      <c r="UN18" s="427" t="s">
        <v>160</v>
      </c>
      <c r="UO18" s="363">
        <v>62</v>
      </c>
      <c r="UP18" s="518"/>
      <c r="UQ18" s="49">
        <v>0</v>
      </c>
      <c r="UR18" s="46"/>
      <c r="US18" s="427" t="s">
        <v>160</v>
      </c>
      <c r="UT18" s="363">
        <v>37</v>
      </c>
      <c r="UU18" s="563"/>
      <c r="UV18" s="49">
        <v>0</v>
      </c>
      <c r="UW18" s="46"/>
      <c r="UX18" s="427" t="s">
        <v>160</v>
      </c>
      <c r="UY18" s="363">
        <v>12</v>
      </c>
      <c r="UZ18" s="518"/>
      <c r="VA18" s="480"/>
      <c r="VB18" s="512" t="s">
        <v>11</v>
      </c>
      <c r="VC18" s="458"/>
      <c r="VD18" s="458"/>
      <c r="VE18" s="458"/>
      <c r="VF18" s="465"/>
      <c r="VG18" s="49">
        <v>0</v>
      </c>
      <c r="VH18" s="46"/>
      <c r="VI18" s="427" t="s">
        <v>160</v>
      </c>
      <c r="VJ18" s="363">
        <v>25</v>
      </c>
      <c r="VK18" s="563"/>
      <c r="VL18" s="49">
        <v>0</v>
      </c>
      <c r="VM18" s="46"/>
      <c r="VN18" s="427" t="s">
        <v>160</v>
      </c>
      <c r="VO18" s="363">
        <v>133</v>
      </c>
      <c r="VP18" s="563"/>
      <c r="VQ18" s="49">
        <v>0</v>
      </c>
      <c r="VR18" s="46"/>
      <c r="VS18" s="427" t="s">
        <v>160</v>
      </c>
      <c r="VT18" s="363">
        <v>212</v>
      </c>
      <c r="VU18" s="24">
        <v>58</v>
      </c>
      <c r="VV18" s="49">
        <v>11</v>
      </c>
      <c r="VW18" s="46"/>
      <c r="VX18" s="427" t="s">
        <v>160</v>
      </c>
      <c r="VY18" s="363">
        <v>380</v>
      </c>
      <c r="VZ18" s="24">
        <v>174</v>
      </c>
      <c r="WA18" s="480"/>
      <c r="WB18" s="512" t="s">
        <v>11</v>
      </c>
      <c r="WC18" s="458"/>
      <c r="WD18" s="458"/>
      <c r="WE18" s="458"/>
      <c r="WF18" s="465"/>
      <c r="WG18" s="49">
        <v>0</v>
      </c>
      <c r="WH18" s="46"/>
      <c r="WI18" s="427" t="s">
        <v>160</v>
      </c>
      <c r="WJ18" s="363">
        <v>330</v>
      </c>
      <c r="WK18" s="24">
        <v>139</v>
      </c>
      <c r="WL18" s="49">
        <v>0</v>
      </c>
      <c r="WM18" s="46"/>
      <c r="WN18" s="427" t="s">
        <v>160</v>
      </c>
      <c r="WO18" s="363">
        <v>311</v>
      </c>
      <c r="WP18" s="24">
        <v>113</v>
      </c>
      <c r="WQ18" s="49">
        <v>0</v>
      </c>
      <c r="WR18" s="46"/>
      <c r="WS18" s="427" t="s">
        <v>160</v>
      </c>
      <c r="WT18" s="363">
        <v>160</v>
      </c>
      <c r="WU18" s="24">
        <v>100</v>
      </c>
      <c r="WV18" s="49">
        <v>0</v>
      </c>
      <c r="WW18" s="46"/>
      <c r="WX18" s="427" t="s">
        <v>160</v>
      </c>
      <c r="WY18" s="363">
        <v>75</v>
      </c>
      <c r="WZ18" s="518"/>
      <c r="XA18" s="480"/>
      <c r="XB18" s="512" t="s">
        <v>11</v>
      </c>
      <c r="XC18" s="458"/>
      <c r="XD18" s="458"/>
      <c r="XE18" s="458"/>
      <c r="XF18" s="465"/>
      <c r="XG18" s="49">
        <v>0</v>
      </c>
      <c r="XH18" s="46"/>
      <c r="XI18" s="427" t="s">
        <v>160</v>
      </c>
      <c r="XJ18" s="363">
        <v>90</v>
      </c>
      <c r="XK18" s="518"/>
      <c r="XL18" s="49">
        <v>0</v>
      </c>
      <c r="XM18" s="46"/>
      <c r="XN18" s="427" t="s">
        <v>160</v>
      </c>
      <c r="XO18" s="363">
        <v>233</v>
      </c>
      <c r="XP18" s="24">
        <v>120</v>
      </c>
      <c r="XQ18" s="49">
        <v>0</v>
      </c>
      <c r="XR18" s="46"/>
      <c r="XS18" s="427" t="s">
        <v>160</v>
      </c>
      <c r="XT18" s="363">
        <v>203</v>
      </c>
      <c r="XU18" s="24">
        <v>77</v>
      </c>
      <c r="XV18" s="49">
        <v>0</v>
      </c>
      <c r="XW18" s="46"/>
      <c r="XX18" s="427" t="s">
        <v>160</v>
      </c>
      <c r="XY18" s="363">
        <v>34</v>
      </c>
      <c r="XZ18" s="518"/>
      <c r="YA18" s="480"/>
      <c r="YB18" s="512" t="s">
        <v>11</v>
      </c>
      <c r="YC18" s="458"/>
      <c r="YD18" s="458"/>
      <c r="YE18" s="458"/>
      <c r="YF18" s="465"/>
      <c r="YG18" s="49">
        <v>0</v>
      </c>
      <c r="YH18" s="46"/>
      <c r="YI18" s="427" t="s">
        <v>160</v>
      </c>
      <c r="YJ18" s="363">
        <v>54</v>
      </c>
      <c r="YK18" s="518"/>
      <c r="YL18" s="49">
        <v>0</v>
      </c>
      <c r="YM18" s="46"/>
      <c r="YN18" s="427" t="s">
        <v>160</v>
      </c>
      <c r="YO18" s="363">
        <v>142</v>
      </c>
      <c r="YP18" s="518"/>
      <c r="YQ18" s="49">
        <v>0</v>
      </c>
      <c r="YR18" s="46"/>
      <c r="YS18" s="427" t="s">
        <v>160</v>
      </c>
      <c r="YT18" s="363">
        <v>97</v>
      </c>
      <c r="YU18" s="518"/>
      <c r="YV18" s="49">
        <v>0</v>
      </c>
      <c r="YW18" s="46"/>
      <c r="YX18" s="427" t="s">
        <v>160</v>
      </c>
      <c r="YY18" s="363">
        <v>73</v>
      </c>
      <c r="YZ18" s="518"/>
      <c r="ZA18" s="480"/>
      <c r="ZB18" s="512" t="s">
        <v>11</v>
      </c>
      <c r="ZC18" s="458"/>
      <c r="ZD18" s="458"/>
      <c r="ZE18" s="458"/>
      <c r="ZF18" s="465"/>
      <c r="ZG18" s="49">
        <v>0</v>
      </c>
      <c r="ZH18" s="46"/>
      <c r="ZI18" s="427" t="s">
        <v>160</v>
      </c>
      <c r="ZJ18" s="363">
        <v>108</v>
      </c>
      <c r="ZK18" s="518"/>
      <c r="ZL18" s="49">
        <v>0</v>
      </c>
      <c r="ZM18" s="46"/>
      <c r="ZN18" s="427" t="s">
        <v>160</v>
      </c>
      <c r="ZO18" s="363">
        <v>317</v>
      </c>
      <c r="ZP18" s="24">
        <v>87</v>
      </c>
      <c r="ZQ18" s="49">
        <v>0</v>
      </c>
      <c r="ZR18" s="46"/>
      <c r="ZS18" s="427" t="s">
        <v>160</v>
      </c>
      <c r="ZT18" s="363">
        <v>354</v>
      </c>
      <c r="ZU18" s="24">
        <v>118</v>
      </c>
      <c r="ZV18" s="49">
        <v>0</v>
      </c>
      <c r="ZW18" s="46"/>
      <c r="ZX18" s="427" t="s">
        <v>160</v>
      </c>
      <c r="ZY18" s="363">
        <v>197</v>
      </c>
      <c r="ZZ18" s="24">
        <v>68</v>
      </c>
      <c r="AAA18" s="480"/>
      <c r="AAB18" s="512" t="s">
        <v>11</v>
      </c>
      <c r="AAC18" s="458"/>
      <c r="AAD18" s="458"/>
      <c r="AAE18" s="458"/>
      <c r="AAF18" s="465"/>
      <c r="AAG18" s="49">
        <v>0</v>
      </c>
      <c r="AAH18" s="46"/>
      <c r="AAI18" s="427" t="s">
        <v>160</v>
      </c>
      <c r="AAJ18" s="363">
        <v>221</v>
      </c>
      <c r="AAK18" s="24">
        <v>24</v>
      </c>
      <c r="AAL18" s="49">
        <v>0</v>
      </c>
      <c r="AAM18" s="46"/>
      <c r="AAN18" s="427" t="s">
        <v>160</v>
      </c>
      <c r="AAO18" s="363">
        <v>305</v>
      </c>
      <c r="AAP18" s="24">
        <v>199</v>
      </c>
      <c r="AAQ18" s="49">
        <v>0</v>
      </c>
      <c r="AAR18" s="46"/>
      <c r="AAS18" s="427" t="s">
        <v>160</v>
      </c>
      <c r="AAT18" s="363">
        <v>93</v>
      </c>
      <c r="AAU18" s="518"/>
      <c r="AAV18" s="49">
        <v>0</v>
      </c>
      <c r="AAW18" s="46"/>
      <c r="AAX18" s="427" t="s">
        <v>160</v>
      </c>
      <c r="AAY18" s="363">
        <v>166</v>
      </c>
      <c r="AAZ18" s="518"/>
      <c r="ABA18" s="480"/>
      <c r="ABB18" s="512" t="s">
        <v>11</v>
      </c>
      <c r="ABC18" s="458"/>
      <c r="ABD18" s="458"/>
      <c r="ABE18" s="458"/>
      <c r="ABF18" s="465"/>
      <c r="ABG18" s="49">
        <v>0</v>
      </c>
      <c r="ABH18" s="46"/>
      <c r="ABI18" s="427" t="s">
        <v>160</v>
      </c>
      <c r="ABJ18" s="363">
        <v>62</v>
      </c>
      <c r="ABK18" s="24">
        <v>35</v>
      </c>
      <c r="ABL18" s="49">
        <v>0</v>
      </c>
      <c r="ABM18" s="46"/>
      <c r="ABN18" s="427" t="s">
        <v>160</v>
      </c>
      <c r="ABO18" s="363">
        <v>121</v>
      </c>
      <c r="ABP18" s="24">
        <v>85</v>
      </c>
      <c r="ABQ18" s="49">
        <v>0</v>
      </c>
      <c r="ABR18" s="46"/>
      <c r="ABS18" s="427" t="s">
        <v>160</v>
      </c>
      <c r="ABT18" s="363">
        <v>194</v>
      </c>
      <c r="ABU18" s="518"/>
      <c r="ABV18" s="49">
        <v>0</v>
      </c>
      <c r="ABW18" s="46"/>
      <c r="ABX18" s="427" t="s">
        <v>160</v>
      </c>
      <c r="ABY18" s="363">
        <v>100</v>
      </c>
      <c r="ABZ18" s="518"/>
      <c r="ACA18" s="480"/>
      <c r="ACB18" s="512" t="s">
        <v>11</v>
      </c>
      <c r="ACC18" s="458"/>
      <c r="ACD18" s="458"/>
      <c r="ACE18" s="458"/>
      <c r="ACF18" s="465"/>
      <c r="ACG18" s="49">
        <v>0</v>
      </c>
      <c r="ACH18" s="46"/>
      <c r="ACI18" s="427" t="s">
        <v>160</v>
      </c>
      <c r="ACJ18" s="363">
        <v>217</v>
      </c>
      <c r="ACK18" s="518"/>
      <c r="ACL18" s="49">
        <v>0</v>
      </c>
      <c r="ACM18" s="46"/>
      <c r="ACN18" s="427" t="s">
        <v>160</v>
      </c>
      <c r="ACO18" s="363">
        <v>233</v>
      </c>
      <c r="ACP18" s="24">
        <v>112</v>
      </c>
      <c r="ACQ18" s="49">
        <v>0</v>
      </c>
      <c r="ACR18" s="46"/>
      <c r="ACS18" s="427" t="s">
        <v>160</v>
      </c>
      <c r="ACT18" s="363">
        <v>5</v>
      </c>
      <c r="ACU18" s="518"/>
      <c r="ACV18" s="49">
        <v>0</v>
      </c>
      <c r="ACW18" s="46"/>
      <c r="ACX18" s="427" t="s">
        <v>160</v>
      </c>
      <c r="ACY18" s="363">
        <v>174</v>
      </c>
      <c r="ACZ18" s="24">
        <v>31</v>
      </c>
      <c r="ADA18" s="480"/>
      <c r="ADB18" s="512" t="s">
        <v>11</v>
      </c>
      <c r="ADC18" s="458"/>
      <c r="ADD18" s="458"/>
      <c r="ADE18" s="458"/>
      <c r="ADF18" s="465"/>
      <c r="ADG18" s="49">
        <v>0</v>
      </c>
      <c r="ADH18" s="46"/>
      <c r="ADI18" s="427" t="s">
        <v>160</v>
      </c>
      <c r="ADJ18" s="363">
        <v>309</v>
      </c>
      <c r="ADK18" s="24">
        <v>105</v>
      </c>
      <c r="ADL18" s="49">
        <v>7.9</v>
      </c>
      <c r="ADM18" s="46"/>
      <c r="ADN18" s="427" t="s">
        <v>160</v>
      </c>
      <c r="ADO18" s="363">
        <v>426</v>
      </c>
      <c r="ADP18" s="24">
        <v>278.89999999999998</v>
      </c>
      <c r="ADQ18" s="49">
        <v>0</v>
      </c>
      <c r="ADR18" s="46"/>
      <c r="ADS18" s="427" t="s">
        <v>160</v>
      </c>
      <c r="ADT18" s="363">
        <v>236</v>
      </c>
      <c r="ADU18" s="24">
        <v>195.1</v>
      </c>
      <c r="ADV18" s="49">
        <v>0</v>
      </c>
      <c r="ADW18" s="46"/>
      <c r="ADX18" s="427" t="s">
        <v>160</v>
      </c>
      <c r="ADY18" s="363">
        <v>267</v>
      </c>
      <c r="ADZ18" s="24">
        <v>230</v>
      </c>
      <c r="AEA18" s="480"/>
      <c r="AEB18" s="512" t="s">
        <v>11</v>
      </c>
      <c r="AEC18" s="458"/>
      <c r="AED18" s="458"/>
      <c r="AEE18" s="458"/>
      <c r="AEF18" s="465"/>
      <c r="AEG18" s="49">
        <v>18</v>
      </c>
      <c r="AEH18" s="46"/>
      <c r="AEI18" s="427" t="s">
        <v>160</v>
      </c>
      <c r="AEJ18" s="363">
        <v>405</v>
      </c>
      <c r="AEK18" s="24">
        <v>251.1</v>
      </c>
      <c r="AEL18" s="49">
        <v>0</v>
      </c>
      <c r="AEM18" s="46"/>
      <c r="AEN18" s="427" t="s">
        <v>160</v>
      </c>
      <c r="AEO18" s="363">
        <v>401</v>
      </c>
      <c r="AEP18" s="24">
        <f>214.8</f>
        <v>214.8</v>
      </c>
      <c r="AEQ18" s="49">
        <v>0</v>
      </c>
      <c r="AER18" s="46"/>
      <c r="AES18" s="427" t="s">
        <v>160</v>
      </c>
      <c r="AET18" s="363">
        <v>81</v>
      </c>
      <c r="AEU18" s="24">
        <v>147</v>
      </c>
      <c r="AEV18" s="49">
        <v>5.3</v>
      </c>
      <c r="AEW18" s="46"/>
      <c r="AEX18" s="427" t="s">
        <v>160</v>
      </c>
      <c r="AEY18" s="363">
        <v>648</v>
      </c>
      <c r="AEZ18" s="24">
        <v>454</v>
      </c>
      <c r="AFA18" s="480"/>
      <c r="AFB18" s="512" t="s">
        <v>11</v>
      </c>
      <c r="AFC18" s="458"/>
      <c r="AFD18" s="458"/>
      <c r="AFE18" s="458"/>
      <c r="AFF18" s="465"/>
      <c r="AFG18" s="49">
        <v>0</v>
      </c>
      <c r="AFH18" s="46"/>
      <c r="AFI18" s="427" t="s">
        <v>160</v>
      </c>
      <c r="AFJ18" s="363">
        <v>486</v>
      </c>
      <c r="AFK18" s="24">
        <v>313</v>
      </c>
      <c r="AFL18" s="429">
        <v>3.6</v>
      </c>
      <c r="AFM18" s="46"/>
      <c r="AFN18" s="427" t="s">
        <v>160</v>
      </c>
      <c r="AFO18" s="363">
        <v>504</v>
      </c>
      <c r="AFP18" s="24">
        <v>307</v>
      </c>
      <c r="AFQ18" s="430">
        <v>3</v>
      </c>
      <c r="AFR18" s="46"/>
      <c r="AFS18" s="427" t="s">
        <v>160</v>
      </c>
      <c r="AFT18" s="363">
        <v>469</v>
      </c>
      <c r="AFU18" s="24">
        <v>297</v>
      </c>
      <c r="AFV18" s="49">
        <v>0</v>
      </c>
      <c r="AFW18" s="46"/>
      <c r="AFX18" s="427" t="s">
        <v>160</v>
      </c>
      <c r="AFY18" s="363">
        <v>9</v>
      </c>
      <c r="AFZ18" s="518"/>
      <c r="AGA18" s="480"/>
      <c r="AGB18" s="512" t="s">
        <v>11</v>
      </c>
      <c r="AGC18" s="458"/>
      <c r="AGD18" s="458"/>
      <c r="AGE18" s="458"/>
      <c r="AGF18" s="465"/>
      <c r="AGG18" s="49">
        <v>1</v>
      </c>
      <c r="AGH18" s="46"/>
      <c r="AGI18" s="427" t="s">
        <v>160</v>
      </c>
      <c r="AGJ18" s="363">
        <v>547</v>
      </c>
      <c r="AGK18" s="24">
        <v>330</v>
      </c>
      <c r="AGL18" s="49">
        <v>1.2</v>
      </c>
      <c r="AGM18" s="46"/>
      <c r="AGN18" s="427" t="s">
        <v>160</v>
      </c>
      <c r="AGO18" s="363">
        <v>486</v>
      </c>
      <c r="AGP18" s="24">
        <v>401</v>
      </c>
      <c r="AGQ18" s="49">
        <v>0</v>
      </c>
      <c r="AGR18" s="46"/>
      <c r="AGS18" s="427" t="s">
        <v>160</v>
      </c>
      <c r="AGT18" s="363">
        <v>394</v>
      </c>
      <c r="AGU18" s="24">
        <v>240</v>
      </c>
      <c r="AGV18" s="49">
        <v>0</v>
      </c>
      <c r="AGW18" s="46"/>
      <c r="AGX18" s="427" t="s">
        <v>160</v>
      </c>
      <c r="AGY18" s="363">
        <v>445</v>
      </c>
      <c r="AGZ18" s="24">
        <v>299</v>
      </c>
      <c r="AHA18" s="480"/>
      <c r="AHB18" s="512" t="s">
        <v>11</v>
      </c>
      <c r="AHC18" s="458"/>
      <c r="AHD18" s="458"/>
      <c r="AHE18" s="458"/>
      <c r="AHF18" s="465"/>
      <c r="AHG18" s="49">
        <v>3</v>
      </c>
      <c r="AHH18" s="46"/>
      <c r="AHI18" s="427" t="s">
        <v>160</v>
      </c>
      <c r="AHJ18" s="363">
        <v>468.6</v>
      </c>
      <c r="AHK18" s="24">
        <v>367</v>
      </c>
      <c r="AHL18" s="49">
        <v>0</v>
      </c>
      <c r="AHM18" s="46"/>
      <c r="AHN18" s="427" t="s">
        <v>160</v>
      </c>
      <c r="AHO18" s="363">
        <v>401</v>
      </c>
      <c r="AHP18" s="24">
        <v>325</v>
      </c>
      <c r="AHQ18" s="49">
        <v>0</v>
      </c>
      <c r="AHR18" s="46"/>
      <c r="AHS18" s="427" t="s">
        <v>160</v>
      </c>
      <c r="AHT18" s="363">
        <v>228</v>
      </c>
      <c r="AHU18" s="24">
        <v>175</v>
      </c>
      <c r="AHV18" s="49">
        <v>0</v>
      </c>
      <c r="AHW18" s="46"/>
      <c r="AHX18" s="427" t="s">
        <v>160</v>
      </c>
      <c r="AHY18" s="363">
        <v>449</v>
      </c>
      <c r="AHZ18" s="24">
        <v>225</v>
      </c>
      <c r="AIA18" s="480"/>
      <c r="AIB18" s="512" t="s">
        <v>11</v>
      </c>
      <c r="AIC18" s="458"/>
      <c r="AID18" s="458"/>
      <c r="AIE18" s="458"/>
      <c r="AIF18" s="465"/>
      <c r="AIG18" s="49">
        <v>82</v>
      </c>
      <c r="AIH18" s="46"/>
      <c r="AII18" s="427" t="s">
        <v>160</v>
      </c>
      <c r="AIJ18" s="363">
        <v>649</v>
      </c>
      <c r="AIK18" s="24">
        <v>565</v>
      </c>
      <c r="AIL18" s="49">
        <v>5</v>
      </c>
      <c r="AIM18" s="46"/>
      <c r="AIN18" s="427" t="s">
        <v>160</v>
      </c>
      <c r="AIO18" s="363">
        <v>298</v>
      </c>
      <c r="AIP18" s="24">
        <v>176</v>
      </c>
      <c r="AIQ18" s="49">
        <v>0</v>
      </c>
      <c r="AIR18" s="46"/>
      <c r="AIS18" s="427" t="s">
        <v>160</v>
      </c>
      <c r="AIT18" s="363">
        <v>198</v>
      </c>
      <c r="AIU18" s="24">
        <v>206</v>
      </c>
      <c r="AIV18" s="49">
        <v>0</v>
      </c>
      <c r="AIW18" s="46"/>
      <c r="AIX18" s="427" t="s">
        <v>160</v>
      </c>
      <c r="AIY18" s="363">
        <v>18</v>
      </c>
      <c r="AIZ18" s="518"/>
      <c r="AJA18" s="480"/>
      <c r="AJB18" s="512" t="s">
        <v>11</v>
      </c>
      <c r="AJC18" s="458"/>
      <c r="AJD18" s="458"/>
      <c r="AJE18" s="458"/>
      <c r="AJF18" s="465"/>
      <c r="AJG18" s="49">
        <v>0</v>
      </c>
      <c r="AJH18" s="46"/>
      <c r="AJI18" s="427" t="s">
        <v>160</v>
      </c>
      <c r="AJJ18" s="363">
        <v>50</v>
      </c>
      <c r="AJK18" s="24">
        <v>157</v>
      </c>
      <c r="AJL18" s="49">
        <v>0</v>
      </c>
      <c r="AJM18" s="46"/>
      <c r="AJN18" s="427" t="s">
        <v>160</v>
      </c>
      <c r="AJO18" s="363">
        <v>199</v>
      </c>
      <c r="AJP18" s="518"/>
      <c r="AJQ18" s="49">
        <v>2</v>
      </c>
      <c r="AJR18" s="46"/>
      <c r="AJS18" s="427" t="s">
        <v>160</v>
      </c>
      <c r="AJT18" s="363">
        <v>328</v>
      </c>
      <c r="AJU18" s="24">
        <v>174</v>
      </c>
      <c r="AJV18" s="49">
        <v>1.8</v>
      </c>
      <c r="AJW18" s="46"/>
      <c r="AJX18" s="427" t="s">
        <v>160</v>
      </c>
      <c r="AJY18" s="363">
        <v>475</v>
      </c>
      <c r="AJZ18" s="24">
        <v>389</v>
      </c>
      <c r="AKA18" s="480"/>
      <c r="AKB18" s="512" t="s">
        <v>11</v>
      </c>
      <c r="AKC18" s="458"/>
      <c r="AKD18" s="458"/>
      <c r="AKE18" s="458"/>
      <c r="AKF18" s="465"/>
      <c r="AKG18" s="49">
        <v>2.2999999999999998</v>
      </c>
      <c r="AKH18" s="46"/>
      <c r="AKI18" s="427" t="s">
        <v>160</v>
      </c>
      <c r="AKJ18" s="363">
        <v>467</v>
      </c>
      <c r="AKK18" s="24">
        <v>365</v>
      </c>
      <c r="AKL18" s="49">
        <v>0</v>
      </c>
      <c r="AKM18" s="46"/>
      <c r="AKN18" s="427" t="s">
        <v>160</v>
      </c>
      <c r="AKO18" s="363">
        <v>241</v>
      </c>
      <c r="AKP18" s="518"/>
      <c r="AKQ18" s="49">
        <v>0</v>
      </c>
      <c r="AKR18" s="46"/>
      <c r="AKS18" s="427" t="s">
        <v>160</v>
      </c>
      <c r="AKT18" s="363">
        <v>248</v>
      </c>
      <c r="AKU18" s="24">
        <v>140</v>
      </c>
      <c r="AKV18" s="49"/>
      <c r="AKW18" s="46"/>
      <c r="AKX18" s="427"/>
      <c r="AKY18" s="363"/>
      <c r="AKZ18" s="24"/>
    </row>
    <row r="19" spans="1:988" ht="45" customHeight="1" x14ac:dyDescent="0.4">
      <c r="A19" s="525" t="s">
        <v>284</v>
      </c>
      <c r="B19" s="20"/>
      <c r="C19" s="457" t="s">
        <v>67</v>
      </c>
      <c r="D19" s="459"/>
      <c r="E19" s="459"/>
      <c r="F19" s="424" t="s">
        <v>4</v>
      </c>
      <c r="G19" s="501">
        <v>875</v>
      </c>
      <c r="H19" s="502"/>
      <c r="I19" s="502"/>
      <c r="J19" s="503"/>
      <c r="K19" s="22">
        <v>854.4</v>
      </c>
      <c r="L19" s="501">
        <v>782.4</v>
      </c>
      <c r="M19" s="502"/>
      <c r="N19" s="502"/>
      <c r="O19" s="503"/>
      <c r="P19" s="22">
        <v>798.8</v>
      </c>
      <c r="Q19" s="501">
        <v>738</v>
      </c>
      <c r="R19" s="502"/>
      <c r="S19" s="502"/>
      <c r="T19" s="503"/>
      <c r="U19" s="22">
        <v>736.4</v>
      </c>
      <c r="V19" s="501">
        <v>835</v>
      </c>
      <c r="W19" s="502"/>
      <c r="X19" s="502"/>
      <c r="Y19" s="503"/>
      <c r="Z19" s="22">
        <f>888.2</f>
        <v>888.2</v>
      </c>
      <c r="AA19" s="525" t="s">
        <v>284</v>
      </c>
      <c r="AB19" s="20"/>
      <c r="AC19" s="457" t="s">
        <v>67</v>
      </c>
      <c r="AD19" s="459"/>
      <c r="AE19" s="459"/>
      <c r="AF19" s="424" t="s">
        <v>4</v>
      </c>
      <c r="AG19" s="501">
        <f>869.6-40</f>
        <v>829.6</v>
      </c>
      <c r="AH19" s="502"/>
      <c r="AI19" s="502"/>
      <c r="AJ19" s="503"/>
      <c r="AK19" s="22">
        <v>884</v>
      </c>
      <c r="AL19" s="501">
        <v>833</v>
      </c>
      <c r="AM19" s="502"/>
      <c r="AN19" s="502"/>
      <c r="AO19" s="503"/>
      <c r="AP19" s="22">
        <v>832</v>
      </c>
      <c r="AQ19" s="501">
        <v>844</v>
      </c>
      <c r="AR19" s="502"/>
      <c r="AS19" s="502"/>
      <c r="AT19" s="503"/>
      <c r="AU19" s="22">
        <v>863</v>
      </c>
      <c r="AV19" s="501">
        <v>828.7</v>
      </c>
      <c r="AW19" s="502"/>
      <c r="AX19" s="502"/>
      <c r="AY19" s="503"/>
      <c r="AZ19" s="22">
        <v>881</v>
      </c>
      <c r="BA19" s="525" t="s">
        <v>284</v>
      </c>
      <c r="BB19" s="20"/>
      <c r="BC19" s="457" t="s">
        <v>67</v>
      </c>
      <c r="BD19" s="459"/>
      <c r="BE19" s="459"/>
      <c r="BF19" s="424" t="s">
        <v>4</v>
      </c>
      <c r="BG19" s="501">
        <v>758</v>
      </c>
      <c r="BH19" s="502"/>
      <c r="BI19" s="502"/>
      <c r="BJ19" s="503"/>
      <c r="BK19" s="22">
        <v>784.2</v>
      </c>
      <c r="BL19" s="501">
        <v>707</v>
      </c>
      <c r="BM19" s="502"/>
      <c r="BN19" s="502"/>
      <c r="BO19" s="503"/>
      <c r="BP19" s="22">
        <v>738</v>
      </c>
      <c r="BQ19" s="501">
        <v>784</v>
      </c>
      <c r="BR19" s="502"/>
      <c r="BS19" s="502"/>
      <c r="BT19" s="503"/>
      <c r="BU19" s="22">
        <v>850</v>
      </c>
      <c r="BV19" s="501">
        <v>783</v>
      </c>
      <c r="BW19" s="502"/>
      <c r="BX19" s="502"/>
      <c r="BY19" s="503"/>
      <c r="BZ19" s="22">
        <v>890.80000000000007</v>
      </c>
      <c r="CA19" s="525" t="s">
        <v>284</v>
      </c>
      <c r="CB19" s="20"/>
      <c r="CC19" s="457" t="s">
        <v>67</v>
      </c>
      <c r="CD19" s="459"/>
      <c r="CE19" s="459"/>
      <c r="CF19" s="424" t="s">
        <v>4</v>
      </c>
      <c r="CG19" s="501">
        <v>783</v>
      </c>
      <c r="CH19" s="502"/>
      <c r="CI19" s="502"/>
      <c r="CJ19" s="503"/>
      <c r="CK19" s="22">
        <v>885.2</v>
      </c>
      <c r="CL19" s="501">
        <f>791.3-33</f>
        <v>758.3</v>
      </c>
      <c r="CM19" s="502"/>
      <c r="CN19" s="502"/>
      <c r="CO19" s="503"/>
      <c r="CP19" s="22">
        <v>797</v>
      </c>
      <c r="CQ19" s="501">
        <v>710.5</v>
      </c>
      <c r="CR19" s="502"/>
      <c r="CS19" s="502"/>
      <c r="CT19" s="503"/>
      <c r="CU19" s="22">
        <v>757</v>
      </c>
      <c r="CV19" s="501">
        <v>789</v>
      </c>
      <c r="CW19" s="502"/>
      <c r="CX19" s="502"/>
      <c r="CY19" s="503"/>
      <c r="CZ19" s="22">
        <v>824</v>
      </c>
      <c r="DA19" s="525" t="s">
        <v>284</v>
      </c>
      <c r="DB19" s="20"/>
      <c r="DC19" s="457" t="s">
        <v>67</v>
      </c>
      <c r="DD19" s="459"/>
      <c r="DE19" s="459"/>
      <c r="DF19" s="424" t="s">
        <v>4</v>
      </c>
      <c r="DG19" s="501">
        <v>807</v>
      </c>
      <c r="DH19" s="502"/>
      <c r="DI19" s="502"/>
      <c r="DJ19" s="503"/>
      <c r="DK19" s="22">
        <v>897</v>
      </c>
      <c r="DL19" s="501">
        <v>820</v>
      </c>
      <c r="DM19" s="502"/>
      <c r="DN19" s="502"/>
      <c r="DO19" s="503"/>
      <c r="DP19" s="22">
        <v>877.8</v>
      </c>
      <c r="DQ19" s="501">
        <f>882.4-33</f>
        <v>849.4</v>
      </c>
      <c r="DR19" s="502"/>
      <c r="DS19" s="502"/>
      <c r="DT19" s="503"/>
      <c r="DU19" s="22">
        <v>886.6</v>
      </c>
      <c r="DV19" s="501">
        <f>749.4-48</f>
        <v>701.4</v>
      </c>
      <c r="DW19" s="502"/>
      <c r="DX19" s="502"/>
      <c r="DY19" s="503"/>
      <c r="DZ19" s="22">
        <v>738</v>
      </c>
      <c r="EA19" s="525" t="s">
        <v>284</v>
      </c>
      <c r="EB19" s="20"/>
      <c r="EC19" s="457" t="s">
        <v>67</v>
      </c>
      <c r="ED19" s="459"/>
      <c r="EE19" s="459"/>
      <c r="EF19" s="424" t="s">
        <v>4</v>
      </c>
      <c r="EG19" s="501">
        <v>838</v>
      </c>
      <c r="EH19" s="502"/>
      <c r="EI19" s="502"/>
      <c r="EJ19" s="503"/>
      <c r="EK19" s="22">
        <f>910.8</f>
        <v>910.8</v>
      </c>
      <c r="EL19" s="501">
        <v>876</v>
      </c>
      <c r="EM19" s="502"/>
      <c r="EN19" s="502"/>
      <c r="EO19" s="503"/>
      <c r="EP19" s="22">
        <v>911</v>
      </c>
      <c r="EQ19" s="501">
        <f>737.8-33</f>
        <v>704.8</v>
      </c>
      <c r="ER19" s="502"/>
      <c r="ES19" s="502"/>
      <c r="ET19" s="503"/>
      <c r="EU19" s="22">
        <v>792.8</v>
      </c>
      <c r="EV19" s="501">
        <v>619</v>
      </c>
      <c r="EW19" s="502"/>
      <c r="EX19" s="502"/>
      <c r="EY19" s="503"/>
      <c r="EZ19" s="22">
        <f>697</f>
        <v>697</v>
      </c>
      <c r="FA19" s="525" t="s">
        <v>284</v>
      </c>
      <c r="FB19" s="20"/>
      <c r="FC19" s="457" t="s">
        <v>67</v>
      </c>
      <c r="FD19" s="459"/>
      <c r="FE19" s="459"/>
      <c r="FF19" s="424" t="s">
        <v>4</v>
      </c>
      <c r="FG19" s="501">
        <v>792</v>
      </c>
      <c r="FH19" s="502"/>
      <c r="FI19" s="502"/>
      <c r="FJ19" s="503"/>
      <c r="FK19" s="22">
        <v>751</v>
      </c>
      <c r="FL19" s="501">
        <f>708-39</f>
        <v>669</v>
      </c>
      <c r="FM19" s="502"/>
      <c r="FN19" s="502"/>
      <c r="FO19" s="503"/>
      <c r="FP19" s="22">
        <v>733</v>
      </c>
      <c r="FQ19" s="501">
        <v>637</v>
      </c>
      <c r="FR19" s="502"/>
      <c r="FS19" s="502"/>
      <c r="FT19" s="503"/>
      <c r="FU19" s="22">
        <v>718</v>
      </c>
      <c r="FV19" s="501">
        <v>643</v>
      </c>
      <c r="FW19" s="502"/>
      <c r="FX19" s="502"/>
      <c r="FY19" s="503"/>
      <c r="FZ19" s="22">
        <v>717</v>
      </c>
      <c r="GA19" s="525" t="s">
        <v>284</v>
      </c>
      <c r="GB19" s="20"/>
      <c r="GC19" s="457" t="s">
        <v>67</v>
      </c>
      <c r="GD19" s="459"/>
      <c r="GE19" s="459"/>
      <c r="GF19" s="424" t="s">
        <v>4</v>
      </c>
      <c r="GG19" s="501">
        <v>750</v>
      </c>
      <c r="GH19" s="502"/>
      <c r="GI19" s="502"/>
      <c r="GJ19" s="503"/>
      <c r="GK19" s="22">
        <v>810</v>
      </c>
      <c r="GL19" s="501">
        <v>720</v>
      </c>
      <c r="GM19" s="502"/>
      <c r="GN19" s="502"/>
      <c r="GO19" s="503"/>
      <c r="GP19" s="22">
        <v>851.2</v>
      </c>
      <c r="GQ19" s="501">
        <v>683</v>
      </c>
      <c r="GR19" s="502"/>
      <c r="GS19" s="502"/>
      <c r="GT19" s="503"/>
      <c r="GU19" s="22">
        <v>769</v>
      </c>
      <c r="GV19" s="501">
        <v>736</v>
      </c>
      <c r="GW19" s="502"/>
      <c r="GX19" s="502"/>
      <c r="GY19" s="503"/>
      <c r="GZ19" s="22">
        <v>838</v>
      </c>
      <c r="HA19" s="525" t="s">
        <v>284</v>
      </c>
      <c r="HB19" s="20"/>
      <c r="HC19" s="457" t="s">
        <v>67</v>
      </c>
      <c r="HD19" s="459"/>
      <c r="HE19" s="459"/>
      <c r="HF19" s="424" t="s">
        <v>4</v>
      </c>
      <c r="HG19" s="501">
        <v>705</v>
      </c>
      <c r="HH19" s="502"/>
      <c r="HI19" s="502"/>
      <c r="HJ19" s="503"/>
      <c r="HK19" s="22">
        <v>677</v>
      </c>
      <c r="HL19" s="501">
        <v>863</v>
      </c>
      <c r="HM19" s="502"/>
      <c r="HN19" s="502"/>
      <c r="HO19" s="503"/>
      <c r="HP19" s="22">
        <v>845</v>
      </c>
      <c r="HQ19" s="501">
        <v>829</v>
      </c>
      <c r="HR19" s="502"/>
      <c r="HS19" s="502"/>
      <c r="HT19" s="503"/>
      <c r="HU19" s="22">
        <f>903.8</f>
        <v>903.8</v>
      </c>
      <c r="HV19" s="501">
        <f>914.1-39</f>
        <v>875.1</v>
      </c>
      <c r="HW19" s="502"/>
      <c r="HX19" s="502"/>
      <c r="HY19" s="503"/>
      <c r="HZ19" s="22">
        <v>955</v>
      </c>
      <c r="IA19" s="525" t="s">
        <v>284</v>
      </c>
      <c r="IB19" s="20"/>
      <c r="IC19" s="457" t="s">
        <v>67</v>
      </c>
      <c r="ID19" s="459"/>
      <c r="IE19" s="459"/>
      <c r="IF19" s="424" t="s">
        <v>4</v>
      </c>
      <c r="IG19" s="501">
        <f>802-67</f>
        <v>735</v>
      </c>
      <c r="IH19" s="502"/>
      <c r="II19" s="502"/>
      <c r="IJ19" s="503"/>
      <c r="IK19" s="22">
        <v>803</v>
      </c>
      <c r="IL19" s="501">
        <v>749</v>
      </c>
      <c r="IM19" s="502"/>
      <c r="IN19" s="502"/>
      <c r="IO19" s="503"/>
      <c r="IP19" s="22">
        <f>819.2</f>
        <v>819.2</v>
      </c>
      <c r="IQ19" s="501">
        <v>735.3</v>
      </c>
      <c r="IR19" s="502"/>
      <c r="IS19" s="502"/>
      <c r="IT19" s="503"/>
      <c r="IU19" s="22">
        <v>789</v>
      </c>
      <c r="IV19" s="501">
        <v>948</v>
      </c>
      <c r="IW19" s="502"/>
      <c r="IX19" s="502"/>
      <c r="IY19" s="503"/>
      <c r="IZ19" s="22">
        <v>1024</v>
      </c>
      <c r="JA19" s="525" t="s">
        <v>284</v>
      </c>
      <c r="JB19" s="20"/>
      <c r="JC19" s="457" t="s">
        <v>67</v>
      </c>
      <c r="JD19" s="459"/>
      <c r="JE19" s="459"/>
      <c r="JF19" s="424" t="s">
        <v>4</v>
      </c>
      <c r="JG19" s="501">
        <v>824</v>
      </c>
      <c r="JH19" s="502"/>
      <c r="JI19" s="502"/>
      <c r="JJ19" s="503"/>
      <c r="JK19" s="22">
        <v>867</v>
      </c>
      <c r="JL19" s="501">
        <v>1077</v>
      </c>
      <c r="JM19" s="502"/>
      <c r="JN19" s="502"/>
      <c r="JO19" s="503"/>
      <c r="JP19" s="22">
        <v>1060</v>
      </c>
      <c r="JQ19" s="501">
        <f>1047.2-85</f>
        <v>962.2</v>
      </c>
      <c r="JR19" s="502"/>
      <c r="JS19" s="502"/>
      <c r="JT19" s="503"/>
      <c r="JU19" s="22">
        <v>999</v>
      </c>
      <c r="JV19" s="501">
        <f>1075-87</f>
        <v>988</v>
      </c>
      <c r="JW19" s="502"/>
      <c r="JX19" s="502"/>
      <c r="JY19" s="503"/>
      <c r="JZ19" s="22">
        <v>1145</v>
      </c>
      <c r="KA19" s="525" t="s">
        <v>284</v>
      </c>
      <c r="KB19" s="20"/>
      <c r="KC19" s="457" t="s">
        <v>67</v>
      </c>
      <c r="KD19" s="459"/>
      <c r="KE19" s="459"/>
      <c r="KF19" s="424" t="s">
        <v>4</v>
      </c>
      <c r="KG19" s="501">
        <f>975.5</f>
        <v>975.5</v>
      </c>
      <c r="KH19" s="502"/>
      <c r="KI19" s="502"/>
      <c r="KJ19" s="503"/>
      <c r="KK19" s="22">
        <v>1032</v>
      </c>
      <c r="KL19" s="501">
        <v>866</v>
      </c>
      <c r="KM19" s="502"/>
      <c r="KN19" s="502"/>
      <c r="KO19" s="503"/>
      <c r="KP19" s="22">
        <v>1068</v>
      </c>
      <c r="KQ19" s="501">
        <f>887.2-34</f>
        <v>853.2</v>
      </c>
      <c r="KR19" s="502"/>
      <c r="KS19" s="502"/>
      <c r="KT19" s="503"/>
      <c r="KU19" s="22">
        <v>939.2</v>
      </c>
      <c r="KV19" s="501">
        <v>791</v>
      </c>
      <c r="KW19" s="502"/>
      <c r="KX19" s="502"/>
      <c r="KY19" s="503"/>
      <c r="KZ19" s="22">
        <v>829</v>
      </c>
      <c r="LA19" s="525" t="s">
        <v>284</v>
      </c>
      <c r="LB19" s="20"/>
      <c r="LC19" s="457" t="s">
        <v>67</v>
      </c>
      <c r="LD19" s="459"/>
      <c r="LE19" s="459"/>
      <c r="LF19" s="424" t="s">
        <v>4</v>
      </c>
      <c r="LG19" s="501">
        <f>960.7-73</f>
        <v>887.7</v>
      </c>
      <c r="LH19" s="502"/>
      <c r="LI19" s="502"/>
      <c r="LJ19" s="503"/>
      <c r="LK19" s="22">
        <v>1011</v>
      </c>
      <c r="LL19" s="501">
        <v>747</v>
      </c>
      <c r="LM19" s="502"/>
      <c r="LN19" s="502"/>
      <c r="LO19" s="503"/>
      <c r="LP19" s="22">
        <v>894.6</v>
      </c>
      <c r="LQ19" s="501">
        <v>792</v>
      </c>
      <c r="LR19" s="502"/>
      <c r="LS19" s="502"/>
      <c r="LT19" s="503"/>
      <c r="LU19" s="22">
        <v>791</v>
      </c>
      <c r="LV19" s="501">
        <v>692</v>
      </c>
      <c r="LW19" s="502"/>
      <c r="LX19" s="502"/>
      <c r="LY19" s="503"/>
      <c r="LZ19" s="22">
        <v>799.4</v>
      </c>
      <c r="MA19" s="525" t="s">
        <v>284</v>
      </c>
      <c r="MB19" s="20"/>
      <c r="MC19" s="457" t="s">
        <v>67</v>
      </c>
      <c r="MD19" s="459"/>
      <c r="ME19" s="459"/>
      <c r="MF19" s="424" t="s">
        <v>4</v>
      </c>
      <c r="MG19" s="501">
        <v>806</v>
      </c>
      <c r="MH19" s="502"/>
      <c r="MI19" s="502"/>
      <c r="MJ19" s="503"/>
      <c r="MK19" s="22">
        <v>850</v>
      </c>
      <c r="ML19" s="501">
        <v>829</v>
      </c>
      <c r="MM19" s="502"/>
      <c r="MN19" s="502"/>
      <c r="MO19" s="503"/>
      <c r="MP19" s="22">
        <v>857</v>
      </c>
      <c r="MQ19" s="501">
        <v>856</v>
      </c>
      <c r="MR19" s="502"/>
      <c r="MS19" s="502"/>
      <c r="MT19" s="503"/>
      <c r="MU19" s="22">
        <v>919.8</v>
      </c>
      <c r="MV19" s="501">
        <v>872</v>
      </c>
      <c r="MW19" s="502"/>
      <c r="MX19" s="502"/>
      <c r="MY19" s="503"/>
      <c r="MZ19" s="22">
        <v>946.4</v>
      </c>
      <c r="NA19" s="525" t="s">
        <v>284</v>
      </c>
      <c r="NB19" s="20"/>
      <c r="NC19" s="457" t="s">
        <v>67</v>
      </c>
      <c r="ND19" s="459"/>
      <c r="NE19" s="459"/>
      <c r="NF19" s="424" t="s">
        <v>4</v>
      </c>
      <c r="NG19" s="501">
        <v>796</v>
      </c>
      <c r="NH19" s="502"/>
      <c r="NI19" s="502"/>
      <c r="NJ19" s="503"/>
      <c r="NK19" s="22">
        <v>901.6</v>
      </c>
      <c r="NL19" s="501">
        <f>771.3-24</f>
        <v>747.3</v>
      </c>
      <c r="NM19" s="502"/>
      <c r="NN19" s="502"/>
      <c r="NO19" s="503"/>
      <c r="NP19" s="22">
        <f>800.2</f>
        <v>800.2</v>
      </c>
      <c r="NQ19" s="501">
        <v>824</v>
      </c>
      <c r="NR19" s="502"/>
      <c r="NS19" s="502"/>
      <c r="NT19" s="503"/>
      <c r="NU19" s="22">
        <v>864</v>
      </c>
      <c r="NV19" s="501">
        <v>793</v>
      </c>
      <c r="NW19" s="502"/>
      <c r="NX19" s="502"/>
      <c r="NY19" s="503"/>
      <c r="NZ19" s="22">
        <v>856</v>
      </c>
      <c r="OA19" s="525" t="s">
        <v>284</v>
      </c>
      <c r="OB19" s="20"/>
      <c r="OC19" s="457" t="s">
        <v>67</v>
      </c>
      <c r="OD19" s="459"/>
      <c r="OE19" s="459"/>
      <c r="OF19" s="424" t="s">
        <v>4</v>
      </c>
      <c r="OG19" s="501">
        <v>764</v>
      </c>
      <c r="OH19" s="502"/>
      <c r="OI19" s="502"/>
      <c r="OJ19" s="503"/>
      <c r="OK19" s="22">
        <v>878.6</v>
      </c>
      <c r="OL19" s="501">
        <v>635</v>
      </c>
      <c r="OM19" s="502"/>
      <c r="ON19" s="502"/>
      <c r="OO19" s="503"/>
      <c r="OP19" s="22">
        <v>792</v>
      </c>
      <c r="OQ19" s="501">
        <v>804</v>
      </c>
      <c r="OR19" s="502"/>
      <c r="OS19" s="502"/>
      <c r="OT19" s="503"/>
      <c r="OU19" s="22">
        <v>870</v>
      </c>
      <c r="OV19" s="501">
        <v>814</v>
      </c>
      <c r="OW19" s="502"/>
      <c r="OX19" s="502"/>
      <c r="OY19" s="503"/>
      <c r="OZ19" s="22">
        <f>829.4</f>
        <v>829.4</v>
      </c>
      <c r="PA19" s="525" t="s">
        <v>284</v>
      </c>
      <c r="PB19" s="20"/>
      <c r="PC19" s="457" t="s">
        <v>67</v>
      </c>
      <c r="PD19" s="459"/>
      <c r="PE19" s="459"/>
      <c r="PF19" s="424" t="s">
        <v>4</v>
      </c>
      <c r="PG19" s="501">
        <v>787</v>
      </c>
      <c r="PH19" s="502"/>
      <c r="PI19" s="502"/>
      <c r="PJ19" s="503"/>
      <c r="PK19" s="22">
        <v>834</v>
      </c>
      <c r="PL19" s="501">
        <v>783</v>
      </c>
      <c r="PM19" s="502"/>
      <c r="PN19" s="502"/>
      <c r="PO19" s="503"/>
      <c r="PP19" s="22">
        <v>852.8</v>
      </c>
      <c r="PQ19" s="501">
        <v>681</v>
      </c>
      <c r="PR19" s="502"/>
      <c r="PS19" s="502"/>
      <c r="PT19" s="503"/>
      <c r="PU19" s="22">
        <v>773.2</v>
      </c>
      <c r="PV19" s="501">
        <v>641</v>
      </c>
      <c r="PW19" s="502"/>
      <c r="PX19" s="502"/>
      <c r="PY19" s="503"/>
      <c r="PZ19" s="22">
        <f>699.8</f>
        <v>699.8</v>
      </c>
      <c r="QA19" s="525" t="s">
        <v>284</v>
      </c>
      <c r="QB19" s="20"/>
      <c r="QC19" s="457" t="s">
        <v>67</v>
      </c>
      <c r="QD19" s="459"/>
      <c r="QE19" s="459"/>
      <c r="QF19" s="424" t="s">
        <v>4</v>
      </c>
      <c r="QG19" s="501">
        <v>803</v>
      </c>
      <c r="QH19" s="502"/>
      <c r="QI19" s="502"/>
      <c r="QJ19" s="503"/>
      <c r="QK19" s="22">
        <f>822.8</f>
        <v>822.8</v>
      </c>
      <c r="QL19" s="501">
        <v>834</v>
      </c>
      <c r="QM19" s="502"/>
      <c r="QN19" s="502"/>
      <c r="QO19" s="503"/>
      <c r="QP19" s="22">
        <v>865</v>
      </c>
      <c r="QQ19" s="501">
        <f>765-22</f>
        <v>743</v>
      </c>
      <c r="QR19" s="502"/>
      <c r="QS19" s="502"/>
      <c r="QT19" s="503"/>
      <c r="QU19" s="22">
        <f>829.8</f>
        <v>829.8</v>
      </c>
      <c r="QV19" s="501">
        <v>832</v>
      </c>
      <c r="QW19" s="502"/>
      <c r="QX19" s="502"/>
      <c r="QY19" s="503"/>
      <c r="QZ19" s="22">
        <v>851</v>
      </c>
      <c r="RA19" s="525" t="s">
        <v>284</v>
      </c>
      <c r="RB19" s="20"/>
      <c r="RC19" s="457" t="s">
        <v>67</v>
      </c>
      <c r="RD19" s="459"/>
      <c r="RE19" s="459"/>
      <c r="RF19" s="424" t="s">
        <v>4</v>
      </c>
      <c r="RG19" s="501">
        <v>745</v>
      </c>
      <c r="RH19" s="502"/>
      <c r="RI19" s="502"/>
      <c r="RJ19" s="503"/>
      <c r="RK19" s="22">
        <v>775</v>
      </c>
      <c r="RL19" s="501">
        <v>701</v>
      </c>
      <c r="RM19" s="502"/>
      <c r="RN19" s="502"/>
      <c r="RO19" s="503"/>
      <c r="RP19" s="22">
        <v>715</v>
      </c>
      <c r="RQ19" s="501">
        <v>802</v>
      </c>
      <c r="RR19" s="502"/>
      <c r="RS19" s="502"/>
      <c r="RT19" s="503"/>
      <c r="RU19" s="414">
        <v>845</v>
      </c>
      <c r="RV19" s="571">
        <v>827</v>
      </c>
      <c r="RW19" s="502"/>
      <c r="RX19" s="502"/>
      <c r="RY19" s="572"/>
      <c r="RZ19" s="22">
        <v>861</v>
      </c>
      <c r="SA19" s="525" t="s">
        <v>284</v>
      </c>
      <c r="SB19" s="20"/>
      <c r="SC19" s="457" t="s">
        <v>67</v>
      </c>
      <c r="SD19" s="459"/>
      <c r="SE19" s="459"/>
      <c r="SF19" s="424" t="s">
        <v>4</v>
      </c>
      <c r="SG19" s="501">
        <v>713</v>
      </c>
      <c r="SH19" s="502"/>
      <c r="SI19" s="502"/>
      <c r="SJ19" s="503"/>
      <c r="SK19" s="22">
        <v>774</v>
      </c>
      <c r="SL19" s="501">
        <v>794</v>
      </c>
      <c r="SM19" s="502"/>
      <c r="SN19" s="502"/>
      <c r="SO19" s="503"/>
      <c r="SP19" s="22">
        <v>816</v>
      </c>
      <c r="SQ19" s="501">
        <v>802</v>
      </c>
      <c r="SR19" s="502"/>
      <c r="SS19" s="502"/>
      <c r="ST19" s="503"/>
      <c r="SU19" s="22">
        <v>842</v>
      </c>
      <c r="SV19" s="501">
        <v>760</v>
      </c>
      <c r="SW19" s="502"/>
      <c r="SX19" s="502"/>
      <c r="SY19" s="503"/>
      <c r="SZ19" s="22">
        <v>884</v>
      </c>
      <c r="TA19" s="525" t="s">
        <v>284</v>
      </c>
      <c r="TB19" s="20"/>
      <c r="TC19" s="457" t="s">
        <v>67</v>
      </c>
      <c r="TD19" s="459"/>
      <c r="TE19" s="459"/>
      <c r="TF19" s="424" t="s">
        <v>4</v>
      </c>
      <c r="TG19" s="501">
        <v>779</v>
      </c>
      <c r="TH19" s="502"/>
      <c r="TI19" s="502"/>
      <c r="TJ19" s="503"/>
      <c r="TK19" s="22">
        <v>841.8</v>
      </c>
      <c r="TL19" s="501">
        <v>764</v>
      </c>
      <c r="TM19" s="502"/>
      <c r="TN19" s="502"/>
      <c r="TO19" s="503"/>
      <c r="TP19" s="22">
        <v>823.4</v>
      </c>
      <c r="TQ19" s="501">
        <f>810-41</f>
        <v>769</v>
      </c>
      <c r="TR19" s="502"/>
      <c r="TS19" s="502"/>
      <c r="TT19" s="503"/>
      <c r="TU19" s="22">
        <v>765</v>
      </c>
      <c r="TV19" s="501">
        <v>691</v>
      </c>
      <c r="TW19" s="502"/>
      <c r="TX19" s="502"/>
      <c r="TY19" s="503"/>
      <c r="TZ19" s="22">
        <v>705</v>
      </c>
      <c r="UA19" s="525" t="s">
        <v>284</v>
      </c>
      <c r="UB19" s="20"/>
      <c r="UC19" s="457" t="s">
        <v>67</v>
      </c>
      <c r="UD19" s="459"/>
      <c r="UE19" s="459"/>
      <c r="UF19" s="424" t="s">
        <v>4</v>
      </c>
      <c r="UG19" s="501">
        <v>750</v>
      </c>
      <c r="UH19" s="502"/>
      <c r="UI19" s="502"/>
      <c r="UJ19" s="503"/>
      <c r="UK19" s="414">
        <v>824</v>
      </c>
      <c r="UL19" s="501">
        <v>745</v>
      </c>
      <c r="UM19" s="502"/>
      <c r="UN19" s="502"/>
      <c r="UO19" s="503"/>
      <c r="UP19" s="22">
        <v>797</v>
      </c>
      <c r="UQ19" s="501">
        <v>873</v>
      </c>
      <c r="UR19" s="502"/>
      <c r="US19" s="502"/>
      <c r="UT19" s="503"/>
      <c r="UU19" s="22">
        <v>962</v>
      </c>
      <c r="UV19" s="501">
        <v>960</v>
      </c>
      <c r="UW19" s="502"/>
      <c r="UX19" s="502"/>
      <c r="UY19" s="503"/>
      <c r="UZ19" s="22">
        <v>992</v>
      </c>
      <c r="VA19" s="525" t="s">
        <v>284</v>
      </c>
      <c r="VB19" s="20"/>
      <c r="VC19" s="457" t="s">
        <v>67</v>
      </c>
      <c r="VD19" s="459"/>
      <c r="VE19" s="459"/>
      <c r="VF19" s="424" t="s">
        <v>4</v>
      </c>
      <c r="VG19" s="501">
        <v>866</v>
      </c>
      <c r="VH19" s="502"/>
      <c r="VI19" s="502"/>
      <c r="VJ19" s="503"/>
      <c r="VK19" s="22">
        <v>889</v>
      </c>
      <c r="VL19" s="501">
        <v>741</v>
      </c>
      <c r="VM19" s="502"/>
      <c r="VN19" s="502"/>
      <c r="VO19" s="503"/>
      <c r="VP19" s="22">
        <v>885</v>
      </c>
      <c r="VQ19" s="501">
        <v>666</v>
      </c>
      <c r="VR19" s="502"/>
      <c r="VS19" s="502"/>
      <c r="VT19" s="503"/>
      <c r="VU19" s="22">
        <v>840</v>
      </c>
      <c r="VV19" s="501">
        <v>604</v>
      </c>
      <c r="VW19" s="502"/>
      <c r="VX19" s="502"/>
      <c r="VY19" s="503"/>
      <c r="VZ19" s="22">
        <v>726</v>
      </c>
      <c r="WA19" s="525" t="s">
        <v>284</v>
      </c>
      <c r="WB19" s="20"/>
      <c r="WC19" s="457" t="s">
        <v>67</v>
      </c>
      <c r="WD19" s="459"/>
      <c r="WE19" s="459"/>
      <c r="WF19" s="424" t="s">
        <v>4</v>
      </c>
      <c r="WG19" s="501">
        <v>639</v>
      </c>
      <c r="WH19" s="502"/>
      <c r="WI19" s="502"/>
      <c r="WJ19" s="503"/>
      <c r="WK19" s="22">
        <v>746</v>
      </c>
      <c r="WL19" s="501">
        <v>669</v>
      </c>
      <c r="WM19" s="502"/>
      <c r="WN19" s="502"/>
      <c r="WO19" s="503"/>
      <c r="WP19" s="22">
        <v>825</v>
      </c>
      <c r="WQ19" s="501">
        <v>910</v>
      </c>
      <c r="WR19" s="502"/>
      <c r="WS19" s="502"/>
      <c r="WT19" s="503"/>
      <c r="WU19" s="22">
        <v>924</v>
      </c>
      <c r="WV19" s="501">
        <v>910</v>
      </c>
      <c r="WW19" s="502"/>
      <c r="WX19" s="502"/>
      <c r="WY19" s="503"/>
      <c r="WZ19" s="22">
        <v>1015</v>
      </c>
      <c r="XA19" s="525" t="s">
        <v>284</v>
      </c>
      <c r="XB19" s="20"/>
      <c r="XC19" s="457" t="s">
        <v>67</v>
      </c>
      <c r="XD19" s="459"/>
      <c r="XE19" s="459"/>
      <c r="XF19" s="424" t="s">
        <v>4</v>
      </c>
      <c r="XG19" s="501">
        <v>880</v>
      </c>
      <c r="XH19" s="502"/>
      <c r="XI19" s="502"/>
      <c r="XJ19" s="503"/>
      <c r="XK19" s="22">
        <v>1001</v>
      </c>
      <c r="XL19" s="501">
        <v>818</v>
      </c>
      <c r="XM19" s="502"/>
      <c r="XN19" s="502"/>
      <c r="XO19" s="503"/>
      <c r="XP19" s="22">
        <v>844</v>
      </c>
      <c r="XQ19" s="501">
        <v>866</v>
      </c>
      <c r="XR19" s="502"/>
      <c r="XS19" s="502"/>
      <c r="XT19" s="503"/>
      <c r="XU19" s="22">
        <v>930</v>
      </c>
      <c r="XV19" s="501">
        <v>945</v>
      </c>
      <c r="XW19" s="502"/>
      <c r="XX19" s="502"/>
      <c r="XY19" s="503"/>
      <c r="XZ19" s="22">
        <v>953</v>
      </c>
      <c r="YA19" s="525" t="s">
        <v>284</v>
      </c>
      <c r="YB19" s="20"/>
      <c r="YC19" s="457" t="s">
        <v>67</v>
      </c>
      <c r="YD19" s="459"/>
      <c r="YE19" s="459"/>
      <c r="YF19" s="424" t="s">
        <v>4</v>
      </c>
      <c r="YG19" s="501">
        <v>977</v>
      </c>
      <c r="YH19" s="502"/>
      <c r="YI19" s="502"/>
      <c r="YJ19" s="503"/>
      <c r="YK19" s="22">
        <v>988</v>
      </c>
      <c r="YL19" s="501">
        <v>840</v>
      </c>
      <c r="YM19" s="502"/>
      <c r="YN19" s="502"/>
      <c r="YO19" s="503"/>
      <c r="YP19" s="22">
        <v>1026</v>
      </c>
      <c r="YQ19" s="501">
        <v>747</v>
      </c>
      <c r="YR19" s="502"/>
      <c r="YS19" s="502"/>
      <c r="YT19" s="503"/>
      <c r="YU19" s="22">
        <v>851</v>
      </c>
      <c r="YV19" s="501">
        <v>979</v>
      </c>
      <c r="YW19" s="502"/>
      <c r="YX19" s="502"/>
      <c r="YY19" s="503"/>
      <c r="YZ19" s="22">
        <v>981</v>
      </c>
      <c r="ZA19" s="525" t="s">
        <v>284</v>
      </c>
      <c r="ZB19" s="20"/>
      <c r="ZC19" s="457" t="s">
        <v>67</v>
      </c>
      <c r="ZD19" s="459"/>
      <c r="ZE19" s="459"/>
      <c r="ZF19" s="424" t="s">
        <v>4</v>
      </c>
      <c r="ZG19" s="501">
        <v>920</v>
      </c>
      <c r="ZH19" s="502"/>
      <c r="ZI19" s="502"/>
      <c r="ZJ19" s="503"/>
      <c r="ZK19" s="22">
        <v>1007</v>
      </c>
      <c r="ZL19" s="501">
        <v>897</v>
      </c>
      <c r="ZM19" s="502"/>
      <c r="ZN19" s="502"/>
      <c r="ZO19" s="503"/>
      <c r="ZP19" s="22">
        <v>947</v>
      </c>
      <c r="ZQ19" s="501">
        <v>857</v>
      </c>
      <c r="ZR19" s="502"/>
      <c r="ZS19" s="502"/>
      <c r="ZT19" s="503"/>
      <c r="ZU19" s="22">
        <v>893</v>
      </c>
      <c r="ZV19" s="501">
        <v>970</v>
      </c>
      <c r="ZW19" s="502"/>
      <c r="ZX19" s="502"/>
      <c r="ZY19" s="503"/>
      <c r="ZZ19" s="22">
        <v>991</v>
      </c>
      <c r="AAA19" s="525" t="s">
        <v>284</v>
      </c>
      <c r="AAB19" s="20"/>
      <c r="AAC19" s="457" t="s">
        <v>67</v>
      </c>
      <c r="AAD19" s="459"/>
      <c r="AAE19" s="459"/>
      <c r="AAF19" s="424" t="s">
        <v>4</v>
      </c>
      <c r="AAG19" s="501">
        <v>804</v>
      </c>
      <c r="AAH19" s="502"/>
      <c r="AAI19" s="502"/>
      <c r="AAJ19" s="503"/>
      <c r="AAK19" s="22">
        <v>870</v>
      </c>
      <c r="AAL19" s="501">
        <v>696</v>
      </c>
      <c r="AAM19" s="502"/>
      <c r="AAN19" s="502"/>
      <c r="AAO19" s="503"/>
      <c r="AAP19" s="22">
        <v>790</v>
      </c>
      <c r="AAQ19" s="501">
        <v>944</v>
      </c>
      <c r="AAR19" s="502"/>
      <c r="AAS19" s="502"/>
      <c r="AAT19" s="503"/>
      <c r="AAU19" s="22">
        <v>1023</v>
      </c>
      <c r="AAV19" s="501">
        <v>1035</v>
      </c>
      <c r="AAW19" s="502"/>
      <c r="AAX19" s="502"/>
      <c r="AAY19" s="503"/>
      <c r="AAZ19" s="22">
        <v>1015</v>
      </c>
      <c r="ABA19" s="525" t="s">
        <v>284</v>
      </c>
      <c r="ABB19" s="20"/>
      <c r="ABC19" s="457" t="s">
        <v>67</v>
      </c>
      <c r="ABD19" s="459"/>
      <c r="ABE19" s="459"/>
      <c r="ABF19" s="424" t="s">
        <v>4</v>
      </c>
      <c r="ABG19" s="501">
        <v>979</v>
      </c>
      <c r="ABH19" s="502"/>
      <c r="ABI19" s="502"/>
      <c r="ABJ19" s="503"/>
      <c r="ABK19" s="22">
        <v>1085</v>
      </c>
      <c r="ABL19" s="501">
        <v>1027</v>
      </c>
      <c r="ABM19" s="502"/>
      <c r="ABN19" s="502"/>
      <c r="ABO19" s="503"/>
      <c r="ABP19" s="22">
        <v>1030</v>
      </c>
      <c r="ABQ19" s="501">
        <v>964</v>
      </c>
      <c r="ABR19" s="502"/>
      <c r="ABS19" s="502"/>
      <c r="ABT19" s="503"/>
      <c r="ABU19" s="22">
        <v>1039</v>
      </c>
      <c r="ABV19" s="501">
        <v>732</v>
      </c>
      <c r="ABW19" s="502"/>
      <c r="ABX19" s="502"/>
      <c r="ABY19" s="503"/>
      <c r="ABZ19" s="22">
        <v>900</v>
      </c>
      <c r="ACA19" s="525" t="s">
        <v>284</v>
      </c>
      <c r="ACB19" s="20"/>
      <c r="ACC19" s="457" t="s">
        <v>67</v>
      </c>
      <c r="ACD19" s="459"/>
      <c r="ACE19" s="459"/>
      <c r="ACF19" s="424" t="s">
        <v>4</v>
      </c>
      <c r="ACG19" s="501">
        <v>689</v>
      </c>
      <c r="ACH19" s="502"/>
      <c r="ACI19" s="502"/>
      <c r="ACJ19" s="503"/>
      <c r="ACK19" s="22">
        <f>801.2</f>
        <v>801.2</v>
      </c>
      <c r="ACL19" s="501">
        <f>975-47</f>
        <v>928</v>
      </c>
      <c r="ACM19" s="502"/>
      <c r="ACN19" s="502"/>
      <c r="ACO19" s="503"/>
      <c r="ACP19" s="22">
        <v>957</v>
      </c>
      <c r="ACQ19" s="501">
        <v>976</v>
      </c>
      <c r="ACR19" s="502"/>
      <c r="ACS19" s="502"/>
      <c r="ACT19" s="503"/>
      <c r="ACU19" s="22">
        <v>1084</v>
      </c>
      <c r="ACV19" s="501">
        <v>955</v>
      </c>
      <c r="ACW19" s="502"/>
      <c r="ACX19" s="502"/>
      <c r="ACY19" s="503"/>
      <c r="ACZ19" s="22">
        <v>1035</v>
      </c>
      <c r="ADA19" s="525" t="s">
        <v>284</v>
      </c>
      <c r="ADB19" s="20"/>
      <c r="ADC19" s="457" t="s">
        <v>67</v>
      </c>
      <c r="ADD19" s="459"/>
      <c r="ADE19" s="459"/>
      <c r="ADF19" s="424" t="s">
        <v>4</v>
      </c>
      <c r="ADG19" s="501">
        <v>882</v>
      </c>
      <c r="ADH19" s="502"/>
      <c r="ADI19" s="502"/>
      <c r="ADJ19" s="503"/>
      <c r="ADK19" s="22">
        <v>917</v>
      </c>
      <c r="ADL19" s="501">
        <v>817</v>
      </c>
      <c r="ADM19" s="502"/>
      <c r="ADN19" s="502"/>
      <c r="ADO19" s="503"/>
      <c r="ADP19" s="22">
        <f>827.2</f>
        <v>827.2</v>
      </c>
      <c r="ADQ19" s="501">
        <v>948</v>
      </c>
      <c r="ADR19" s="502"/>
      <c r="ADS19" s="502"/>
      <c r="ADT19" s="503"/>
      <c r="ADU19" s="22">
        <f>1000</f>
        <v>1000</v>
      </c>
      <c r="ADV19" s="501">
        <v>910</v>
      </c>
      <c r="ADW19" s="502"/>
      <c r="ADX19" s="502"/>
      <c r="ADY19" s="503"/>
      <c r="ADZ19" s="22">
        <v>944</v>
      </c>
      <c r="AEA19" s="525" t="s">
        <v>284</v>
      </c>
      <c r="AEB19" s="20"/>
      <c r="AEC19" s="457" t="s">
        <v>67</v>
      </c>
      <c r="AED19" s="459"/>
      <c r="AEE19" s="459"/>
      <c r="AEF19" s="424" t="s">
        <v>4</v>
      </c>
      <c r="AEG19" s="501">
        <v>907</v>
      </c>
      <c r="AEH19" s="502"/>
      <c r="AEI19" s="502"/>
      <c r="AEJ19" s="503"/>
      <c r="AEK19" s="22">
        <f>968</f>
        <v>968</v>
      </c>
      <c r="AEL19" s="501">
        <v>901</v>
      </c>
      <c r="AEM19" s="502"/>
      <c r="AEN19" s="502"/>
      <c r="AEO19" s="503"/>
      <c r="AEP19" s="22">
        <f>981</f>
        <v>981</v>
      </c>
      <c r="AEQ19" s="501">
        <f>879.8-41</f>
        <v>838.8</v>
      </c>
      <c r="AER19" s="502"/>
      <c r="AES19" s="502"/>
      <c r="AET19" s="503"/>
      <c r="AEU19" s="22">
        <v>856</v>
      </c>
      <c r="AEV19" s="501">
        <v>692</v>
      </c>
      <c r="AEW19" s="502"/>
      <c r="AEX19" s="502"/>
      <c r="AEY19" s="503"/>
      <c r="AEZ19" s="22">
        <v>743</v>
      </c>
      <c r="AFA19" s="525" t="s">
        <v>284</v>
      </c>
      <c r="AFB19" s="20"/>
      <c r="AFC19" s="457" t="s">
        <v>67</v>
      </c>
      <c r="AFD19" s="459"/>
      <c r="AFE19" s="459"/>
      <c r="AFF19" s="424" t="s">
        <v>4</v>
      </c>
      <c r="AFG19" s="501">
        <v>851</v>
      </c>
      <c r="AFH19" s="502"/>
      <c r="AFI19" s="502"/>
      <c r="AFJ19" s="503"/>
      <c r="AFK19" s="22">
        <v>914</v>
      </c>
      <c r="AFL19" s="501">
        <v>806</v>
      </c>
      <c r="AFM19" s="502"/>
      <c r="AFN19" s="502"/>
      <c r="AFO19" s="503"/>
      <c r="AFP19" s="22">
        <v>892</v>
      </c>
      <c r="AFQ19" s="501">
        <v>801</v>
      </c>
      <c r="AFR19" s="502"/>
      <c r="AFS19" s="502"/>
      <c r="AFT19" s="503"/>
      <c r="AFU19" s="22">
        <v>887</v>
      </c>
      <c r="AFV19" s="501">
        <v>804</v>
      </c>
      <c r="AFW19" s="502"/>
      <c r="AFX19" s="502"/>
      <c r="AFY19" s="503"/>
      <c r="AFZ19" s="22">
        <v>890</v>
      </c>
      <c r="AGA19" s="525" t="s">
        <v>284</v>
      </c>
      <c r="AGB19" s="20"/>
      <c r="AGC19" s="457" t="s">
        <v>67</v>
      </c>
      <c r="AGD19" s="459"/>
      <c r="AGE19" s="459"/>
      <c r="AGF19" s="424" t="s">
        <v>4</v>
      </c>
      <c r="AGG19" s="501">
        <v>771</v>
      </c>
      <c r="AGH19" s="502"/>
      <c r="AGI19" s="502"/>
      <c r="AGJ19" s="503"/>
      <c r="AGK19" s="22">
        <v>878</v>
      </c>
      <c r="AGL19" s="501">
        <v>721</v>
      </c>
      <c r="AGM19" s="502"/>
      <c r="AGN19" s="502"/>
      <c r="AGO19" s="503"/>
      <c r="AGP19" s="22">
        <v>773</v>
      </c>
      <c r="AGQ19" s="501">
        <v>612</v>
      </c>
      <c r="AGR19" s="502"/>
      <c r="AGS19" s="502"/>
      <c r="AGT19" s="503"/>
      <c r="AGU19" s="22">
        <v>708</v>
      </c>
      <c r="AGV19" s="501">
        <v>871</v>
      </c>
      <c r="AGW19" s="502"/>
      <c r="AGX19" s="502"/>
      <c r="AGY19" s="503"/>
      <c r="AGZ19" s="22">
        <f>916.4</f>
        <v>916.4</v>
      </c>
      <c r="AHA19" s="525" t="s">
        <v>284</v>
      </c>
      <c r="AHB19" s="20"/>
      <c r="AHC19" s="457" t="s">
        <v>67</v>
      </c>
      <c r="AHD19" s="459"/>
      <c r="AHE19" s="459"/>
      <c r="AHF19" s="424" t="s">
        <v>4</v>
      </c>
      <c r="AHG19" s="501">
        <f>931-74</f>
        <v>857</v>
      </c>
      <c r="AHH19" s="502"/>
      <c r="AHI19" s="502"/>
      <c r="AHJ19" s="503"/>
      <c r="AHK19" s="22">
        <v>930</v>
      </c>
      <c r="AHL19" s="501">
        <v>793</v>
      </c>
      <c r="AHM19" s="502"/>
      <c r="AHN19" s="502"/>
      <c r="AHO19" s="503"/>
      <c r="AHP19" s="22">
        <v>875</v>
      </c>
      <c r="AHQ19" s="501">
        <v>834</v>
      </c>
      <c r="AHR19" s="502"/>
      <c r="AHS19" s="502"/>
      <c r="AHT19" s="503"/>
      <c r="AHU19" s="22">
        <v>877</v>
      </c>
      <c r="AHV19" s="501">
        <v>754</v>
      </c>
      <c r="AHW19" s="502"/>
      <c r="AHX19" s="502"/>
      <c r="AHY19" s="503"/>
      <c r="AHZ19" s="22">
        <v>842</v>
      </c>
      <c r="AIA19" s="525" t="s">
        <v>284</v>
      </c>
      <c r="AIB19" s="20"/>
      <c r="AIC19" s="457" t="s">
        <v>67</v>
      </c>
      <c r="AID19" s="459"/>
      <c r="AIE19" s="459"/>
      <c r="AIF19" s="424" t="s">
        <v>4</v>
      </c>
      <c r="AIG19" s="501">
        <v>617</v>
      </c>
      <c r="AIH19" s="502"/>
      <c r="AII19" s="502"/>
      <c r="AIJ19" s="503"/>
      <c r="AIK19" s="22">
        <v>728</v>
      </c>
      <c r="AIL19" s="501">
        <v>849</v>
      </c>
      <c r="AIM19" s="502"/>
      <c r="AIN19" s="502"/>
      <c r="AIO19" s="503"/>
      <c r="AIP19" s="22">
        <v>885</v>
      </c>
      <c r="AIQ19" s="501">
        <v>824</v>
      </c>
      <c r="AIR19" s="502"/>
      <c r="AIS19" s="502"/>
      <c r="AIT19" s="503"/>
      <c r="AIU19" s="22">
        <v>913</v>
      </c>
      <c r="AIV19" s="501">
        <v>863</v>
      </c>
      <c r="AIW19" s="502"/>
      <c r="AIX19" s="502"/>
      <c r="AIY19" s="503"/>
      <c r="AIZ19" s="22">
        <v>878</v>
      </c>
      <c r="AJA19" s="525" t="s">
        <v>284</v>
      </c>
      <c r="AJB19" s="20"/>
      <c r="AJC19" s="457" t="s">
        <v>67</v>
      </c>
      <c r="AJD19" s="459"/>
      <c r="AJE19" s="459"/>
      <c r="AJF19" s="424" t="s">
        <v>4</v>
      </c>
      <c r="AJG19" s="501">
        <v>800</v>
      </c>
      <c r="AJH19" s="502"/>
      <c r="AJI19" s="502"/>
      <c r="AJJ19" s="503"/>
      <c r="AJK19" s="22">
        <v>795</v>
      </c>
      <c r="AJL19" s="501">
        <v>705</v>
      </c>
      <c r="AJM19" s="502"/>
      <c r="AJN19" s="502"/>
      <c r="AJO19" s="503"/>
      <c r="AJP19" s="22">
        <v>742</v>
      </c>
      <c r="AJQ19" s="501">
        <v>818</v>
      </c>
      <c r="AJR19" s="502"/>
      <c r="AJS19" s="502"/>
      <c r="AJT19" s="503"/>
      <c r="AJU19" s="22">
        <v>881</v>
      </c>
      <c r="AJV19" s="501">
        <v>743</v>
      </c>
      <c r="AJW19" s="502"/>
      <c r="AJX19" s="502"/>
      <c r="AJY19" s="503"/>
      <c r="AJZ19" s="22">
        <v>888</v>
      </c>
      <c r="AKA19" s="525" t="s">
        <v>284</v>
      </c>
      <c r="AKB19" s="20"/>
      <c r="AKC19" s="457" t="s">
        <v>67</v>
      </c>
      <c r="AKD19" s="459"/>
      <c r="AKE19" s="459"/>
      <c r="AKF19" s="424" t="s">
        <v>4</v>
      </c>
      <c r="AKG19" s="501">
        <v>741</v>
      </c>
      <c r="AKH19" s="502"/>
      <c r="AKI19" s="502"/>
      <c r="AKJ19" s="503"/>
      <c r="AKK19" s="22">
        <v>886</v>
      </c>
      <c r="AKL19" s="501">
        <v>864</v>
      </c>
      <c r="AKM19" s="502"/>
      <c r="AKN19" s="502"/>
      <c r="AKO19" s="503"/>
      <c r="AKP19" s="22">
        <v>888</v>
      </c>
      <c r="AKQ19" s="501">
        <v>814</v>
      </c>
      <c r="AKR19" s="502"/>
      <c r="AKS19" s="502"/>
      <c r="AKT19" s="503"/>
      <c r="AKU19" s="22">
        <v>848</v>
      </c>
      <c r="AKV19" s="501"/>
      <c r="AKW19" s="502"/>
      <c r="AKX19" s="502"/>
      <c r="AKY19" s="503"/>
      <c r="AKZ19" s="22"/>
    </row>
    <row r="20" spans="1:988" ht="56.25" customHeight="1" x14ac:dyDescent="0.4">
      <c r="A20" s="492"/>
      <c r="B20" s="23"/>
      <c r="C20" s="519" t="s">
        <v>73</v>
      </c>
      <c r="D20" s="520"/>
      <c r="E20" s="520"/>
      <c r="F20" s="424" t="s">
        <v>15</v>
      </c>
      <c r="G20" s="501">
        <v>224</v>
      </c>
      <c r="H20" s="502"/>
      <c r="I20" s="502"/>
      <c r="J20" s="503"/>
      <c r="K20" s="22">
        <v>193.4</v>
      </c>
      <c r="L20" s="501">
        <v>224.2</v>
      </c>
      <c r="M20" s="502"/>
      <c r="N20" s="502"/>
      <c r="O20" s="503"/>
      <c r="P20" s="22">
        <v>121.4</v>
      </c>
      <c r="Q20" s="501">
        <v>224</v>
      </c>
      <c r="R20" s="502"/>
      <c r="S20" s="502"/>
      <c r="T20" s="503"/>
      <c r="U20" s="22">
        <v>214.8</v>
      </c>
      <c r="V20" s="501">
        <v>224</v>
      </c>
      <c r="W20" s="502"/>
      <c r="X20" s="502"/>
      <c r="Y20" s="503"/>
      <c r="Z20" s="22">
        <f>193.2</f>
        <v>193.2</v>
      </c>
      <c r="AA20" s="492"/>
      <c r="AB20" s="23"/>
      <c r="AC20" s="519" t="s">
        <v>73</v>
      </c>
      <c r="AD20" s="520"/>
      <c r="AE20" s="520"/>
      <c r="AF20" s="424" t="s">
        <v>15</v>
      </c>
      <c r="AG20" s="501">
        <f>5+193.1</f>
        <v>198.1</v>
      </c>
      <c r="AH20" s="502"/>
      <c r="AI20" s="502"/>
      <c r="AJ20" s="503"/>
      <c r="AK20" s="22">
        <v>160</v>
      </c>
      <c r="AL20" s="501">
        <v>190</v>
      </c>
      <c r="AM20" s="502"/>
      <c r="AN20" s="502"/>
      <c r="AO20" s="503"/>
      <c r="AP20" s="22">
        <v>162.19999999999999</v>
      </c>
      <c r="AQ20" s="501">
        <v>156</v>
      </c>
      <c r="AR20" s="502"/>
      <c r="AS20" s="502"/>
      <c r="AT20" s="503"/>
      <c r="AU20" s="22">
        <v>66.400000000000006</v>
      </c>
      <c r="AV20" s="501">
        <v>224.2</v>
      </c>
      <c r="AW20" s="502"/>
      <c r="AX20" s="502"/>
      <c r="AY20" s="503"/>
      <c r="AZ20" s="22">
        <v>179</v>
      </c>
      <c r="BA20" s="492"/>
      <c r="BB20" s="23"/>
      <c r="BC20" s="519" t="s">
        <v>73</v>
      </c>
      <c r="BD20" s="520"/>
      <c r="BE20" s="520"/>
      <c r="BF20" s="424" t="s">
        <v>15</v>
      </c>
      <c r="BG20" s="501">
        <v>224</v>
      </c>
      <c r="BH20" s="502"/>
      <c r="BI20" s="502"/>
      <c r="BJ20" s="503"/>
      <c r="BK20" s="22">
        <v>134.4</v>
      </c>
      <c r="BL20" s="501">
        <v>224</v>
      </c>
      <c r="BM20" s="502"/>
      <c r="BN20" s="502"/>
      <c r="BO20" s="503"/>
      <c r="BP20" s="22">
        <v>193</v>
      </c>
      <c r="BQ20" s="501">
        <v>122</v>
      </c>
      <c r="BR20" s="502"/>
      <c r="BS20" s="502"/>
      <c r="BT20" s="503"/>
      <c r="BU20" s="22">
        <v>122</v>
      </c>
      <c r="BV20" s="501">
        <v>190</v>
      </c>
      <c r="BW20" s="502"/>
      <c r="BX20" s="502"/>
      <c r="BY20" s="503"/>
      <c r="BZ20" s="22">
        <v>122.2</v>
      </c>
      <c r="CA20" s="492"/>
      <c r="CB20" s="23"/>
      <c r="CC20" s="519" t="s">
        <v>73</v>
      </c>
      <c r="CD20" s="520"/>
      <c r="CE20" s="520"/>
      <c r="CF20" s="424" t="s">
        <v>15</v>
      </c>
      <c r="CG20" s="501">
        <v>224</v>
      </c>
      <c r="CH20" s="502"/>
      <c r="CI20" s="502"/>
      <c r="CJ20" s="503"/>
      <c r="CK20" s="22">
        <v>1.4</v>
      </c>
      <c r="CL20" s="501">
        <f>219.2+5</f>
        <v>224.2</v>
      </c>
      <c r="CM20" s="502"/>
      <c r="CN20" s="502"/>
      <c r="CO20" s="503"/>
      <c r="CP20" s="22">
        <v>195</v>
      </c>
      <c r="CQ20" s="501">
        <v>224.2</v>
      </c>
      <c r="CR20" s="502"/>
      <c r="CS20" s="502"/>
      <c r="CT20" s="503"/>
      <c r="CU20" s="22">
        <v>197</v>
      </c>
      <c r="CV20" s="501">
        <v>190</v>
      </c>
      <c r="CW20" s="502"/>
      <c r="CX20" s="502"/>
      <c r="CY20" s="503"/>
      <c r="CZ20" s="22">
        <v>6</v>
      </c>
      <c r="DA20" s="492"/>
      <c r="DB20" s="23"/>
      <c r="DC20" s="519" t="s">
        <v>73</v>
      </c>
      <c r="DD20" s="520"/>
      <c r="DE20" s="520"/>
      <c r="DF20" s="424" t="s">
        <v>15</v>
      </c>
      <c r="DG20" s="501">
        <v>224</v>
      </c>
      <c r="DH20" s="502"/>
      <c r="DI20" s="502"/>
      <c r="DJ20" s="503"/>
      <c r="DK20" s="22">
        <v>153</v>
      </c>
      <c r="DL20" s="501">
        <v>224</v>
      </c>
      <c r="DM20" s="502"/>
      <c r="DN20" s="502"/>
      <c r="DO20" s="503"/>
      <c r="DP20" s="22">
        <v>186.6</v>
      </c>
      <c r="DQ20" s="501">
        <f>219.2+5</f>
        <v>224.2</v>
      </c>
      <c r="DR20" s="502"/>
      <c r="DS20" s="502"/>
      <c r="DT20" s="503"/>
      <c r="DU20" s="22">
        <v>192</v>
      </c>
      <c r="DV20" s="501">
        <f>219.2+5</f>
        <v>224.2</v>
      </c>
      <c r="DW20" s="502"/>
      <c r="DX20" s="502"/>
      <c r="DY20" s="503"/>
      <c r="DZ20" s="22">
        <v>66</v>
      </c>
      <c r="EA20" s="492"/>
      <c r="EB20" s="23"/>
      <c r="EC20" s="519" t="s">
        <v>73</v>
      </c>
      <c r="ED20" s="520"/>
      <c r="EE20" s="520"/>
      <c r="EF20" s="424" t="s">
        <v>15</v>
      </c>
      <c r="EG20" s="501">
        <v>224</v>
      </c>
      <c r="EH20" s="502"/>
      <c r="EI20" s="502"/>
      <c r="EJ20" s="503"/>
      <c r="EK20" s="22">
        <f>184.4</f>
        <v>184.4</v>
      </c>
      <c r="EL20" s="501">
        <v>224</v>
      </c>
      <c r="EM20" s="502"/>
      <c r="EN20" s="502"/>
      <c r="EO20" s="503"/>
      <c r="EP20" s="22">
        <v>203.8</v>
      </c>
      <c r="EQ20" s="501">
        <f>253.2+5</f>
        <v>258.2</v>
      </c>
      <c r="ER20" s="502"/>
      <c r="ES20" s="502"/>
      <c r="ET20" s="503"/>
      <c r="EU20" s="22">
        <v>205</v>
      </c>
      <c r="EV20" s="501">
        <v>258</v>
      </c>
      <c r="EW20" s="502"/>
      <c r="EX20" s="502"/>
      <c r="EY20" s="503"/>
      <c r="EZ20" s="22">
        <f>134</f>
        <v>134</v>
      </c>
      <c r="FA20" s="492"/>
      <c r="FB20" s="23"/>
      <c r="FC20" s="519" t="s">
        <v>73</v>
      </c>
      <c r="FD20" s="520"/>
      <c r="FE20" s="520"/>
      <c r="FF20" s="424" t="s">
        <v>15</v>
      </c>
      <c r="FG20" s="501">
        <v>258</v>
      </c>
      <c r="FH20" s="502"/>
      <c r="FI20" s="502"/>
      <c r="FJ20" s="503"/>
      <c r="FK20" s="22">
        <v>167</v>
      </c>
      <c r="FL20" s="501">
        <f>5+253.2</f>
        <v>258.2</v>
      </c>
      <c r="FM20" s="502"/>
      <c r="FN20" s="502"/>
      <c r="FO20" s="503"/>
      <c r="FP20" s="22">
        <v>175</v>
      </c>
      <c r="FQ20" s="501">
        <v>258</v>
      </c>
      <c r="FR20" s="502"/>
      <c r="FS20" s="502"/>
      <c r="FT20" s="503"/>
      <c r="FU20" s="22">
        <v>206</v>
      </c>
      <c r="FV20" s="501">
        <v>258</v>
      </c>
      <c r="FW20" s="502"/>
      <c r="FX20" s="502"/>
      <c r="FY20" s="503"/>
      <c r="FZ20" s="22">
        <v>200</v>
      </c>
      <c r="GA20" s="492"/>
      <c r="GB20" s="23"/>
      <c r="GC20" s="519" t="s">
        <v>73</v>
      </c>
      <c r="GD20" s="520"/>
      <c r="GE20" s="520"/>
      <c r="GF20" s="424" t="s">
        <v>15</v>
      </c>
      <c r="GG20" s="501">
        <v>258</v>
      </c>
      <c r="GH20" s="502"/>
      <c r="GI20" s="502"/>
      <c r="GJ20" s="503"/>
      <c r="GK20" s="22">
        <v>140</v>
      </c>
      <c r="GL20" s="501">
        <v>258</v>
      </c>
      <c r="GM20" s="502"/>
      <c r="GN20" s="502"/>
      <c r="GO20" s="503"/>
      <c r="GP20" s="22">
        <v>183.2</v>
      </c>
      <c r="GQ20" s="501">
        <v>258</v>
      </c>
      <c r="GR20" s="502"/>
      <c r="GS20" s="502"/>
      <c r="GT20" s="503"/>
      <c r="GU20" s="22">
        <v>177</v>
      </c>
      <c r="GV20" s="501">
        <v>190</v>
      </c>
      <c r="GW20" s="502"/>
      <c r="GX20" s="502"/>
      <c r="GY20" s="503"/>
      <c r="GZ20" s="22">
        <v>167</v>
      </c>
      <c r="HA20" s="492"/>
      <c r="HB20" s="23"/>
      <c r="HC20" s="519" t="s">
        <v>73</v>
      </c>
      <c r="HD20" s="520"/>
      <c r="HE20" s="520"/>
      <c r="HF20" s="424" t="s">
        <v>15</v>
      </c>
      <c r="HG20" s="501">
        <v>224</v>
      </c>
      <c r="HH20" s="502"/>
      <c r="HI20" s="502"/>
      <c r="HJ20" s="503"/>
      <c r="HK20" s="22">
        <v>123</v>
      </c>
      <c r="HL20" s="501">
        <v>224</v>
      </c>
      <c r="HM20" s="502"/>
      <c r="HN20" s="502"/>
      <c r="HO20" s="503"/>
      <c r="HP20" s="22">
        <v>133</v>
      </c>
      <c r="HQ20" s="501">
        <v>224</v>
      </c>
      <c r="HR20" s="502"/>
      <c r="HS20" s="502"/>
      <c r="HT20" s="503"/>
      <c r="HU20" s="22">
        <f>106.4</f>
        <v>106.4</v>
      </c>
      <c r="HV20" s="501">
        <f>5+185.2</f>
        <v>190.2</v>
      </c>
      <c r="HW20" s="502"/>
      <c r="HX20" s="502"/>
      <c r="HY20" s="503"/>
      <c r="HZ20" s="22">
        <v>161</v>
      </c>
      <c r="IA20" s="492"/>
      <c r="IB20" s="23"/>
      <c r="IC20" s="519" t="s">
        <v>73</v>
      </c>
      <c r="ID20" s="520"/>
      <c r="IE20" s="520"/>
      <c r="IF20" s="424" t="s">
        <v>15</v>
      </c>
      <c r="IG20" s="501">
        <f>5+253.2</f>
        <v>258.2</v>
      </c>
      <c r="IH20" s="502"/>
      <c r="II20" s="502"/>
      <c r="IJ20" s="503"/>
      <c r="IK20" s="22">
        <v>73</v>
      </c>
      <c r="IL20" s="501">
        <v>258</v>
      </c>
      <c r="IM20" s="502"/>
      <c r="IN20" s="502"/>
      <c r="IO20" s="503"/>
      <c r="IP20" s="22">
        <f>170</f>
        <v>170</v>
      </c>
      <c r="IQ20" s="501">
        <v>258.2</v>
      </c>
      <c r="IR20" s="502"/>
      <c r="IS20" s="502"/>
      <c r="IT20" s="503"/>
      <c r="IU20" s="22">
        <v>100.6</v>
      </c>
      <c r="IV20" s="501">
        <v>190</v>
      </c>
      <c r="IW20" s="502"/>
      <c r="IX20" s="502"/>
      <c r="IY20" s="503"/>
      <c r="IZ20" s="22">
        <v>95</v>
      </c>
      <c r="JA20" s="492"/>
      <c r="JB20" s="23"/>
      <c r="JC20" s="519" t="s">
        <v>73</v>
      </c>
      <c r="JD20" s="520"/>
      <c r="JE20" s="520"/>
      <c r="JF20" s="424" t="s">
        <v>15</v>
      </c>
      <c r="JG20" s="501">
        <v>258</v>
      </c>
      <c r="JH20" s="502"/>
      <c r="JI20" s="502"/>
      <c r="JJ20" s="503"/>
      <c r="JK20" s="22">
        <v>191</v>
      </c>
      <c r="JL20" s="501">
        <v>258</v>
      </c>
      <c r="JM20" s="502"/>
      <c r="JN20" s="502"/>
      <c r="JO20" s="503"/>
      <c r="JP20" s="22">
        <v>77</v>
      </c>
      <c r="JQ20" s="501">
        <f>4.88+253.2</f>
        <v>258.08</v>
      </c>
      <c r="JR20" s="502"/>
      <c r="JS20" s="502"/>
      <c r="JT20" s="503"/>
      <c r="JU20" s="22">
        <v>189</v>
      </c>
      <c r="JV20" s="501">
        <f>4.84+253.2</f>
        <v>258.03999999999996</v>
      </c>
      <c r="JW20" s="502"/>
      <c r="JX20" s="502"/>
      <c r="JY20" s="503"/>
      <c r="JZ20" s="22">
        <v>97</v>
      </c>
      <c r="KA20" s="492"/>
      <c r="KB20" s="23"/>
      <c r="KC20" s="519" t="s">
        <v>73</v>
      </c>
      <c r="KD20" s="520"/>
      <c r="KE20" s="520"/>
      <c r="KF20" s="424" t="s">
        <v>15</v>
      </c>
      <c r="KG20" s="501">
        <f>4.88+253.2</f>
        <v>258.08</v>
      </c>
      <c r="KH20" s="502"/>
      <c r="KI20" s="502"/>
      <c r="KJ20" s="503"/>
      <c r="KK20" s="22">
        <v>96</v>
      </c>
      <c r="KL20" s="501">
        <v>70</v>
      </c>
      <c r="KM20" s="502"/>
      <c r="KN20" s="502"/>
      <c r="KO20" s="503"/>
      <c r="KP20" s="22">
        <v>137</v>
      </c>
      <c r="KQ20" s="501">
        <f>253.2+4.7</f>
        <v>257.89999999999998</v>
      </c>
      <c r="KR20" s="502"/>
      <c r="KS20" s="502"/>
      <c r="KT20" s="503"/>
      <c r="KU20" s="22">
        <v>170.6</v>
      </c>
      <c r="KV20" s="501">
        <v>258</v>
      </c>
      <c r="KW20" s="502"/>
      <c r="KX20" s="502"/>
      <c r="KY20" s="503"/>
      <c r="KZ20" s="22">
        <v>168</v>
      </c>
      <c r="LA20" s="492"/>
      <c r="LB20" s="23"/>
      <c r="LC20" s="519" t="s">
        <v>73</v>
      </c>
      <c r="LD20" s="520"/>
      <c r="LE20" s="520"/>
      <c r="LF20" s="424" t="s">
        <v>15</v>
      </c>
      <c r="LG20" s="501">
        <f>4.88+253.2</f>
        <v>258.08</v>
      </c>
      <c r="LH20" s="502"/>
      <c r="LI20" s="502"/>
      <c r="LJ20" s="503"/>
      <c r="LK20" s="22">
        <v>104</v>
      </c>
      <c r="LL20" s="501">
        <v>258</v>
      </c>
      <c r="LM20" s="502"/>
      <c r="LN20" s="502"/>
      <c r="LO20" s="503"/>
      <c r="LP20" s="22">
        <v>201.6</v>
      </c>
      <c r="LQ20" s="501">
        <v>224</v>
      </c>
      <c r="LR20" s="502"/>
      <c r="LS20" s="502"/>
      <c r="LT20" s="503"/>
      <c r="LU20" s="22">
        <v>93</v>
      </c>
      <c r="LV20" s="501">
        <v>224</v>
      </c>
      <c r="LW20" s="502"/>
      <c r="LX20" s="502"/>
      <c r="LY20" s="503"/>
      <c r="LZ20" s="22">
        <v>89</v>
      </c>
      <c r="MA20" s="492"/>
      <c r="MB20" s="23"/>
      <c r="MC20" s="519" t="s">
        <v>73</v>
      </c>
      <c r="MD20" s="520"/>
      <c r="ME20" s="520"/>
      <c r="MF20" s="424" t="s">
        <v>15</v>
      </c>
      <c r="MG20" s="501">
        <v>224</v>
      </c>
      <c r="MH20" s="502"/>
      <c r="MI20" s="502"/>
      <c r="MJ20" s="503"/>
      <c r="MK20" s="22">
        <v>67</v>
      </c>
      <c r="ML20" s="501">
        <v>190</v>
      </c>
      <c r="MM20" s="502"/>
      <c r="MN20" s="502"/>
      <c r="MO20" s="503"/>
      <c r="MP20" s="22">
        <v>49</v>
      </c>
      <c r="MQ20" s="501">
        <v>224</v>
      </c>
      <c r="MR20" s="502"/>
      <c r="MS20" s="502"/>
      <c r="MT20" s="503"/>
      <c r="MU20" s="22">
        <v>105.4</v>
      </c>
      <c r="MV20" s="501">
        <v>224</v>
      </c>
      <c r="MW20" s="502"/>
      <c r="MX20" s="502"/>
      <c r="MY20" s="503"/>
      <c r="MZ20" s="22">
        <v>153.5</v>
      </c>
      <c r="NA20" s="492"/>
      <c r="NB20" s="23"/>
      <c r="NC20" s="519" t="s">
        <v>73</v>
      </c>
      <c r="ND20" s="520"/>
      <c r="NE20" s="520"/>
      <c r="NF20" s="424" t="s">
        <v>15</v>
      </c>
      <c r="NG20" s="501">
        <v>224</v>
      </c>
      <c r="NH20" s="502"/>
      <c r="NI20" s="502"/>
      <c r="NJ20" s="503"/>
      <c r="NK20" s="22">
        <v>102.4</v>
      </c>
      <c r="NL20" s="501">
        <v>224</v>
      </c>
      <c r="NM20" s="502"/>
      <c r="NN20" s="502"/>
      <c r="NO20" s="503"/>
      <c r="NP20" s="22">
        <v>126.8</v>
      </c>
      <c r="NQ20" s="501">
        <v>224</v>
      </c>
      <c r="NR20" s="502"/>
      <c r="NS20" s="502"/>
      <c r="NT20" s="503"/>
      <c r="NU20" s="22">
        <v>171</v>
      </c>
      <c r="NV20" s="501">
        <v>258</v>
      </c>
      <c r="NW20" s="502"/>
      <c r="NX20" s="502"/>
      <c r="NY20" s="503"/>
      <c r="NZ20" s="22">
        <v>137</v>
      </c>
      <c r="OA20" s="492"/>
      <c r="OB20" s="23"/>
      <c r="OC20" s="519" t="s">
        <v>73</v>
      </c>
      <c r="OD20" s="520"/>
      <c r="OE20" s="520"/>
      <c r="OF20" s="424" t="s">
        <v>15</v>
      </c>
      <c r="OG20" s="501">
        <v>232</v>
      </c>
      <c r="OH20" s="502"/>
      <c r="OI20" s="502"/>
      <c r="OJ20" s="503"/>
      <c r="OK20" s="22">
        <v>118.3</v>
      </c>
      <c r="OL20" s="501">
        <v>258</v>
      </c>
      <c r="OM20" s="502"/>
      <c r="ON20" s="502"/>
      <c r="OO20" s="503"/>
      <c r="OP20" s="22">
        <v>94</v>
      </c>
      <c r="OQ20" s="501">
        <v>226</v>
      </c>
      <c r="OR20" s="502"/>
      <c r="OS20" s="502"/>
      <c r="OT20" s="503"/>
      <c r="OU20" s="22">
        <v>88</v>
      </c>
      <c r="OV20" s="501">
        <v>226</v>
      </c>
      <c r="OW20" s="502"/>
      <c r="OX20" s="502"/>
      <c r="OY20" s="503"/>
      <c r="OZ20" s="22">
        <f>202.8</f>
        <v>202.8</v>
      </c>
      <c r="PA20" s="492"/>
      <c r="PB20" s="23"/>
      <c r="PC20" s="519" t="s">
        <v>73</v>
      </c>
      <c r="PD20" s="520"/>
      <c r="PE20" s="520"/>
      <c r="PF20" s="424" t="s">
        <v>15</v>
      </c>
      <c r="PG20" s="501">
        <v>226</v>
      </c>
      <c r="PH20" s="502"/>
      <c r="PI20" s="502"/>
      <c r="PJ20" s="503"/>
      <c r="PK20" s="22">
        <v>198</v>
      </c>
      <c r="PL20" s="501">
        <v>232</v>
      </c>
      <c r="PM20" s="502"/>
      <c r="PN20" s="502"/>
      <c r="PO20" s="503"/>
      <c r="PP20" s="22">
        <v>178.3</v>
      </c>
      <c r="PQ20" s="501">
        <v>232</v>
      </c>
      <c r="PR20" s="502"/>
      <c r="PS20" s="502"/>
      <c r="PT20" s="503"/>
      <c r="PU20" s="22">
        <v>153</v>
      </c>
      <c r="PV20" s="501">
        <v>232</v>
      </c>
      <c r="PW20" s="502"/>
      <c r="PX20" s="502"/>
      <c r="PY20" s="503"/>
      <c r="PZ20" s="22">
        <f>175.2</f>
        <v>175.2</v>
      </c>
      <c r="QA20" s="492"/>
      <c r="QB20" s="23"/>
      <c r="QC20" s="519" t="s">
        <v>73</v>
      </c>
      <c r="QD20" s="520"/>
      <c r="QE20" s="520"/>
      <c r="QF20" s="424" t="s">
        <v>15</v>
      </c>
      <c r="QG20" s="501">
        <v>232</v>
      </c>
      <c r="QH20" s="502"/>
      <c r="QI20" s="502"/>
      <c r="QJ20" s="503"/>
      <c r="QK20" s="22">
        <f>106</f>
        <v>106</v>
      </c>
      <c r="QL20" s="501">
        <v>206</v>
      </c>
      <c r="QM20" s="502"/>
      <c r="QN20" s="502"/>
      <c r="QO20" s="503"/>
      <c r="QP20" s="22">
        <v>104</v>
      </c>
      <c r="QQ20" s="501">
        <f>4.9+201</f>
        <v>205.9</v>
      </c>
      <c r="QR20" s="502"/>
      <c r="QS20" s="502"/>
      <c r="QT20" s="503"/>
      <c r="QU20" s="22">
        <f>103.2</f>
        <v>103.2</v>
      </c>
      <c r="QV20" s="501">
        <v>206</v>
      </c>
      <c r="QW20" s="502"/>
      <c r="QX20" s="502"/>
      <c r="QY20" s="503"/>
      <c r="QZ20" s="22">
        <v>156</v>
      </c>
      <c r="RA20" s="492"/>
      <c r="RB20" s="23"/>
      <c r="RC20" s="519" t="s">
        <v>73</v>
      </c>
      <c r="RD20" s="520"/>
      <c r="RE20" s="520"/>
      <c r="RF20" s="424" t="s">
        <v>15</v>
      </c>
      <c r="RG20" s="501">
        <v>206</v>
      </c>
      <c r="RH20" s="502"/>
      <c r="RI20" s="502"/>
      <c r="RJ20" s="503"/>
      <c r="RK20" s="22">
        <v>148</v>
      </c>
      <c r="RL20" s="501">
        <v>206</v>
      </c>
      <c r="RM20" s="502"/>
      <c r="RN20" s="502"/>
      <c r="RO20" s="503"/>
      <c r="RP20" s="22">
        <v>151</v>
      </c>
      <c r="RQ20" s="501">
        <v>206</v>
      </c>
      <c r="RR20" s="502"/>
      <c r="RS20" s="502"/>
      <c r="RT20" s="503"/>
      <c r="RU20" s="414">
        <v>190</v>
      </c>
      <c r="RV20" s="571">
        <v>206</v>
      </c>
      <c r="RW20" s="502"/>
      <c r="RX20" s="502"/>
      <c r="RY20" s="572"/>
      <c r="RZ20" s="22">
        <v>147</v>
      </c>
      <c r="SA20" s="492"/>
      <c r="SB20" s="23"/>
      <c r="SC20" s="519" t="s">
        <v>73</v>
      </c>
      <c r="SD20" s="520"/>
      <c r="SE20" s="520"/>
      <c r="SF20" s="424" t="s">
        <v>15</v>
      </c>
      <c r="SG20" s="501">
        <v>190</v>
      </c>
      <c r="SH20" s="502"/>
      <c r="SI20" s="502"/>
      <c r="SJ20" s="503"/>
      <c r="SK20" s="22">
        <v>112</v>
      </c>
      <c r="SL20" s="501">
        <v>138</v>
      </c>
      <c r="SM20" s="502"/>
      <c r="SN20" s="502"/>
      <c r="SO20" s="503"/>
      <c r="SP20" s="22">
        <v>79</v>
      </c>
      <c r="SQ20" s="501">
        <v>164</v>
      </c>
      <c r="SR20" s="502"/>
      <c r="SS20" s="502"/>
      <c r="ST20" s="503"/>
      <c r="SU20" s="22">
        <v>136</v>
      </c>
      <c r="SV20" s="501">
        <v>164</v>
      </c>
      <c r="SW20" s="502"/>
      <c r="SX20" s="502"/>
      <c r="SY20" s="503"/>
      <c r="SZ20" s="22">
        <v>38</v>
      </c>
      <c r="TA20" s="492"/>
      <c r="TB20" s="23"/>
      <c r="TC20" s="519" t="s">
        <v>73</v>
      </c>
      <c r="TD20" s="520"/>
      <c r="TE20" s="520"/>
      <c r="TF20" s="424" t="s">
        <v>15</v>
      </c>
      <c r="TG20" s="501">
        <v>164</v>
      </c>
      <c r="TH20" s="502"/>
      <c r="TI20" s="502"/>
      <c r="TJ20" s="503"/>
      <c r="TK20" s="22">
        <v>136.19999999999999</v>
      </c>
      <c r="TL20" s="501">
        <v>164</v>
      </c>
      <c r="TM20" s="502"/>
      <c r="TN20" s="502"/>
      <c r="TO20" s="503"/>
      <c r="TP20" s="22">
        <v>107.9</v>
      </c>
      <c r="TQ20" s="501">
        <f>5+227.1</f>
        <v>232.1</v>
      </c>
      <c r="TR20" s="502"/>
      <c r="TS20" s="502"/>
      <c r="TT20" s="503"/>
      <c r="TU20" s="22">
        <v>134</v>
      </c>
      <c r="TV20" s="501">
        <v>232</v>
      </c>
      <c r="TW20" s="502"/>
      <c r="TX20" s="502"/>
      <c r="TY20" s="503"/>
      <c r="TZ20" s="22">
        <v>121</v>
      </c>
      <c r="UA20" s="492"/>
      <c r="UB20" s="23"/>
      <c r="UC20" s="519" t="s">
        <v>73</v>
      </c>
      <c r="UD20" s="520"/>
      <c r="UE20" s="520"/>
      <c r="UF20" s="424" t="s">
        <v>15</v>
      </c>
      <c r="UG20" s="501">
        <v>232</v>
      </c>
      <c r="UH20" s="502"/>
      <c r="UI20" s="502"/>
      <c r="UJ20" s="503"/>
      <c r="UK20" s="414">
        <v>214</v>
      </c>
      <c r="UL20" s="501">
        <v>258</v>
      </c>
      <c r="UM20" s="502"/>
      <c r="UN20" s="502"/>
      <c r="UO20" s="503"/>
      <c r="UP20" s="22">
        <v>189</v>
      </c>
      <c r="UQ20" s="501">
        <v>258</v>
      </c>
      <c r="UR20" s="502"/>
      <c r="US20" s="502"/>
      <c r="UT20" s="503"/>
      <c r="UU20" s="22">
        <v>139</v>
      </c>
      <c r="UV20" s="501">
        <v>258</v>
      </c>
      <c r="UW20" s="502"/>
      <c r="UX20" s="502"/>
      <c r="UY20" s="503"/>
      <c r="UZ20" s="22">
        <v>190</v>
      </c>
      <c r="VA20" s="492"/>
      <c r="VB20" s="23"/>
      <c r="VC20" s="519" t="s">
        <v>73</v>
      </c>
      <c r="VD20" s="520"/>
      <c r="VE20" s="520"/>
      <c r="VF20" s="424" t="s">
        <v>15</v>
      </c>
      <c r="VG20" s="501">
        <v>258</v>
      </c>
      <c r="VH20" s="502"/>
      <c r="VI20" s="502"/>
      <c r="VJ20" s="503"/>
      <c r="VK20" s="22">
        <v>147</v>
      </c>
      <c r="VL20" s="501">
        <v>258</v>
      </c>
      <c r="VM20" s="502"/>
      <c r="VN20" s="502"/>
      <c r="VO20" s="503"/>
      <c r="VP20" s="22">
        <v>128</v>
      </c>
      <c r="VQ20" s="501">
        <v>258</v>
      </c>
      <c r="VR20" s="502"/>
      <c r="VS20" s="502"/>
      <c r="VT20" s="503"/>
      <c r="VU20" s="22">
        <v>91</v>
      </c>
      <c r="VV20" s="501">
        <v>258</v>
      </c>
      <c r="VW20" s="502"/>
      <c r="VX20" s="502"/>
      <c r="VY20" s="503"/>
      <c r="VZ20" s="22">
        <v>197</v>
      </c>
      <c r="WA20" s="492"/>
      <c r="WB20" s="23"/>
      <c r="WC20" s="519" t="s">
        <v>73</v>
      </c>
      <c r="WD20" s="520"/>
      <c r="WE20" s="520"/>
      <c r="WF20" s="424" t="s">
        <v>15</v>
      </c>
      <c r="WG20" s="501">
        <v>258</v>
      </c>
      <c r="WH20" s="502"/>
      <c r="WI20" s="502"/>
      <c r="WJ20" s="503"/>
      <c r="WK20" s="22">
        <v>209</v>
      </c>
      <c r="WL20" s="501">
        <v>258</v>
      </c>
      <c r="WM20" s="502"/>
      <c r="WN20" s="502"/>
      <c r="WO20" s="503"/>
      <c r="WP20" s="22">
        <v>160</v>
      </c>
      <c r="WQ20" s="501">
        <v>258</v>
      </c>
      <c r="WR20" s="502"/>
      <c r="WS20" s="502"/>
      <c r="WT20" s="503"/>
      <c r="WU20" s="22">
        <v>126</v>
      </c>
      <c r="WV20" s="501">
        <v>227</v>
      </c>
      <c r="WW20" s="502"/>
      <c r="WX20" s="502"/>
      <c r="WY20" s="503"/>
      <c r="WZ20" s="22">
        <v>145</v>
      </c>
      <c r="XA20" s="492"/>
      <c r="XB20" s="23"/>
      <c r="XC20" s="519" t="s">
        <v>73</v>
      </c>
      <c r="XD20" s="520"/>
      <c r="XE20" s="520"/>
      <c r="XF20" s="424" t="s">
        <v>15</v>
      </c>
      <c r="XG20" s="501">
        <v>253</v>
      </c>
      <c r="XH20" s="502"/>
      <c r="XI20" s="502"/>
      <c r="XJ20" s="503"/>
      <c r="XK20" s="22">
        <v>122</v>
      </c>
      <c r="XL20" s="501">
        <v>253</v>
      </c>
      <c r="XM20" s="502"/>
      <c r="XN20" s="502"/>
      <c r="XO20" s="503"/>
      <c r="XP20" s="22">
        <v>170</v>
      </c>
      <c r="XQ20" s="501">
        <v>253</v>
      </c>
      <c r="XR20" s="502"/>
      <c r="XS20" s="502"/>
      <c r="XT20" s="503"/>
      <c r="XU20" s="22">
        <v>122</v>
      </c>
      <c r="XV20" s="501">
        <v>253</v>
      </c>
      <c r="XW20" s="502"/>
      <c r="XX20" s="502"/>
      <c r="XY20" s="503"/>
      <c r="XZ20" s="22">
        <v>195</v>
      </c>
      <c r="YA20" s="492"/>
      <c r="YB20" s="23"/>
      <c r="YC20" s="519" t="s">
        <v>73</v>
      </c>
      <c r="YD20" s="520"/>
      <c r="YE20" s="520"/>
      <c r="YF20" s="424" t="s">
        <v>15</v>
      </c>
      <c r="YG20" s="501">
        <v>219</v>
      </c>
      <c r="YH20" s="502"/>
      <c r="YI20" s="502"/>
      <c r="YJ20" s="503"/>
      <c r="YK20" s="22">
        <v>198</v>
      </c>
      <c r="YL20" s="501">
        <v>253</v>
      </c>
      <c r="YM20" s="502"/>
      <c r="YN20" s="502"/>
      <c r="YO20" s="503"/>
      <c r="YP20" s="22">
        <v>67</v>
      </c>
      <c r="YQ20" s="501">
        <v>253</v>
      </c>
      <c r="YR20" s="502"/>
      <c r="YS20" s="502"/>
      <c r="YT20" s="503"/>
      <c r="YU20" s="22">
        <v>49</v>
      </c>
      <c r="YV20" s="501">
        <v>253</v>
      </c>
      <c r="YW20" s="502"/>
      <c r="YX20" s="502"/>
      <c r="YY20" s="503"/>
      <c r="YZ20" s="22">
        <v>187</v>
      </c>
      <c r="ZA20" s="492"/>
      <c r="ZB20" s="23"/>
      <c r="ZC20" s="519" t="s">
        <v>73</v>
      </c>
      <c r="ZD20" s="520"/>
      <c r="ZE20" s="520"/>
      <c r="ZF20" s="424" t="s">
        <v>15</v>
      </c>
      <c r="ZG20" s="501">
        <v>227</v>
      </c>
      <c r="ZH20" s="502"/>
      <c r="ZI20" s="502"/>
      <c r="ZJ20" s="503"/>
      <c r="ZK20" s="22">
        <v>164</v>
      </c>
      <c r="ZL20" s="501">
        <v>253</v>
      </c>
      <c r="ZM20" s="502"/>
      <c r="ZN20" s="502"/>
      <c r="ZO20" s="503"/>
      <c r="ZP20" s="22">
        <v>25</v>
      </c>
      <c r="ZQ20" s="501">
        <v>253</v>
      </c>
      <c r="ZR20" s="502"/>
      <c r="ZS20" s="502"/>
      <c r="ZT20" s="503"/>
      <c r="ZU20" s="22">
        <v>197</v>
      </c>
      <c r="ZV20" s="501">
        <v>253</v>
      </c>
      <c r="ZW20" s="502"/>
      <c r="ZX20" s="502"/>
      <c r="ZY20" s="503"/>
      <c r="ZZ20" s="22">
        <v>101</v>
      </c>
      <c r="AAA20" s="492"/>
      <c r="AAB20" s="23"/>
      <c r="AAC20" s="519" t="s">
        <v>73</v>
      </c>
      <c r="AAD20" s="520"/>
      <c r="AAE20" s="520"/>
      <c r="AAF20" s="424" t="s">
        <v>15</v>
      </c>
      <c r="AAG20" s="501">
        <v>253</v>
      </c>
      <c r="AAH20" s="502"/>
      <c r="AAI20" s="502"/>
      <c r="AAJ20" s="503"/>
      <c r="AAK20" s="22">
        <v>119</v>
      </c>
      <c r="AAL20" s="501">
        <v>253</v>
      </c>
      <c r="AAM20" s="502"/>
      <c r="AAN20" s="502"/>
      <c r="AAO20" s="503"/>
      <c r="AAP20" s="22">
        <v>235</v>
      </c>
      <c r="AAQ20" s="501">
        <v>188</v>
      </c>
      <c r="AAR20" s="502"/>
      <c r="AAS20" s="502"/>
      <c r="AAT20" s="503"/>
      <c r="AAU20" s="22">
        <v>0</v>
      </c>
      <c r="AAV20" s="501">
        <v>253</v>
      </c>
      <c r="AAW20" s="502"/>
      <c r="AAX20" s="502"/>
      <c r="AAY20" s="503"/>
      <c r="AAZ20" s="22">
        <v>173</v>
      </c>
      <c r="ABA20" s="492"/>
      <c r="ABB20" s="23"/>
      <c r="ABC20" s="519" t="s">
        <v>73</v>
      </c>
      <c r="ABD20" s="520"/>
      <c r="ABE20" s="520"/>
      <c r="ABF20" s="424" t="s">
        <v>15</v>
      </c>
      <c r="ABG20" s="501">
        <v>253</v>
      </c>
      <c r="ABH20" s="502"/>
      <c r="ABI20" s="502"/>
      <c r="ABJ20" s="503"/>
      <c r="ABK20" s="22">
        <v>106</v>
      </c>
      <c r="ABL20" s="501">
        <v>253</v>
      </c>
      <c r="ABM20" s="502"/>
      <c r="ABN20" s="502"/>
      <c r="ABO20" s="503"/>
      <c r="ABP20" s="22">
        <v>176</v>
      </c>
      <c r="ABQ20" s="501">
        <v>253</v>
      </c>
      <c r="ABR20" s="502"/>
      <c r="ABS20" s="502"/>
      <c r="ABT20" s="503"/>
      <c r="ABU20" s="22">
        <v>55</v>
      </c>
      <c r="ABV20" s="501">
        <v>253</v>
      </c>
      <c r="ABW20" s="502"/>
      <c r="ABX20" s="502"/>
      <c r="ABY20" s="503"/>
      <c r="ABZ20" s="22">
        <v>39</v>
      </c>
      <c r="ACA20" s="492"/>
      <c r="ACB20" s="23"/>
      <c r="ACC20" s="519" t="s">
        <v>73</v>
      </c>
      <c r="ACD20" s="520"/>
      <c r="ACE20" s="520"/>
      <c r="ACF20" s="424" t="s">
        <v>15</v>
      </c>
      <c r="ACG20" s="501">
        <v>253</v>
      </c>
      <c r="ACH20" s="502"/>
      <c r="ACI20" s="502"/>
      <c r="ACJ20" s="503"/>
      <c r="ACK20" s="22">
        <f>19.2</f>
        <v>19.2</v>
      </c>
      <c r="ACL20" s="501">
        <f>253.2</f>
        <v>253.2</v>
      </c>
      <c r="ACM20" s="502"/>
      <c r="ACN20" s="502"/>
      <c r="ACO20" s="503"/>
      <c r="ACP20" s="22">
        <v>125</v>
      </c>
      <c r="ACQ20" s="501">
        <v>253</v>
      </c>
      <c r="ACR20" s="502"/>
      <c r="ACS20" s="502"/>
      <c r="ACT20" s="503"/>
      <c r="ACU20" s="22">
        <v>134</v>
      </c>
      <c r="ACV20" s="501">
        <v>253</v>
      </c>
      <c r="ACW20" s="502"/>
      <c r="ACX20" s="502"/>
      <c r="ACY20" s="503"/>
      <c r="ACZ20" s="22">
        <v>171</v>
      </c>
      <c r="ADA20" s="492"/>
      <c r="ADB20" s="23"/>
      <c r="ADC20" s="519" t="s">
        <v>73</v>
      </c>
      <c r="ADD20" s="520"/>
      <c r="ADE20" s="520"/>
      <c r="ADF20" s="424" t="s">
        <v>15</v>
      </c>
      <c r="ADG20" s="501">
        <v>188</v>
      </c>
      <c r="ADH20" s="502"/>
      <c r="ADI20" s="502"/>
      <c r="ADJ20" s="503"/>
      <c r="ADK20" s="22">
        <v>67</v>
      </c>
      <c r="ADL20" s="501">
        <v>188</v>
      </c>
      <c r="ADM20" s="502"/>
      <c r="ADN20" s="502"/>
      <c r="ADO20" s="503"/>
      <c r="ADP20" s="22">
        <f>188.2</f>
        <v>188.2</v>
      </c>
      <c r="ADQ20" s="501">
        <v>188</v>
      </c>
      <c r="ADR20" s="502"/>
      <c r="ADS20" s="502"/>
      <c r="ADT20" s="503"/>
      <c r="ADU20" s="22">
        <f>145.6</f>
        <v>145.6</v>
      </c>
      <c r="ADV20" s="501">
        <v>188</v>
      </c>
      <c r="ADW20" s="502"/>
      <c r="ADX20" s="502"/>
      <c r="ADY20" s="503"/>
      <c r="ADZ20" s="22">
        <v>109</v>
      </c>
      <c r="AEA20" s="492"/>
      <c r="AEB20" s="23"/>
      <c r="AEC20" s="519" t="s">
        <v>73</v>
      </c>
      <c r="AED20" s="520"/>
      <c r="AEE20" s="520"/>
      <c r="AEF20" s="424" t="s">
        <v>15</v>
      </c>
      <c r="AEG20" s="501">
        <v>159</v>
      </c>
      <c r="AEH20" s="502"/>
      <c r="AEI20" s="502"/>
      <c r="AEJ20" s="503"/>
      <c r="AEK20" s="22">
        <f>73.6</f>
        <v>73.599999999999994</v>
      </c>
      <c r="AEL20" s="501">
        <v>159</v>
      </c>
      <c r="AEM20" s="502"/>
      <c r="AEN20" s="502"/>
      <c r="AEO20" s="503"/>
      <c r="AEP20" s="22">
        <v>80.8</v>
      </c>
      <c r="AEQ20" s="501">
        <f>154.2+5</f>
        <v>159.19999999999999</v>
      </c>
      <c r="AER20" s="502"/>
      <c r="AES20" s="502"/>
      <c r="AET20" s="503"/>
      <c r="AEU20" s="22">
        <v>0</v>
      </c>
      <c r="AEV20" s="501">
        <v>159</v>
      </c>
      <c r="AEW20" s="502"/>
      <c r="AEX20" s="502"/>
      <c r="AEY20" s="503"/>
      <c r="AEZ20" s="22">
        <v>81</v>
      </c>
      <c r="AFA20" s="492"/>
      <c r="AFB20" s="23"/>
      <c r="AFC20" s="519" t="s">
        <v>73</v>
      </c>
      <c r="AFD20" s="520"/>
      <c r="AFE20" s="520"/>
      <c r="AFF20" s="424" t="s">
        <v>15</v>
      </c>
      <c r="AFG20" s="501">
        <v>157</v>
      </c>
      <c r="AFH20" s="502"/>
      <c r="AFI20" s="502"/>
      <c r="AFJ20" s="503"/>
      <c r="AFK20" s="22">
        <v>86</v>
      </c>
      <c r="AFL20" s="501">
        <v>157</v>
      </c>
      <c r="AFM20" s="502"/>
      <c r="AFN20" s="502"/>
      <c r="AFO20" s="503"/>
      <c r="AFP20" s="22">
        <v>79</v>
      </c>
      <c r="AFQ20" s="501">
        <v>157</v>
      </c>
      <c r="AFR20" s="502"/>
      <c r="AFS20" s="502"/>
      <c r="AFT20" s="503"/>
      <c r="AFU20" s="22">
        <v>85</v>
      </c>
      <c r="AFV20" s="501">
        <v>157</v>
      </c>
      <c r="AFW20" s="502"/>
      <c r="AFX20" s="502"/>
      <c r="AFY20" s="503"/>
      <c r="AFZ20" s="22">
        <v>0</v>
      </c>
      <c r="AGA20" s="492"/>
      <c r="AGB20" s="23"/>
      <c r="AGC20" s="519" t="s">
        <v>73</v>
      </c>
      <c r="AGD20" s="520"/>
      <c r="AGE20" s="520"/>
      <c r="AGF20" s="424" t="s">
        <v>15</v>
      </c>
      <c r="AGG20" s="501">
        <v>157</v>
      </c>
      <c r="AGH20" s="502"/>
      <c r="AGI20" s="502"/>
      <c r="AGJ20" s="503"/>
      <c r="AGK20" s="22">
        <v>61</v>
      </c>
      <c r="AGL20" s="501">
        <v>159</v>
      </c>
      <c r="AGM20" s="502"/>
      <c r="AGN20" s="502"/>
      <c r="AGO20" s="503"/>
      <c r="AGP20" s="22">
        <v>82</v>
      </c>
      <c r="AGQ20" s="501">
        <v>159</v>
      </c>
      <c r="AGR20" s="502"/>
      <c r="AGS20" s="502"/>
      <c r="AGT20" s="503"/>
      <c r="AGU20" s="22">
        <v>73</v>
      </c>
      <c r="AGV20" s="501">
        <v>120</v>
      </c>
      <c r="AGW20" s="502"/>
      <c r="AGX20" s="502"/>
      <c r="AGY20" s="503"/>
      <c r="AGZ20" s="22">
        <f>10.9</f>
        <v>10.9</v>
      </c>
      <c r="AHA20" s="492"/>
      <c r="AHB20" s="23"/>
      <c r="AHC20" s="519" t="s">
        <v>73</v>
      </c>
      <c r="AHD20" s="520"/>
      <c r="AHE20" s="520"/>
      <c r="AHF20" s="424" t="s">
        <v>15</v>
      </c>
      <c r="AHG20" s="501">
        <f>2.5+117.2</f>
        <v>119.7</v>
      </c>
      <c r="AHH20" s="502"/>
      <c r="AHI20" s="502"/>
      <c r="AHJ20" s="503"/>
      <c r="AHK20" s="22">
        <v>65</v>
      </c>
      <c r="AHL20" s="501">
        <v>120</v>
      </c>
      <c r="AHM20" s="502"/>
      <c r="AHN20" s="502"/>
      <c r="AHO20" s="503"/>
      <c r="AHP20" s="22">
        <v>65</v>
      </c>
      <c r="AHQ20" s="501">
        <v>120</v>
      </c>
      <c r="AHR20" s="502"/>
      <c r="AHS20" s="502"/>
      <c r="AHT20" s="503"/>
      <c r="AHU20" s="22">
        <v>20</v>
      </c>
      <c r="AHV20" s="501">
        <v>122</v>
      </c>
      <c r="AHW20" s="502"/>
      <c r="AHX20" s="502"/>
      <c r="AHY20" s="503"/>
      <c r="AHZ20" s="22">
        <v>0</v>
      </c>
      <c r="AIA20" s="492"/>
      <c r="AIB20" s="23"/>
      <c r="AIC20" s="519" t="s">
        <v>73</v>
      </c>
      <c r="AID20" s="520"/>
      <c r="AIE20" s="520"/>
      <c r="AIF20" s="424" t="s">
        <v>15</v>
      </c>
      <c r="AIG20" s="501">
        <v>122</v>
      </c>
      <c r="AIH20" s="502"/>
      <c r="AII20" s="502"/>
      <c r="AIJ20" s="503"/>
      <c r="AIK20" s="22">
        <v>28</v>
      </c>
      <c r="AIL20" s="501">
        <v>122</v>
      </c>
      <c r="AIM20" s="502"/>
      <c r="AIN20" s="502"/>
      <c r="AIO20" s="503"/>
      <c r="AIP20" s="22">
        <v>29</v>
      </c>
      <c r="AIQ20" s="501">
        <v>122</v>
      </c>
      <c r="AIR20" s="502"/>
      <c r="AIS20" s="502"/>
      <c r="AIT20" s="503"/>
      <c r="AIU20" s="22">
        <v>61</v>
      </c>
      <c r="AIV20" s="501">
        <v>122</v>
      </c>
      <c r="AIW20" s="502"/>
      <c r="AIX20" s="502"/>
      <c r="AIY20" s="503"/>
      <c r="AIZ20" s="22">
        <v>0</v>
      </c>
      <c r="AJA20" s="492"/>
      <c r="AJB20" s="23"/>
      <c r="AJC20" s="519" t="s">
        <v>73</v>
      </c>
      <c r="AJD20" s="520"/>
      <c r="AJE20" s="520"/>
      <c r="AJF20" s="424" t="s">
        <v>15</v>
      </c>
      <c r="AJG20" s="501">
        <v>224</v>
      </c>
      <c r="AJH20" s="502"/>
      <c r="AJI20" s="502"/>
      <c r="AJJ20" s="503"/>
      <c r="AJK20" s="22">
        <v>112</v>
      </c>
      <c r="AJL20" s="501">
        <v>224</v>
      </c>
      <c r="AJM20" s="502"/>
      <c r="AJN20" s="502"/>
      <c r="AJO20" s="503"/>
      <c r="AJP20" s="22">
        <v>42</v>
      </c>
      <c r="AJQ20" s="501">
        <v>198</v>
      </c>
      <c r="AJR20" s="502"/>
      <c r="AJS20" s="502"/>
      <c r="AJT20" s="503"/>
      <c r="AJU20" s="22">
        <v>53</v>
      </c>
      <c r="AJV20" s="501">
        <v>198</v>
      </c>
      <c r="AJW20" s="502"/>
      <c r="AJX20" s="502"/>
      <c r="AJY20" s="503"/>
      <c r="AJZ20" s="22">
        <v>110</v>
      </c>
      <c r="AKA20" s="492"/>
      <c r="AKB20" s="23"/>
      <c r="AKC20" s="519" t="s">
        <v>73</v>
      </c>
      <c r="AKD20" s="520"/>
      <c r="AKE20" s="520"/>
      <c r="AKF20" s="424" t="s">
        <v>15</v>
      </c>
      <c r="AKG20" s="501">
        <v>198</v>
      </c>
      <c r="AKH20" s="502"/>
      <c r="AKI20" s="502"/>
      <c r="AKJ20" s="503"/>
      <c r="AKK20" s="22">
        <v>113</v>
      </c>
      <c r="AKL20" s="501">
        <v>172</v>
      </c>
      <c r="AKM20" s="502"/>
      <c r="AKN20" s="502"/>
      <c r="AKO20" s="503"/>
      <c r="AKP20" s="22">
        <v>0</v>
      </c>
      <c r="AKQ20" s="501">
        <v>224</v>
      </c>
      <c r="AKR20" s="502"/>
      <c r="AKS20" s="502"/>
      <c r="AKT20" s="503"/>
      <c r="AKU20" s="22">
        <v>109</v>
      </c>
      <c r="AKV20" s="501"/>
      <c r="AKW20" s="502"/>
      <c r="AKX20" s="502"/>
      <c r="AKY20" s="503"/>
      <c r="AKZ20" s="22"/>
    </row>
    <row r="21" spans="1:988" ht="45" customHeight="1" x14ac:dyDescent="0.4">
      <c r="A21" s="492"/>
      <c r="B21" s="23"/>
      <c r="C21" s="457" t="s">
        <v>68</v>
      </c>
      <c r="D21" s="459"/>
      <c r="E21" s="459"/>
      <c r="F21" s="424" t="s">
        <v>16</v>
      </c>
      <c r="G21" s="501">
        <v>239</v>
      </c>
      <c r="H21" s="502"/>
      <c r="I21" s="502"/>
      <c r="J21" s="503"/>
      <c r="K21" s="22">
        <v>238.8</v>
      </c>
      <c r="L21" s="501">
        <v>188</v>
      </c>
      <c r="M21" s="502"/>
      <c r="N21" s="502"/>
      <c r="O21" s="503"/>
      <c r="P21" s="22">
        <v>184.8</v>
      </c>
      <c r="Q21" s="501">
        <v>190</v>
      </c>
      <c r="R21" s="502"/>
      <c r="S21" s="502"/>
      <c r="T21" s="503"/>
      <c r="U21" s="22">
        <v>187</v>
      </c>
      <c r="V21" s="501">
        <v>239</v>
      </c>
      <c r="W21" s="502"/>
      <c r="X21" s="502"/>
      <c r="Y21" s="503"/>
      <c r="Z21" s="22">
        <f>238.8</f>
        <v>238.8</v>
      </c>
      <c r="AA21" s="492"/>
      <c r="AB21" s="23"/>
      <c r="AC21" s="457" t="s">
        <v>68</v>
      </c>
      <c r="AD21" s="459"/>
      <c r="AE21" s="459"/>
      <c r="AF21" s="424" t="s">
        <v>16</v>
      </c>
      <c r="AG21" s="501">
        <f>239</f>
        <v>239</v>
      </c>
      <c r="AH21" s="502"/>
      <c r="AI21" s="502"/>
      <c r="AJ21" s="503"/>
      <c r="AK21" s="22">
        <v>234</v>
      </c>
      <c r="AL21" s="501">
        <v>239</v>
      </c>
      <c r="AM21" s="502"/>
      <c r="AN21" s="502"/>
      <c r="AO21" s="503"/>
      <c r="AP21" s="22">
        <v>238</v>
      </c>
      <c r="AQ21" s="501">
        <v>239</v>
      </c>
      <c r="AR21" s="502"/>
      <c r="AS21" s="502"/>
      <c r="AT21" s="503"/>
      <c r="AU21" s="22">
        <v>235.6</v>
      </c>
      <c r="AV21" s="501">
        <v>239</v>
      </c>
      <c r="AW21" s="502"/>
      <c r="AX21" s="502"/>
      <c r="AY21" s="503"/>
      <c r="AZ21" s="22">
        <v>236</v>
      </c>
      <c r="BA21" s="492"/>
      <c r="BB21" s="23"/>
      <c r="BC21" s="457" t="s">
        <v>68</v>
      </c>
      <c r="BD21" s="459"/>
      <c r="BE21" s="459"/>
      <c r="BF21" s="424" t="s">
        <v>16</v>
      </c>
      <c r="BG21" s="501">
        <v>188</v>
      </c>
      <c r="BH21" s="502"/>
      <c r="BI21" s="502"/>
      <c r="BJ21" s="503"/>
      <c r="BK21" s="22">
        <v>186.8</v>
      </c>
      <c r="BL21" s="501">
        <v>190</v>
      </c>
      <c r="BM21" s="502"/>
      <c r="BN21" s="502"/>
      <c r="BO21" s="503"/>
      <c r="BP21" s="22">
        <v>180</v>
      </c>
      <c r="BQ21" s="501">
        <v>239</v>
      </c>
      <c r="BR21" s="502"/>
      <c r="BS21" s="502"/>
      <c r="BT21" s="503"/>
      <c r="BU21" s="22">
        <v>239</v>
      </c>
      <c r="BV21" s="501">
        <v>239</v>
      </c>
      <c r="BW21" s="502"/>
      <c r="BX21" s="502"/>
      <c r="BY21" s="503"/>
      <c r="BZ21" s="22">
        <v>238.4</v>
      </c>
      <c r="CA21" s="492"/>
      <c r="CB21" s="23"/>
      <c r="CC21" s="457" t="s">
        <v>68</v>
      </c>
      <c r="CD21" s="459"/>
      <c r="CE21" s="459"/>
      <c r="CF21" s="424" t="s">
        <v>16</v>
      </c>
      <c r="CG21" s="501">
        <v>239</v>
      </c>
      <c r="CH21" s="502"/>
      <c r="CI21" s="502"/>
      <c r="CJ21" s="503"/>
      <c r="CK21" s="22">
        <v>235.2</v>
      </c>
      <c r="CL21" s="501">
        <f>188</f>
        <v>188</v>
      </c>
      <c r="CM21" s="502"/>
      <c r="CN21" s="502"/>
      <c r="CO21" s="503"/>
      <c r="CP21" s="22">
        <v>186</v>
      </c>
      <c r="CQ21" s="501">
        <v>188</v>
      </c>
      <c r="CR21" s="502"/>
      <c r="CS21" s="502"/>
      <c r="CT21" s="503"/>
      <c r="CU21" s="22">
        <v>189</v>
      </c>
      <c r="CV21" s="501">
        <v>239</v>
      </c>
      <c r="CW21" s="502"/>
      <c r="CX21" s="502"/>
      <c r="CY21" s="503"/>
      <c r="CZ21" s="22">
        <v>239</v>
      </c>
      <c r="DA21" s="492"/>
      <c r="DB21" s="23"/>
      <c r="DC21" s="457" t="s">
        <v>68</v>
      </c>
      <c r="DD21" s="459"/>
      <c r="DE21" s="459"/>
      <c r="DF21" s="424" t="s">
        <v>16</v>
      </c>
      <c r="DG21" s="501">
        <v>239</v>
      </c>
      <c r="DH21" s="502"/>
      <c r="DI21" s="502"/>
      <c r="DJ21" s="503"/>
      <c r="DK21" s="22">
        <v>247</v>
      </c>
      <c r="DL21" s="501">
        <v>239</v>
      </c>
      <c r="DM21" s="502"/>
      <c r="DN21" s="502"/>
      <c r="DO21" s="503"/>
      <c r="DP21" s="22">
        <v>238.4</v>
      </c>
      <c r="DQ21" s="501">
        <v>239</v>
      </c>
      <c r="DR21" s="502"/>
      <c r="DS21" s="502"/>
      <c r="DT21" s="503"/>
      <c r="DU21" s="22">
        <v>238</v>
      </c>
      <c r="DV21" s="501">
        <f>188</f>
        <v>188</v>
      </c>
      <c r="DW21" s="502"/>
      <c r="DX21" s="502"/>
      <c r="DY21" s="503"/>
      <c r="DZ21" s="22">
        <v>179</v>
      </c>
      <c r="EA21" s="492"/>
      <c r="EB21" s="23"/>
      <c r="EC21" s="457" t="s">
        <v>68</v>
      </c>
      <c r="ED21" s="459"/>
      <c r="EE21" s="459"/>
      <c r="EF21" s="424" t="s">
        <v>16</v>
      </c>
      <c r="EG21" s="501">
        <v>239</v>
      </c>
      <c r="EH21" s="502"/>
      <c r="EI21" s="502"/>
      <c r="EJ21" s="503"/>
      <c r="EK21" s="22">
        <f>236</f>
        <v>236</v>
      </c>
      <c r="EL21" s="501">
        <v>239</v>
      </c>
      <c r="EM21" s="502"/>
      <c r="EN21" s="502"/>
      <c r="EO21" s="503"/>
      <c r="EP21" s="22">
        <v>234.4</v>
      </c>
      <c r="EQ21" s="501">
        <f>178.7</f>
        <v>178.7</v>
      </c>
      <c r="ER21" s="502"/>
      <c r="ES21" s="502"/>
      <c r="ET21" s="503"/>
      <c r="EU21" s="22">
        <v>167.2</v>
      </c>
      <c r="EV21" s="501">
        <v>186</v>
      </c>
      <c r="EW21" s="502"/>
      <c r="EX21" s="502"/>
      <c r="EY21" s="503"/>
      <c r="EZ21" s="22">
        <f>185.6</f>
        <v>185.6</v>
      </c>
      <c r="FA21" s="492"/>
      <c r="FB21" s="23"/>
      <c r="FC21" s="457" t="s">
        <v>68</v>
      </c>
      <c r="FD21" s="459"/>
      <c r="FE21" s="459"/>
      <c r="FF21" s="424" t="s">
        <v>16</v>
      </c>
      <c r="FG21" s="501">
        <v>185</v>
      </c>
      <c r="FH21" s="502"/>
      <c r="FI21" s="502"/>
      <c r="FJ21" s="503"/>
      <c r="FK21" s="22">
        <v>181</v>
      </c>
      <c r="FL21" s="501">
        <f>169.7</f>
        <v>169.7</v>
      </c>
      <c r="FM21" s="502"/>
      <c r="FN21" s="502"/>
      <c r="FO21" s="503"/>
      <c r="FP21" s="22">
        <v>169</v>
      </c>
      <c r="FQ21" s="501">
        <v>161</v>
      </c>
      <c r="FR21" s="502"/>
      <c r="FS21" s="502"/>
      <c r="FT21" s="503"/>
      <c r="FU21" s="22">
        <v>165</v>
      </c>
      <c r="FV21" s="501">
        <v>165</v>
      </c>
      <c r="FW21" s="502"/>
      <c r="FX21" s="502"/>
      <c r="FY21" s="503"/>
      <c r="FZ21" s="22">
        <v>165</v>
      </c>
      <c r="GA21" s="492"/>
      <c r="GB21" s="23"/>
      <c r="GC21" s="457" t="s">
        <v>68</v>
      </c>
      <c r="GD21" s="459"/>
      <c r="GE21" s="459"/>
      <c r="GF21" s="424" t="s">
        <v>16</v>
      </c>
      <c r="GG21" s="501">
        <v>200</v>
      </c>
      <c r="GH21" s="502"/>
      <c r="GI21" s="502"/>
      <c r="GJ21" s="503"/>
      <c r="GK21" s="22">
        <v>38</v>
      </c>
      <c r="GL21" s="501">
        <v>187</v>
      </c>
      <c r="GM21" s="502"/>
      <c r="GN21" s="502"/>
      <c r="GO21" s="503"/>
      <c r="GP21" s="22">
        <v>177.6</v>
      </c>
      <c r="GQ21" s="501">
        <v>187</v>
      </c>
      <c r="GR21" s="502"/>
      <c r="GS21" s="502"/>
      <c r="GT21" s="503"/>
      <c r="GU21" s="22">
        <v>186</v>
      </c>
      <c r="GV21" s="501">
        <v>187</v>
      </c>
      <c r="GW21" s="502"/>
      <c r="GX21" s="502"/>
      <c r="GY21" s="503"/>
      <c r="GZ21" s="22">
        <v>186</v>
      </c>
      <c r="HA21" s="492"/>
      <c r="HB21" s="23"/>
      <c r="HC21" s="457" t="s">
        <v>68</v>
      </c>
      <c r="HD21" s="459"/>
      <c r="HE21" s="459"/>
      <c r="HF21" s="424" t="s">
        <v>16</v>
      </c>
      <c r="HG21" s="501">
        <v>185</v>
      </c>
      <c r="HH21" s="502"/>
      <c r="HI21" s="502"/>
      <c r="HJ21" s="503"/>
      <c r="HK21" s="22">
        <v>183</v>
      </c>
      <c r="HL21" s="501">
        <v>228</v>
      </c>
      <c r="HM21" s="502"/>
      <c r="HN21" s="502"/>
      <c r="HO21" s="503"/>
      <c r="HP21" s="22">
        <v>224</v>
      </c>
      <c r="HQ21" s="501">
        <v>228</v>
      </c>
      <c r="HR21" s="502"/>
      <c r="HS21" s="502"/>
      <c r="HT21" s="503"/>
      <c r="HU21" s="22">
        <f>226.4</f>
        <v>226.4</v>
      </c>
      <c r="HV21" s="501">
        <f>228</f>
        <v>228</v>
      </c>
      <c r="HW21" s="502"/>
      <c r="HX21" s="502"/>
      <c r="HY21" s="503"/>
      <c r="HZ21" s="22">
        <v>233</v>
      </c>
      <c r="IA21" s="492"/>
      <c r="IB21" s="23"/>
      <c r="IC21" s="457" t="s">
        <v>68</v>
      </c>
      <c r="ID21" s="459"/>
      <c r="IE21" s="459"/>
      <c r="IF21" s="424" t="s">
        <v>16</v>
      </c>
      <c r="IG21" s="501">
        <f>187</f>
        <v>187</v>
      </c>
      <c r="IH21" s="502"/>
      <c r="II21" s="502"/>
      <c r="IJ21" s="503"/>
      <c r="IK21" s="22">
        <v>164</v>
      </c>
      <c r="IL21" s="501">
        <v>187</v>
      </c>
      <c r="IM21" s="502"/>
      <c r="IN21" s="502"/>
      <c r="IO21" s="503"/>
      <c r="IP21" s="22">
        <f>187</f>
        <v>187</v>
      </c>
      <c r="IQ21" s="501">
        <v>165.6</v>
      </c>
      <c r="IR21" s="502"/>
      <c r="IS21" s="502"/>
      <c r="IT21" s="503"/>
      <c r="IU21" s="22">
        <v>170.4</v>
      </c>
      <c r="IV21" s="501">
        <v>253</v>
      </c>
      <c r="IW21" s="502"/>
      <c r="IX21" s="502"/>
      <c r="IY21" s="503"/>
      <c r="IZ21" s="22">
        <v>253</v>
      </c>
      <c r="JA21" s="492"/>
      <c r="JB21" s="23"/>
      <c r="JC21" s="457" t="s">
        <v>68</v>
      </c>
      <c r="JD21" s="459"/>
      <c r="JE21" s="459"/>
      <c r="JF21" s="424" t="s">
        <v>16</v>
      </c>
      <c r="JG21" s="501">
        <v>203</v>
      </c>
      <c r="JH21" s="502"/>
      <c r="JI21" s="502"/>
      <c r="JJ21" s="503"/>
      <c r="JK21" s="22">
        <v>203</v>
      </c>
      <c r="JL21" s="501">
        <v>228</v>
      </c>
      <c r="JM21" s="502"/>
      <c r="JN21" s="502"/>
      <c r="JO21" s="503"/>
      <c r="JP21" s="22">
        <v>228</v>
      </c>
      <c r="JQ21" s="501">
        <f>244</f>
        <v>244</v>
      </c>
      <c r="JR21" s="502"/>
      <c r="JS21" s="502"/>
      <c r="JT21" s="503"/>
      <c r="JU21" s="22">
        <v>250</v>
      </c>
      <c r="JV21" s="501">
        <f>240</f>
        <v>240</v>
      </c>
      <c r="JW21" s="502"/>
      <c r="JX21" s="502"/>
      <c r="JY21" s="503"/>
      <c r="JZ21" s="22">
        <v>240</v>
      </c>
      <c r="KA21" s="492"/>
      <c r="KB21" s="23"/>
      <c r="KC21" s="457" t="s">
        <v>68</v>
      </c>
      <c r="KD21" s="459"/>
      <c r="KE21" s="459"/>
      <c r="KF21" s="424" t="s">
        <v>16</v>
      </c>
      <c r="KG21" s="501">
        <f>236</f>
        <v>236</v>
      </c>
      <c r="KH21" s="502"/>
      <c r="KI21" s="502"/>
      <c r="KJ21" s="503"/>
      <c r="KK21" s="22">
        <v>236</v>
      </c>
      <c r="KL21" s="501">
        <v>222</v>
      </c>
      <c r="KM21" s="502"/>
      <c r="KN21" s="502"/>
      <c r="KO21" s="503"/>
      <c r="KP21" s="22">
        <v>222</v>
      </c>
      <c r="KQ21" s="501">
        <f>211</f>
        <v>211</v>
      </c>
      <c r="KR21" s="502"/>
      <c r="KS21" s="502"/>
      <c r="KT21" s="503"/>
      <c r="KU21" s="22">
        <v>211</v>
      </c>
      <c r="KV21" s="501">
        <v>211</v>
      </c>
      <c r="KW21" s="502"/>
      <c r="KX21" s="502"/>
      <c r="KY21" s="503"/>
      <c r="KZ21" s="22">
        <v>211</v>
      </c>
      <c r="LA21" s="492"/>
      <c r="LB21" s="23"/>
      <c r="LC21" s="457" t="s">
        <v>68</v>
      </c>
      <c r="LD21" s="459"/>
      <c r="LE21" s="459"/>
      <c r="LF21" s="424" t="s">
        <v>16</v>
      </c>
      <c r="LG21" s="501">
        <f>194</f>
        <v>194</v>
      </c>
      <c r="LH21" s="502"/>
      <c r="LI21" s="502"/>
      <c r="LJ21" s="503"/>
      <c r="LK21" s="22">
        <v>194</v>
      </c>
      <c r="LL21" s="501">
        <v>192</v>
      </c>
      <c r="LM21" s="502"/>
      <c r="LN21" s="502"/>
      <c r="LO21" s="503"/>
      <c r="LP21" s="22">
        <v>194</v>
      </c>
      <c r="LQ21" s="501">
        <v>194</v>
      </c>
      <c r="LR21" s="502"/>
      <c r="LS21" s="502"/>
      <c r="LT21" s="503"/>
      <c r="LU21" s="22">
        <v>194</v>
      </c>
      <c r="LV21" s="501">
        <v>194</v>
      </c>
      <c r="LW21" s="502"/>
      <c r="LX21" s="502"/>
      <c r="LY21" s="503"/>
      <c r="LZ21" s="22">
        <v>194</v>
      </c>
      <c r="MA21" s="492"/>
      <c r="MB21" s="23"/>
      <c r="MC21" s="457" t="s">
        <v>68</v>
      </c>
      <c r="MD21" s="459"/>
      <c r="ME21" s="459"/>
      <c r="MF21" s="424" t="s">
        <v>16</v>
      </c>
      <c r="MG21" s="501">
        <v>239</v>
      </c>
      <c r="MH21" s="502"/>
      <c r="MI21" s="502"/>
      <c r="MJ21" s="503"/>
      <c r="MK21" s="22">
        <v>239</v>
      </c>
      <c r="ML21" s="501">
        <v>239</v>
      </c>
      <c r="MM21" s="502"/>
      <c r="MN21" s="502"/>
      <c r="MO21" s="503"/>
      <c r="MP21" s="22">
        <v>239</v>
      </c>
      <c r="MQ21" s="501">
        <v>239</v>
      </c>
      <c r="MR21" s="502"/>
      <c r="MS21" s="502"/>
      <c r="MT21" s="503"/>
      <c r="MU21" s="22">
        <v>239</v>
      </c>
      <c r="MV21" s="501">
        <v>235</v>
      </c>
      <c r="MW21" s="502"/>
      <c r="MX21" s="502"/>
      <c r="MY21" s="503"/>
      <c r="MZ21" s="22">
        <v>234.9</v>
      </c>
      <c r="NA21" s="492"/>
      <c r="NB21" s="23"/>
      <c r="NC21" s="457" t="s">
        <v>68</v>
      </c>
      <c r="ND21" s="459"/>
      <c r="NE21" s="459"/>
      <c r="NF21" s="424" t="s">
        <v>16</v>
      </c>
      <c r="NG21" s="501">
        <v>194</v>
      </c>
      <c r="NH21" s="502"/>
      <c r="NI21" s="502"/>
      <c r="NJ21" s="503"/>
      <c r="NK21" s="22">
        <v>194</v>
      </c>
      <c r="NL21" s="501">
        <v>112</v>
      </c>
      <c r="NM21" s="502"/>
      <c r="NN21" s="502"/>
      <c r="NO21" s="503"/>
      <c r="NP21" s="22">
        <v>112.4</v>
      </c>
      <c r="NQ21" s="501">
        <v>239</v>
      </c>
      <c r="NR21" s="502"/>
      <c r="NS21" s="502"/>
      <c r="NT21" s="503"/>
      <c r="NU21" s="22">
        <v>239</v>
      </c>
      <c r="NV21" s="501">
        <v>239</v>
      </c>
      <c r="NW21" s="502"/>
      <c r="NX21" s="502"/>
      <c r="NY21" s="503"/>
      <c r="NZ21" s="22">
        <v>239</v>
      </c>
      <c r="OA21" s="492"/>
      <c r="OB21" s="23"/>
      <c r="OC21" s="457" t="s">
        <v>68</v>
      </c>
      <c r="OD21" s="459"/>
      <c r="OE21" s="459"/>
      <c r="OF21" s="424" t="s">
        <v>16</v>
      </c>
      <c r="OG21" s="501">
        <v>239</v>
      </c>
      <c r="OH21" s="502"/>
      <c r="OI21" s="502"/>
      <c r="OJ21" s="503"/>
      <c r="OK21" s="22">
        <v>241.9</v>
      </c>
      <c r="OL21" s="501">
        <v>194</v>
      </c>
      <c r="OM21" s="502"/>
      <c r="ON21" s="502"/>
      <c r="OO21" s="503"/>
      <c r="OP21" s="22">
        <v>194</v>
      </c>
      <c r="OQ21" s="501">
        <v>236</v>
      </c>
      <c r="OR21" s="502"/>
      <c r="OS21" s="502"/>
      <c r="OT21" s="503"/>
      <c r="OU21" s="22">
        <v>236</v>
      </c>
      <c r="OV21" s="501">
        <v>238</v>
      </c>
      <c r="OW21" s="502"/>
      <c r="OX21" s="502"/>
      <c r="OY21" s="503"/>
      <c r="OZ21" s="22">
        <v>237.8</v>
      </c>
      <c r="PA21" s="492"/>
      <c r="PB21" s="23"/>
      <c r="PC21" s="457" t="s">
        <v>68</v>
      </c>
      <c r="PD21" s="459"/>
      <c r="PE21" s="459"/>
      <c r="PF21" s="424" t="s">
        <v>16</v>
      </c>
      <c r="PG21" s="501">
        <v>238</v>
      </c>
      <c r="PH21" s="502"/>
      <c r="PI21" s="502"/>
      <c r="PJ21" s="503"/>
      <c r="PK21" s="22">
        <v>238</v>
      </c>
      <c r="PL21" s="501">
        <v>237.9</v>
      </c>
      <c r="PM21" s="502"/>
      <c r="PN21" s="502"/>
      <c r="PO21" s="503"/>
      <c r="PP21" s="22">
        <v>237.9</v>
      </c>
      <c r="PQ21" s="501">
        <v>193</v>
      </c>
      <c r="PR21" s="502"/>
      <c r="PS21" s="502"/>
      <c r="PT21" s="503"/>
      <c r="PU21" s="22">
        <v>194</v>
      </c>
      <c r="PV21" s="501">
        <v>194</v>
      </c>
      <c r="PW21" s="502"/>
      <c r="PX21" s="502"/>
      <c r="PY21" s="503"/>
      <c r="PZ21" s="22">
        <f>194</f>
        <v>194</v>
      </c>
      <c r="QA21" s="492"/>
      <c r="QB21" s="23"/>
      <c r="QC21" s="457" t="s">
        <v>68</v>
      </c>
      <c r="QD21" s="459"/>
      <c r="QE21" s="459"/>
      <c r="QF21" s="424" t="s">
        <v>16</v>
      </c>
      <c r="QG21" s="501">
        <v>239</v>
      </c>
      <c r="QH21" s="502"/>
      <c r="QI21" s="502"/>
      <c r="QJ21" s="503"/>
      <c r="QK21" s="22">
        <f>239</f>
        <v>239</v>
      </c>
      <c r="QL21" s="501">
        <v>247</v>
      </c>
      <c r="QM21" s="502"/>
      <c r="QN21" s="502"/>
      <c r="QO21" s="503"/>
      <c r="QP21" s="22">
        <v>247</v>
      </c>
      <c r="QQ21" s="501">
        <f>196</f>
        <v>196</v>
      </c>
      <c r="QR21" s="502"/>
      <c r="QS21" s="502"/>
      <c r="QT21" s="503"/>
      <c r="QU21" s="22">
        <f>196</f>
        <v>196</v>
      </c>
      <c r="QV21" s="501">
        <v>247</v>
      </c>
      <c r="QW21" s="502"/>
      <c r="QX21" s="502"/>
      <c r="QY21" s="503"/>
      <c r="QZ21" s="22">
        <v>247</v>
      </c>
      <c r="RA21" s="492"/>
      <c r="RB21" s="23"/>
      <c r="RC21" s="457" t="s">
        <v>68</v>
      </c>
      <c r="RD21" s="459"/>
      <c r="RE21" s="459"/>
      <c r="RF21" s="424" t="s">
        <v>16</v>
      </c>
      <c r="RG21" s="501">
        <v>196</v>
      </c>
      <c r="RH21" s="502"/>
      <c r="RI21" s="502"/>
      <c r="RJ21" s="503"/>
      <c r="RK21" s="22">
        <v>196</v>
      </c>
      <c r="RL21" s="501">
        <v>196</v>
      </c>
      <c r="RM21" s="502"/>
      <c r="RN21" s="502"/>
      <c r="RO21" s="503"/>
      <c r="RP21" s="22">
        <v>195</v>
      </c>
      <c r="RQ21" s="501">
        <v>247</v>
      </c>
      <c r="RR21" s="502"/>
      <c r="RS21" s="502"/>
      <c r="RT21" s="503"/>
      <c r="RU21" s="414">
        <v>247</v>
      </c>
      <c r="RV21" s="571">
        <v>247</v>
      </c>
      <c r="RW21" s="502"/>
      <c r="RX21" s="502"/>
      <c r="RY21" s="572"/>
      <c r="RZ21" s="22">
        <v>247</v>
      </c>
      <c r="SA21" s="492"/>
      <c r="SB21" s="23"/>
      <c r="SC21" s="457" t="s">
        <v>68</v>
      </c>
      <c r="SD21" s="459"/>
      <c r="SE21" s="459"/>
      <c r="SF21" s="424" t="s">
        <v>16</v>
      </c>
      <c r="SG21" s="501">
        <v>196</v>
      </c>
      <c r="SH21" s="502"/>
      <c r="SI21" s="502"/>
      <c r="SJ21" s="503"/>
      <c r="SK21" s="22">
        <v>196</v>
      </c>
      <c r="SL21" s="501">
        <v>247</v>
      </c>
      <c r="SM21" s="502"/>
      <c r="SN21" s="502"/>
      <c r="SO21" s="503"/>
      <c r="SP21" s="22">
        <v>247</v>
      </c>
      <c r="SQ21" s="501">
        <v>252</v>
      </c>
      <c r="SR21" s="502"/>
      <c r="SS21" s="502"/>
      <c r="ST21" s="503"/>
      <c r="SU21" s="22">
        <v>252</v>
      </c>
      <c r="SV21" s="501">
        <v>252</v>
      </c>
      <c r="SW21" s="502"/>
      <c r="SX21" s="502"/>
      <c r="SY21" s="503"/>
      <c r="SZ21" s="22">
        <v>252</v>
      </c>
      <c r="TA21" s="492"/>
      <c r="TB21" s="23"/>
      <c r="TC21" s="457" t="s">
        <v>68</v>
      </c>
      <c r="TD21" s="459"/>
      <c r="TE21" s="459"/>
      <c r="TF21" s="424" t="s">
        <v>16</v>
      </c>
      <c r="TG21" s="501">
        <v>252</v>
      </c>
      <c r="TH21" s="502"/>
      <c r="TI21" s="502"/>
      <c r="TJ21" s="503"/>
      <c r="TK21" s="22">
        <v>252</v>
      </c>
      <c r="TL21" s="501">
        <v>228</v>
      </c>
      <c r="TM21" s="502"/>
      <c r="TN21" s="502"/>
      <c r="TO21" s="503"/>
      <c r="TP21" s="22">
        <v>228</v>
      </c>
      <c r="TQ21" s="501">
        <f>200</f>
        <v>200</v>
      </c>
      <c r="TR21" s="502"/>
      <c r="TS21" s="502"/>
      <c r="TT21" s="503"/>
      <c r="TU21" s="22">
        <v>200</v>
      </c>
      <c r="TV21" s="501">
        <v>201</v>
      </c>
      <c r="TW21" s="502"/>
      <c r="TX21" s="502"/>
      <c r="TY21" s="503"/>
      <c r="TZ21" s="22">
        <v>201</v>
      </c>
      <c r="UA21" s="492"/>
      <c r="UB21" s="23"/>
      <c r="UC21" s="457" t="s">
        <v>68</v>
      </c>
      <c r="UD21" s="459"/>
      <c r="UE21" s="459"/>
      <c r="UF21" s="424" t="s">
        <v>16</v>
      </c>
      <c r="UG21" s="501">
        <v>252</v>
      </c>
      <c r="UH21" s="502"/>
      <c r="UI21" s="502"/>
      <c r="UJ21" s="503"/>
      <c r="UK21" s="414">
        <v>252</v>
      </c>
      <c r="UL21" s="501">
        <v>209</v>
      </c>
      <c r="UM21" s="502"/>
      <c r="UN21" s="502"/>
      <c r="UO21" s="503"/>
      <c r="UP21" s="22">
        <v>209</v>
      </c>
      <c r="UQ21" s="501">
        <v>209</v>
      </c>
      <c r="UR21" s="502"/>
      <c r="US21" s="502"/>
      <c r="UT21" s="503"/>
      <c r="UU21" s="22">
        <v>209</v>
      </c>
      <c r="UV21" s="501">
        <v>253</v>
      </c>
      <c r="UW21" s="502"/>
      <c r="UX21" s="502"/>
      <c r="UY21" s="503"/>
      <c r="UZ21" s="22">
        <v>253</v>
      </c>
      <c r="VA21" s="492"/>
      <c r="VB21" s="23"/>
      <c r="VC21" s="457" t="s">
        <v>68</v>
      </c>
      <c r="VD21" s="459"/>
      <c r="VE21" s="459"/>
      <c r="VF21" s="424" t="s">
        <v>16</v>
      </c>
      <c r="VG21" s="501">
        <v>196</v>
      </c>
      <c r="VH21" s="502"/>
      <c r="VI21" s="502"/>
      <c r="VJ21" s="503"/>
      <c r="VK21" s="22">
        <v>196</v>
      </c>
      <c r="VL21" s="501">
        <v>196</v>
      </c>
      <c r="VM21" s="502"/>
      <c r="VN21" s="502"/>
      <c r="VO21" s="503"/>
      <c r="VP21" s="22">
        <v>196</v>
      </c>
      <c r="VQ21" s="501">
        <v>196</v>
      </c>
      <c r="VR21" s="502"/>
      <c r="VS21" s="502"/>
      <c r="VT21" s="503"/>
      <c r="VU21" s="22">
        <v>196</v>
      </c>
      <c r="VV21" s="501">
        <v>198</v>
      </c>
      <c r="VW21" s="502"/>
      <c r="VX21" s="502"/>
      <c r="VY21" s="503"/>
      <c r="VZ21" s="22">
        <v>196</v>
      </c>
      <c r="WA21" s="492"/>
      <c r="WB21" s="23"/>
      <c r="WC21" s="457" t="s">
        <v>68</v>
      </c>
      <c r="WD21" s="459"/>
      <c r="WE21" s="459"/>
      <c r="WF21" s="424" t="s">
        <v>16</v>
      </c>
      <c r="WG21" s="501">
        <v>196</v>
      </c>
      <c r="WH21" s="502"/>
      <c r="WI21" s="502"/>
      <c r="WJ21" s="503"/>
      <c r="WK21" s="22">
        <v>196</v>
      </c>
      <c r="WL21" s="501">
        <v>196</v>
      </c>
      <c r="WM21" s="502"/>
      <c r="WN21" s="502"/>
      <c r="WO21" s="503"/>
      <c r="WP21" s="22">
        <v>196</v>
      </c>
      <c r="WQ21" s="501">
        <v>223</v>
      </c>
      <c r="WR21" s="502"/>
      <c r="WS21" s="502"/>
      <c r="WT21" s="503"/>
      <c r="WU21" s="22">
        <v>221</v>
      </c>
      <c r="WV21" s="501">
        <v>284</v>
      </c>
      <c r="WW21" s="502"/>
      <c r="WX21" s="502"/>
      <c r="WY21" s="503"/>
      <c r="WZ21" s="22">
        <v>284</v>
      </c>
      <c r="XA21" s="492"/>
      <c r="XB21" s="23"/>
      <c r="XC21" s="457" t="s">
        <v>68</v>
      </c>
      <c r="XD21" s="459"/>
      <c r="XE21" s="459"/>
      <c r="XF21" s="424" t="s">
        <v>16</v>
      </c>
      <c r="XG21" s="501">
        <v>221</v>
      </c>
      <c r="XH21" s="502"/>
      <c r="XI21" s="502"/>
      <c r="XJ21" s="503"/>
      <c r="XK21" s="22">
        <v>221</v>
      </c>
      <c r="XL21" s="501">
        <v>223</v>
      </c>
      <c r="XM21" s="502"/>
      <c r="XN21" s="502"/>
      <c r="XO21" s="503"/>
      <c r="XP21" s="22">
        <v>221</v>
      </c>
      <c r="XQ21" s="501">
        <v>223</v>
      </c>
      <c r="XR21" s="502"/>
      <c r="XS21" s="502"/>
      <c r="XT21" s="503"/>
      <c r="XU21" s="22">
        <v>223</v>
      </c>
      <c r="XV21" s="501">
        <v>284</v>
      </c>
      <c r="XW21" s="502"/>
      <c r="XX21" s="502"/>
      <c r="XY21" s="503"/>
      <c r="XZ21" s="22">
        <v>284</v>
      </c>
      <c r="YA21" s="492"/>
      <c r="YB21" s="23"/>
      <c r="YC21" s="457" t="s">
        <v>68</v>
      </c>
      <c r="YD21" s="459"/>
      <c r="YE21" s="459"/>
      <c r="YF21" s="424" t="s">
        <v>16</v>
      </c>
      <c r="YG21" s="501">
        <v>284</v>
      </c>
      <c r="YH21" s="502"/>
      <c r="YI21" s="502"/>
      <c r="YJ21" s="503"/>
      <c r="YK21" s="22">
        <v>284</v>
      </c>
      <c r="YL21" s="501">
        <v>284</v>
      </c>
      <c r="YM21" s="502"/>
      <c r="YN21" s="502"/>
      <c r="YO21" s="503"/>
      <c r="YP21" s="22">
        <v>284</v>
      </c>
      <c r="YQ21" s="501">
        <v>221</v>
      </c>
      <c r="YR21" s="502"/>
      <c r="YS21" s="502"/>
      <c r="YT21" s="503"/>
      <c r="YU21" s="22">
        <v>221</v>
      </c>
      <c r="YV21" s="501">
        <v>223</v>
      </c>
      <c r="YW21" s="502"/>
      <c r="YX21" s="502"/>
      <c r="YY21" s="503"/>
      <c r="YZ21" s="22">
        <v>223</v>
      </c>
      <c r="ZA21" s="492"/>
      <c r="ZB21" s="23"/>
      <c r="ZC21" s="457" t="s">
        <v>68</v>
      </c>
      <c r="ZD21" s="459"/>
      <c r="ZE21" s="459"/>
      <c r="ZF21" s="424" t="s">
        <v>16</v>
      </c>
      <c r="ZG21" s="501">
        <v>263</v>
      </c>
      <c r="ZH21" s="502"/>
      <c r="ZI21" s="502"/>
      <c r="ZJ21" s="503"/>
      <c r="ZK21" s="22">
        <v>263</v>
      </c>
      <c r="ZL21" s="501">
        <v>216</v>
      </c>
      <c r="ZM21" s="502"/>
      <c r="ZN21" s="502"/>
      <c r="ZO21" s="503"/>
      <c r="ZP21" s="22">
        <v>216</v>
      </c>
      <c r="ZQ21" s="501">
        <v>218</v>
      </c>
      <c r="ZR21" s="502"/>
      <c r="ZS21" s="502"/>
      <c r="ZT21" s="503"/>
      <c r="ZU21" s="22">
        <v>220</v>
      </c>
      <c r="ZV21" s="501">
        <v>263</v>
      </c>
      <c r="ZW21" s="502"/>
      <c r="ZX21" s="502"/>
      <c r="ZY21" s="503"/>
      <c r="ZZ21" s="22">
        <v>263</v>
      </c>
      <c r="AAA21" s="492"/>
      <c r="AAB21" s="23"/>
      <c r="AAC21" s="457" t="s">
        <v>68</v>
      </c>
      <c r="AAD21" s="459"/>
      <c r="AAE21" s="459"/>
      <c r="AAF21" s="424" t="s">
        <v>16</v>
      </c>
      <c r="AAG21" s="501">
        <v>218</v>
      </c>
      <c r="AAH21" s="502"/>
      <c r="AAI21" s="502"/>
      <c r="AAJ21" s="503"/>
      <c r="AAK21" s="22">
        <v>216</v>
      </c>
      <c r="AAL21" s="501">
        <v>218</v>
      </c>
      <c r="AAM21" s="502"/>
      <c r="AAN21" s="502"/>
      <c r="AAO21" s="503"/>
      <c r="AAP21" s="22">
        <v>218</v>
      </c>
      <c r="AAQ21" s="501">
        <v>263</v>
      </c>
      <c r="AAR21" s="502"/>
      <c r="AAS21" s="502"/>
      <c r="AAT21" s="503"/>
      <c r="AAU21" s="22">
        <v>263</v>
      </c>
      <c r="AAV21" s="501">
        <v>263</v>
      </c>
      <c r="AAW21" s="502"/>
      <c r="AAX21" s="502"/>
      <c r="AAY21" s="503"/>
      <c r="AAZ21" s="22">
        <v>263</v>
      </c>
      <c r="ABA21" s="492"/>
      <c r="ABB21" s="23"/>
      <c r="ABC21" s="457" t="s">
        <v>68</v>
      </c>
      <c r="ABD21" s="459"/>
      <c r="ABE21" s="459"/>
      <c r="ABF21" s="424" t="s">
        <v>16</v>
      </c>
      <c r="ABG21" s="501">
        <v>263</v>
      </c>
      <c r="ABH21" s="502"/>
      <c r="ABI21" s="502"/>
      <c r="ABJ21" s="503"/>
      <c r="ABK21" s="22">
        <v>268</v>
      </c>
      <c r="ABL21" s="501">
        <v>263</v>
      </c>
      <c r="ABM21" s="502"/>
      <c r="ABN21" s="502"/>
      <c r="ABO21" s="503"/>
      <c r="ABP21" s="22">
        <v>263</v>
      </c>
      <c r="ABQ21" s="501">
        <v>263</v>
      </c>
      <c r="ABR21" s="502"/>
      <c r="ABS21" s="502"/>
      <c r="ABT21" s="503"/>
      <c r="ABU21" s="22">
        <v>263</v>
      </c>
      <c r="ABV21" s="501">
        <v>216</v>
      </c>
      <c r="ABW21" s="502"/>
      <c r="ABX21" s="502"/>
      <c r="ABY21" s="503"/>
      <c r="ABZ21" s="22">
        <v>216</v>
      </c>
      <c r="ACA21" s="492"/>
      <c r="ACB21" s="23"/>
      <c r="ACC21" s="457" t="s">
        <v>68</v>
      </c>
      <c r="ACD21" s="459"/>
      <c r="ACE21" s="459"/>
      <c r="ACF21" s="424" t="s">
        <v>16</v>
      </c>
      <c r="ACG21" s="501">
        <v>212</v>
      </c>
      <c r="ACH21" s="502"/>
      <c r="ACI21" s="502"/>
      <c r="ACJ21" s="503"/>
      <c r="ACK21" s="22">
        <f>212</f>
        <v>212</v>
      </c>
      <c r="ACL21" s="501">
        <f>263</f>
        <v>263</v>
      </c>
      <c r="ACM21" s="502"/>
      <c r="ACN21" s="502"/>
      <c r="ACO21" s="503"/>
      <c r="ACP21" s="22">
        <v>263</v>
      </c>
      <c r="ACQ21" s="501">
        <v>263</v>
      </c>
      <c r="ACR21" s="502"/>
      <c r="ACS21" s="502"/>
      <c r="ACT21" s="503"/>
      <c r="ACU21" s="22">
        <v>263</v>
      </c>
      <c r="ACV21" s="501">
        <v>263</v>
      </c>
      <c r="ACW21" s="502"/>
      <c r="ACX21" s="502"/>
      <c r="ACY21" s="503"/>
      <c r="ACZ21" s="22">
        <v>263</v>
      </c>
      <c r="ADA21" s="492"/>
      <c r="ADB21" s="23"/>
      <c r="ADC21" s="457" t="s">
        <v>68</v>
      </c>
      <c r="ADD21" s="459"/>
      <c r="ADE21" s="459"/>
      <c r="ADF21" s="424" t="s">
        <v>16</v>
      </c>
      <c r="ADG21" s="501">
        <v>216</v>
      </c>
      <c r="ADH21" s="502"/>
      <c r="ADI21" s="502"/>
      <c r="ADJ21" s="503"/>
      <c r="ADK21" s="22">
        <v>216</v>
      </c>
      <c r="ADL21" s="501">
        <v>218</v>
      </c>
      <c r="ADM21" s="502"/>
      <c r="ADN21" s="502"/>
      <c r="ADO21" s="503"/>
      <c r="ADP21" s="22">
        <f>212</f>
        <v>212</v>
      </c>
      <c r="ADQ21" s="501">
        <v>263</v>
      </c>
      <c r="ADR21" s="502"/>
      <c r="ADS21" s="502"/>
      <c r="ADT21" s="503"/>
      <c r="ADU21" s="22">
        <f>263</f>
        <v>263</v>
      </c>
      <c r="ADV21" s="501">
        <v>263</v>
      </c>
      <c r="ADW21" s="502"/>
      <c r="ADX21" s="502"/>
      <c r="ADY21" s="503"/>
      <c r="ADZ21" s="22">
        <v>263</v>
      </c>
      <c r="AEA21" s="492"/>
      <c r="AEB21" s="23"/>
      <c r="AEC21" s="457" t="s">
        <v>68</v>
      </c>
      <c r="AED21" s="459"/>
      <c r="AEE21" s="459"/>
      <c r="AEF21" s="424" t="s">
        <v>16</v>
      </c>
      <c r="AEG21" s="501">
        <v>262</v>
      </c>
      <c r="AEH21" s="502"/>
      <c r="AEI21" s="502"/>
      <c r="AEJ21" s="503"/>
      <c r="AEK21" s="22">
        <f>262</f>
        <v>262</v>
      </c>
      <c r="AEL21" s="501">
        <v>262</v>
      </c>
      <c r="AEM21" s="502"/>
      <c r="AEN21" s="502"/>
      <c r="AEO21" s="503"/>
      <c r="AEP21" s="22">
        <v>262</v>
      </c>
      <c r="AEQ21" s="501">
        <f>214</f>
        <v>214</v>
      </c>
      <c r="AER21" s="502"/>
      <c r="AES21" s="502"/>
      <c r="AET21" s="503"/>
      <c r="AEU21" s="22">
        <v>216</v>
      </c>
      <c r="AEV21" s="501">
        <v>214</v>
      </c>
      <c r="AEW21" s="502"/>
      <c r="AEX21" s="502"/>
      <c r="AEY21" s="503"/>
      <c r="AEZ21" s="22">
        <v>211</v>
      </c>
      <c r="AFA21" s="492"/>
      <c r="AFB21" s="23"/>
      <c r="AFC21" s="457" t="s">
        <v>68</v>
      </c>
      <c r="AFD21" s="459"/>
      <c r="AFE21" s="459"/>
      <c r="AFF21" s="424" t="s">
        <v>16</v>
      </c>
      <c r="AFG21" s="501">
        <v>262</v>
      </c>
      <c r="AFH21" s="502"/>
      <c r="AFI21" s="502"/>
      <c r="AFJ21" s="503"/>
      <c r="AFK21" s="22">
        <v>262</v>
      </c>
      <c r="AFL21" s="501">
        <v>262</v>
      </c>
      <c r="AFM21" s="502"/>
      <c r="AFN21" s="502"/>
      <c r="AFO21" s="503"/>
      <c r="AFP21" s="22">
        <v>262</v>
      </c>
      <c r="AFQ21" s="501">
        <v>262</v>
      </c>
      <c r="AFR21" s="502"/>
      <c r="AFS21" s="502"/>
      <c r="AFT21" s="503"/>
      <c r="AFU21" s="22">
        <v>262</v>
      </c>
      <c r="AFV21" s="501">
        <v>254.2</v>
      </c>
      <c r="AFW21" s="502"/>
      <c r="AFX21" s="502"/>
      <c r="AFY21" s="503"/>
      <c r="AFZ21" s="22">
        <v>254</v>
      </c>
      <c r="AGA21" s="492"/>
      <c r="AGB21" s="23"/>
      <c r="AGC21" s="457" t="s">
        <v>68</v>
      </c>
      <c r="AGD21" s="459"/>
      <c r="AGE21" s="459"/>
      <c r="AGF21" s="424" t="s">
        <v>16</v>
      </c>
      <c r="AGG21" s="501">
        <v>262</v>
      </c>
      <c r="AGH21" s="502"/>
      <c r="AGI21" s="502"/>
      <c r="AGJ21" s="503"/>
      <c r="AGK21" s="22">
        <v>262</v>
      </c>
      <c r="AGL21" s="501">
        <v>214</v>
      </c>
      <c r="AGM21" s="502"/>
      <c r="AGN21" s="502"/>
      <c r="AGO21" s="503"/>
      <c r="AGP21" s="22">
        <v>216</v>
      </c>
      <c r="AGQ21" s="501">
        <v>218</v>
      </c>
      <c r="AGR21" s="502"/>
      <c r="AGS21" s="502"/>
      <c r="AGT21" s="503"/>
      <c r="AGU21" s="22">
        <v>220</v>
      </c>
      <c r="AGV21" s="501">
        <v>249.1</v>
      </c>
      <c r="AGW21" s="502"/>
      <c r="AGX21" s="502"/>
      <c r="AGY21" s="503"/>
      <c r="AGZ21" s="22">
        <f>249.1</f>
        <v>249.1</v>
      </c>
      <c r="AHA21" s="492"/>
      <c r="AHB21" s="23"/>
      <c r="AHC21" s="457" t="s">
        <v>68</v>
      </c>
      <c r="AHD21" s="459"/>
      <c r="AHE21" s="459"/>
      <c r="AHF21" s="424" t="s">
        <v>16</v>
      </c>
      <c r="AHG21" s="501">
        <f>249.1</f>
        <v>249.1</v>
      </c>
      <c r="AHH21" s="502"/>
      <c r="AHI21" s="502"/>
      <c r="AHJ21" s="503"/>
      <c r="AHK21" s="22">
        <v>249</v>
      </c>
      <c r="AHL21" s="501">
        <v>249.1</v>
      </c>
      <c r="AHM21" s="502"/>
      <c r="AHN21" s="502"/>
      <c r="AHO21" s="503"/>
      <c r="AHP21" s="22">
        <v>249</v>
      </c>
      <c r="AHQ21" s="501">
        <v>249</v>
      </c>
      <c r="AHR21" s="502"/>
      <c r="AHS21" s="502"/>
      <c r="AHT21" s="503"/>
      <c r="AHU21" s="22">
        <v>249</v>
      </c>
      <c r="AHV21" s="501">
        <v>206</v>
      </c>
      <c r="AHW21" s="502"/>
      <c r="AHX21" s="502"/>
      <c r="AHY21" s="503"/>
      <c r="AHZ21" s="22">
        <v>204</v>
      </c>
      <c r="AIA21" s="492"/>
      <c r="AIB21" s="23"/>
      <c r="AIC21" s="457" t="s">
        <v>68</v>
      </c>
      <c r="AID21" s="459"/>
      <c r="AIE21" s="459"/>
      <c r="AIF21" s="424" t="s">
        <v>16</v>
      </c>
      <c r="AIG21" s="501">
        <v>206</v>
      </c>
      <c r="AIH21" s="502"/>
      <c r="AII21" s="502"/>
      <c r="AIJ21" s="503"/>
      <c r="AIK21" s="22">
        <v>208</v>
      </c>
      <c r="AIL21" s="501">
        <v>249</v>
      </c>
      <c r="AIM21" s="502"/>
      <c r="AIN21" s="502"/>
      <c r="AIO21" s="503"/>
      <c r="AIP21" s="22">
        <v>264</v>
      </c>
      <c r="AIQ21" s="501">
        <v>207.9</v>
      </c>
      <c r="AIR21" s="502"/>
      <c r="AIS21" s="502"/>
      <c r="AIT21" s="503"/>
      <c r="AIU21" s="22">
        <v>220</v>
      </c>
      <c r="AIV21" s="501">
        <v>249</v>
      </c>
      <c r="AIW21" s="502"/>
      <c r="AIX21" s="502"/>
      <c r="AIY21" s="503"/>
      <c r="AIZ21" s="22">
        <v>249</v>
      </c>
      <c r="AJA21" s="492"/>
      <c r="AJB21" s="23"/>
      <c r="AJC21" s="457" t="s">
        <v>68</v>
      </c>
      <c r="AJD21" s="459"/>
      <c r="AJE21" s="459"/>
      <c r="AJF21" s="424" t="s">
        <v>16</v>
      </c>
      <c r="AJG21" s="501">
        <v>208</v>
      </c>
      <c r="AJH21" s="502"/>
      <c r="AJI21" s="502"/>
      <c r="AJJ21" s="503"/>
      <c r="AJK21" s="22">
        <v>204</v>
      </c>
      <c r="AJL21" s="501">
        <v>203</v>
      </c>
      <c r="AJM21" s="502"/>
      <c r="AJN21" s="502"/>
      <c r="AJO21" s="503"/>
      <c r="AJP21" s="22">
        <v>203</v>
      </c>
      <c r="AJQ21" s="501">
        <v>249</v>
      </c>
      <c r="AJR21" s="502"/>
      <c r="AJS21" s="502"/>
      <c r="AJT21" s="503"/>
      <c r="AJU21" s="22">
        <v>249</v>
      </c>
      <c r="AJV21" s="501">
        <v>249</v>
      </c>
      <c r="AJW21" s="502"/>
      <c r="AJX21" s="502"/>
      <c r="AJY21" s="503"/>
      <c r="AJZ21" s="22">
        <v>249</v>
      </c>
      <c r="AKA21" s="492"/>
      <c r="AKB21" s="23"/>
      <c r="AKC21" s="457" t="s">
        <v>68</v>
      </c>
      <c r="AKD21" s="459"/>
      <c r="AKE21" s="459"/>
      <c r="AKF21" s="424" t="s">
        <v>16</v>
      </c>
      <c r="AKG21" s="501">
        <v>249</v>
      </c>
      <c r="AKH21" s="502"/>
      <c r="AKI21" s="502"/>
      <c r="AKJ21" s="503"/>
      <c r="AKK21" s="22">
        <v>249</v>
      </c>
      <c r="AKL21" s="501">
        <v>256</v>
      </c>
      <c r="AKM21" s="502"/>
      <c r="AKN21" s="502"/>
      <c r="AKO21" s="503"/>
      <c r="AKP21" s="22">
        <v>256</v>
      </c>
      <c r="AKQ21" s="501">
        <v>249</v>
      </c>
      <c r="AKR21" s="502"/>
      <c r="AKS21" s="502"/>
      <c r="AKT21" s="503"/>
      <c r="AKU21" s="22">
        <v>249</v>
      </c>
      <c r="AKV21" s="501"/>
      <c r="AKW21" s="502"/>
      <c r="AKX21" s="502"/>
      <c r="AKY21" s="503"/>
      <c r="AKZ21" s="22"/>
    </row>
    <row r="22" spans="1:988" ht="45" customHeight="1" x14ac:dyDescent="0.4">
      <c r="A22" s="492"/>
      <c r="B22" s="528" t="s">
        <v>18</v>
      </c>
      <c r="C22" s="466"/>
      <c r="D22" s="466"/>
      <c r="E22" s="466"/>
      <c r="F22" s="467"/>
      <c r="G22" s="501">
        <v>1338</v>
      </c>
      <c r="H22" s="502"/>
      <c r="I22" s="502"/>
      <c r="J22" s="503"/>
      <c r="K22" s="22">
        <v>1286</v>
      </c>
      <c r="L22" s="501">
        <v>1194</v>
      </c>
      <c r="M22" s="502"/>
      <c r="N22" s="502"/>
      <c r="O22" s="503"/>
      <c r="P22" s="22">
        <f>SUM(P19:P21)</f>
        <v>1105</v>
      </c>
      <c r="Q22" s="501">
        <v>1152</v>
      </c>
      <c r="R22" s="502"/>
      <c r="S22" s="502"/>
      <c r="T22" s="503"/>
      <c r="U22" s="22">
        <f>U19+U20+U21</f>
        <v>1138.2</v>
      </c>
      <c r="V22" s="501">
        <v>1298</v>
      </c>
      <c r="W22" s="502"/>
      <c r="X22" s="502"/>
      <c r="Y22" s="503"/>
      <c r="Z22" s="22">
        <f>Z19+Z20+Z21</f>
        <v>1320.2</v>
      </c>
      <c r="AA22" s="492"/>
      <c r="AB22" s="528" t="s">
        <v>18</v>
      </c>
      <c r="AC22" s="466"/>
      <c r="AD22" s="466"/>
      <c r="AE22" s="466"/>
      <c r="AF22" s="467"/>
      <c r="AG22" s="501">
        <f>AG19+AG20+AG21</f>
        <v>1266.7</v>
      </c>
      <c r="AH22" s="502"/>
      <c r="AI22" s="502"/>
      <c r="AJ22" s="503"/>
      <c r="AK22" s="22">
        <f>SUM(AK19:AK21)</f>
        <v>1278</v>
      </c>
      <c r="AL22" s="501">
        <v>1262</v>
      </c>
      <c r="AM22" s="502"/>
      <c r="AN22" s="502"/>
      <c r="AO22" s="503"/>
      <c r="AP22" s="22">
        <f>SUM(AP19:AP21)</f>
        <v>1232.2</v>
      </c>
      <c r="AQ22" s="501">
        <v>1239</v>
      </c>
      <c r="AR22" s="502"/>
      <c r="AS22" s="502"/>
      <c r="AT22" s="503"/>
      <c r="AU22" s="22">
        <f>SUM(AU19:AU21)</f>
        <v>1165</v>
      </c>
      <c r="AV22" s="501">
        <v>1292</v>
      </c>
      <c r="AW22" s="502"/>
      <c r="AX22" s="502"/>
      <c r="AY22" s="503"/>
      <c r="AZ22" s="22">
        <f>SUM(AZ19:AZ21)</f>
        <v>1296</v>
      </c>
      <c r="BA22" s="492"/>
      <c r="BB22" s="528" t="s">
        <v>18</v>
      </c>
      <c r="BC22" s="466"/>
      <c r="BD22" s="466"/>
      <c r="BE22" s="466"/>
      <c r="BF22" s="467"/>
      <c r="BG22" s="501">
        <v>1170</v>
      </c>
      <c r="BH22" s="502"/>
      <c r="BI22" s="502"/>
      <c r="BJ22" s="503"/>
      <c r="BK22" s="22">
        <f>BK19+BK20+BK21</f>
        <v>1105.4000000000001</v>
      </c>
      <c r="BL22" s="501">
        <v>1121</v>
      </c>
      <c r="BM22" s="502"/>
      <c r="BN22" s="502"/>
      <c r="BO22" s="503"/>
      <c r="BP22" s="22">
        <f>BP19+BP20+BP21</f>
        <v>1111</v>
      </c>
      <c r="BQ22" s="501">
        <v>1145</v>
      </c>
      <c r="BR22" s="502"/>
      <c r="BS22" s="502"/>
      <c r="BT22" s="503"/>
      <c r="BU22" s="22">
        <f>BU19+BU20+BU21</f>
        <v>1211</v>
      </c>
      <c r="BV22" s="501">
        <v>1212</v>
      </c>
      <c r="BW22" s="502"/>
      <c r="BX22" s="502"/>
      <c r="BY22" s="503"/>
      <c r="BZ22" s="22">
        <v>1251.4000000000001</v>
      </c>
      <c r="CA22" s="492"/>
      <c r="CB22" s="528" t="s">
        <v>18</v>
      </c>
      <c r="CC22" s="466"/>
      <c r="CD22" s="466"/>
      <c r="CE22" s="466"/>
      <c r="CF22" s="467"/>
      <c r="CG22" s="501">
        <v>1246</v>
      </c>
      <c r="CH22" s="502"/>
      <c r="CI22" s="502"/>
      <c r="CJ22" s="503"/>
      <c r="CK22" s="22">
        <f>CK19+CK20+CK21-0.8</f>
        <v>1121</v>
      </c>
      <c r="CL22" s="501">
        <f>758+224+188</f>
        <v>1170</v>
      </c>
      <c r="CM22" s="502"/>
      <c r="CN22" s="502"/>
      <c r="CO22" s="503"/>
      <c r="CP22" s="22">
        <f>CP19+CP20+CP21</f>
        <v>1178</v>
      </c>
      <c r="CQ22" s="501">
        <v>1123</v>
      </c>
      <c r="CR22" s="502"/>
      <c r="CS22" s="502"/>
      <c r="CT22" s="503"/>
      <c r="CU22" s="22">
        <f>CU19+CU20+CU21</f>
        <v>1143</v>
      </c>
      <c r="CV22" s="501">
        <v>1218</v>
      </c>
      <c r="CW22" s="502"/>
      <c r="CX22" s="502"/>
      <c r="CY22" s="503"/>
      <c r="CZ22" s="22">
        <f>CZ19+CZ20+CZ21</f>
        <v>1069</v>
      </c>
      <c r="DA22" s="492"/>
      <c r="DB22" s="528" t="s">
        <v>18</v>
      </c>
      <c r="DC22" s="466"/>
      <c r="DD22" s="466"/>
      <c r="DE22" s="466"/>
      <c r="DF22" s="467"/>
      <c r="DG22" s="501">
        <v>1270</v>
      </c>
      <c r="DH22" s="502"/>
      <c r="DI22" s="502"/>
      <c r="DJ22" s="503"/>
      <c r="DK22" s="22">
        <f>SUM(DK19:DK21)</f>
        <v>1297</v>
      </c>
      <c r="DL22" s="501">
        <v>1283</v>
      </c>
      <c r="DM22" s="502"/>
      <c r="DN22" s="502"/>
      <c r="DO22" s="503"/>
      <c r="DP22" s="22">
        <f>SUM(DP19:DP21)</f>
        <v>1302.8</v>
      </c>
      <c r="DQ22" s="501">
        <v>1312</v>
      </c>
      <c r="DR22" s="502"/>
      <c r="DS22" s="502"/>
      <c r="DT22" s="503"/>
      <c r="DU22" s="22">
        <v>1316.6</v>
      </c>
      <c r="DV22" s="501">
        <f>701+224+188</f>
        <v>1113</v>
      </c>
      <c r="DW22" s="502"/>
      <c r="DX22" s="502"/>
      <c r="DY22" s="503"/>
      <c r="DZ22" s="22">
        <f>DZ19+DZ20+DZ21</f>
        <v>983</v>
      </c>
      <c r="EA22" s="492"/>
      <c r="EB22" s="528" t="s">
        <v>18</v>
      </c>
      <c r="EC22" s="466"/>
      <c r="ED22" s="466"/>
      <c r="EE22" s="466"/>
      <c r="EF22" s="467"/>
      <c r="EG22" s="501">
        <v>1301</v>
      </c>
      <c r="EH22" s="502"/>
      <c r="EI22" s="502"/>
      <c r="EJ22" s="503"/>
      <c r="EK22" s="22">
        <f>EK19+EK20+EK21</f>
        <v>1331.2</v>
      </c>
      <c r="EL22" s="501">
        <v>1339</v>
      </c>
      <c r="EM22" s="502"/>
      <c r="EN22" s="502"/>
      <c r="EO22" s="503"/>
      <c r="EP22" s="22">
        <f>SUM(EP19:EP21)</f>
        <v>1349.2</v>
      </c>
      <c r="EQ22" s="501">
        <v>1142</v>
      </c>
      <c r="ER22" s="502"/>
      <c r="ES22" s="502"/>
      <c r="ET22" s="503"/>
      <c r="EU22" s="22">
        <f>SUM(EU19:EU21)</f>
        <v>1165</v>
      </c>
      <c r="EV22" s="501">
        <v>1063</v>
      </c>
      <c r="EW22" s="502"/>
      <c r="EX22" s="502"/>
      <c r="EY22" s="503"/>
      <c r="EZ22" s="22">
        <f>EZ19+EZ20+EZ21</f>
        <v>1016.6</v>
      </c>
      <c r="FA22" s="492"/>
      <c r="FB22" s="528" t="s">
        <v>18</v>
      </c>
      <c r="FC22" s="466"/>
      <c r="FD22" s="466"/>
      <c r="FE22" s="466"/>
      <c r="FF22" s="467"/>
      <c r="FG22" s="501">
        <v>1235</v>
      </c>
      <c r="FH22" s="502"/>
      <c r="FI22" s="502"/>
      <c r="FJ22" s="503"/>
      <c r="FK22" s="22">
        <f>SUM(FK19:FK21)</f>
        <v>1099</v>
      </c>
      <c r="FL22" s="501">
        <f>FL19+FL20+FL21</f>
        <v>1096.9000000000001</v>
      </c>
      <c r="FM22" s="502"/>
      <c r="FN22" s="502"/>
      <c r="FO22" s="503"/>
      <c r="FP22" s="22">
        <f>SUM(FP19:FP21)</f>
        <v>1077</v>
      </c>
      <c r="FQ22" s="501">
        <v>1056</v>
      </c>
      <c r="FR22" s="502"/>
      <c r="FS22" s="502"/>
      <c r="FT22" s="503"/>
      <c r="FU22" s="22">
        <v>1088.6000000000001</v>
      </c>
      <c r="FV22" s="501">
        <v>1066</v>
      </c>
      <c r="FW22" s="502"/>
      <c r="FX22" s="502"/>
      <c r="FY22" s="503"/>
      <c r="FZ22" s="22">
        <f>FZ19+FZ20+FZ21</f>
        <v>1082</v>
      </c>
      <c r="GA22" s="492"/>
      <c r="GB22" s="528" t="s">
        <v>18</v>
      </c>
      <c r="GC22" s="466"/>
      <c r="GD22" s="466"/>
      <c r="GE22" s="466"/>
      <c r="GF22" s="467"/>
      <c r="GG22" s="501">
        <v>1208</v>
      </c>
      <c r="GH22" s="502"/>
      <c r="GI22" s="502"/>
      <c r="GJ22" s="503"/>
      <c r="GK22" s="22">
        <f>SUM(GK19:GK21)</f>
        <v>988</v>
      </c>
      <c r="GL22" s="501">
        <v>1165</v>
      </c>
      <c r="GM22" s="502"/>
      <c r="GN22" s="502"/>
      <c r="GO22" s="503"/>
      <c r="GP22" s="22">
        <f>SUM(GP19:GP21)</f>
        <v>1212</v>
      </c>
      <c r="GQ22" s="501">
        <v>1128</v>
      </c>
      <c r="GR22" s="502"/>
      <c r="GS22" s="502"/>
      <c r="GT22" s="503"/>
      <c r="GU22" s="22">
        <f>SUM(GU19:GU21)</f>
        <v>1132</v>
      </c>
      <c r="GV22" s="501">
        <v>1113</v>
      </c>
      <c r="GW22" s="502"/>
      <c r="GX22" s="502"/>
      <c r="GY22" s="503"/>
      <c r="GZ22" s="22">
        <f>SUM(GZ19:GZ21)</f>
        <v>1191</v>
      </c>
      <c r="HA22" s="492"/>
      <c r="HB22" s="528" t="s">
        <v>18</v>
      </c>
      <c r="HC22" s="466"/>
      <c r="HD22" s="466"/>
      <c r="HE22" s="466"/>
      <c r="HF22" s="467"/>
      <c r="HG22" s="501">
        <v>1114</v>
      </c>
      <c r="HH22" s="502"/>
      <c r="HI22" s="502"/>
      <c r="HJ22" s="503"/>
      <c r="HK22" s="22">
        <f>SUM(HK19:HK21)</f>
        <v>983</v>
      </c>
      <c r="HL22" s="501">
        <v>1315</v>
      </c>
      <c r="HM22" s="502"/>
      <c r="HN22" s="502"/>
      <c r="HO22" s="503"/>
      <c r="HP22" s="22">
        <f>SUM(HP19:HP21)</f>
        <v>1202</v>
      </c>
      <c r="HQ22" s="501">
        <v>1281</v>
      </c>
      <c r="HR22" s="502"/>
      <c r="HS22" s="502"/>
      <c r="HT22" s="503"/>
      <c r="HU22" s="22">
        <v>1236</v>
      </c>
      <c r="HV22" s="501">
        <f>HV19+HV20+HV21</f>
        <v>1293.3</v>
      </c>
      <c r="HW22" s="502"/>
      <c r="HX22" s="502"/>
      <c r="HY22" s="503"/>
      <c r="HZ22" s="22">
        <f>SUM(HZ19:HZ21)</f>
        <v>1349</v>
      </c>
      <c r="IA22" s="492"/>
      <c r="IB22" s="528" t="s">
        <v>18</v>
      </c>
      <c r="IC22" s="466"/>
      <c r="ID22" s="466"/>
      <c r="IE22" s="466"/>
      <c r="IF22" s="467"/>
      <c r="IG22" s="501">
        <f>IG19+IG20+IG21</f>
        <v>1180.2</v>
      </c>
      <c r="IH22" s="502"/>
      <c r="II22" s="502"/>
      <c r="IJ22" s="503"/>
      <c r="IK22" s="22">
        <f>SUM(IK19:IK21)</f>
        <v>1040</v>
      </c>
      <c r="IL22" s="501">
        <v>1194</v>
      </c>
      <c r="IM22" s="502"/>
      <c r="IN22" s="502"/>
      <c r="IO22" s="503"/>
      <c r="IP22" s="22">
        <f>IP19+IP20+IP21</f>
        <v>1176.2</v>
      </c>
      <c r="IQ22" s="501">
        <v>1159</v>
      </c>
      <c r="IR22" s="502"/>
      <c r="IS22" s="502"/>
      <c r="IT22" s="503"/>
      <c r="IU22" s="22">
        <f>SUM(IU19:IU21)</f>
        <v>1060</v>
      </c>
      <c r="IV22" s="501">
        <v>1391</v>
      </c>
      <c r="IW22" s="502"/>
      <c r="IX22" s="502"/>
      <c r="IY22" s="503"/>
      <c r="IZ22" s="22">
        <f>SUM(IZ19:IZ21)</f>
        <v>1372</v>
      </c>
      <c r="JA22" s="492"/>
      <c r="JB22" s="528" t="s">
        <v>18</v>
      </c>
      <c r="JC22" s="466"/>
      <c r="JD22" s="466"/>
      <c r="JE22" s="466"/>
      <c r="JF22" s="467"/>
      <c r="JG22" s="501">
        <v>1285</v>
      </c>
      <c r="JH22" s="502"/>
      <c r="JI22" s="502"/>
      <c r="JJ22" s="503"/>
      <c r="JK22" s="22">
        <f>SUM(JK19:JK21)</f>
        <v>1261</v>
      </c>
      <c r="JL22" s="501">
        <v>1563</v>
      </c>
      <c r="JM22" s="502"/>
      <c r="JN22" s="502"/>
      <c r="JO22" s="503"/>
      <c r="JP22" s="22">
        <f>SUM(JP19:JP21)</f>
        <v>1365</v>
      </c>
      <c r="JQ22" s="501">
        <f>JQ19+JQ20+JQ21</f>
        <v>1464.28</v>
      </c>
      <c r="JR22" s="502"/>
      <c r="JS22" s="502"/>
      <c r="JT22" s="503"/>
      <c r="JU22" s="22">
        <v>1438</v>
      </c>
      <c r="JV22" s="501">
        <f>JV19+JV20+JV21</f>
        <v>1486.04</v>
      </c>
      <c r="JW22" s="502"/>
      <c r="JX22" s="502"/>
      <c r="JY22" s="503"/>
      <c r="JZ22" s="22">
        <v>1482</v>
      </c>
      <c r="KA22" s="492"/>
      <c r="KB22" s="528" t="s">
        <v>18</v>
      </c>
      <c r="KC22" s="466"/>
      <c r="KD22" s="466"/>
      <c r="KE22" s="466"/>
      <c r="KF22" s="467"/>
      <c r="KG22" s="501">
        <f>KG19+KG20+KG21</f>
        <v>1469.58</v>
      </c>
      <c r="KH22" s="502"/>
      <c r="KI22" s="502"/>
      <c r="KJ22" s="503"/>
      <c r="KK22" s="22">
        <v>1364</v>
      </c>
      <c r="KL22" s="501">
        <v>1158</v>
      </c>
      <c r="KM22" s="502"/>
      <c r="KN22" s="502"/>
      <c r="KO22" s="503"/>
      <c r="KP22" s="22">
        <f>SUM(KP19:KP21)</f>
        <v>1427</v>
      </c>
      <c r="KQ22" s="501">
        <f>KQ19+KQ20+KQ21</f>
        <v>1322.1</v>
      </c>
      <c r="KR22" s="502"/>
      <c r="KS22" s="502"/>
      <c r="KT22" s="503"/>
      <c r="KU22" s="22">
        <f>SUM(KU19:KU21)</f>
        <v>1320.8</v>
      </c>
      <c r="KV22" s="501">
        <v>1260</v>
      </c>
      <c r="KW22" s="502"/>
      <c r="KX22" s="502"/>
      <c r="KY22" s="503"/>
      <c r="KZ22" s="22">
        <v>1208</v>
      </c>
      <c r="LA22" s="492"/>
      <c r="LB22" s="528" t="s">
        <v>18</v>
      </c>
      <c r="LC22" s="466"/>
      <c r="LD22" s="466"/>
      <c r="LE22" s="466"/>
      <c r="LF22" s="467"/>
      <c r="LG22" s="501">
        <f>LG19+LG20+LG21</f>
        <v>1339.78</v>
      </c>
      <c r="LH22" s="502"/>
      <c r="LI22" s="502"/>
      <c r="LJ22" s="503"/>
      <c r="LK22" s="22">
        <f>SUM(LK19:LK21)</f>
        <v>1309</v>
      </c>
      <c r="LL22" s="501">
        <v>1197</v>
      </c>
      <c r="LM22" s="502"/>
      <c r="LN22" s="502"/>
      <c r="LO22" s="503"/>
      <c r="LP22" s="22">
        <v>1291</v>
      </c>
      <c r="LQ22" s="501">
        <v>1210</v>
      </c>
      <c r="LR22" s="502"/>
      <c r="LS22" s="502"/>
      <c r="LT22" s="503"/>
      <c r="LU22" s="22">
        <v>1078</v>
      </c>
      <c r="LV22" s="501">
        <v>1110</v>
      </c>
      <c r="LW22" s="502"/>
      <c r="LX22" s="502"/>
      <c r="LY22" s="503"/>
      <c r="LZ22" s="22">
        <f>LZ19+LZ20+LZ21</f>
        <v>1082.4000000000001</v>
      </c>
      <c r="MA22" s="492"/>
      <c r="MB22" s="528" t="s">
        <v>18</v>
      </c>
      <c r="MC22" s="466"/>
      <c r="MD22" s="466"/>
      <c r="ME22" s="466"/>
      <c r="MF22" s="467"/>
      <c r="MG22" s="501">
        <f>MG19+MG20+MG21</f>
        <v>1269</v>
      </c>
      <c r="MH22" s="502"/>
      <c r="MI22" s="502"/>
      <c r="MJ22" s="503"/>
      <c r="MK22" s="22">
        <f>SUM(MK19:MK21)</f>
        <v>1156</v>
      </c>
      <c r="ML22" s="501">
        <v>1258</v>
      </c>
      <c r="MM22" s="502"/>
      <c r="MN22" s="502"/>
      <c r="MO22" s="503"/>
      <c r="MP22" s="22">
        <f>SUM(MP19:MP21)</f>
        <v>1145</v>
      </c>
      <c r="MQ22" s="501">
        <v>1319</v>
      </c>
      <c r="MR22" s="502"/>
      <c r="MS22" s="502"/>
      <c r="MT22" s="503"/>
      <c r="MU22" s="22">
        <f>SUM(MU19:MU21)</f>
        <v>1264.2</v>
      </c>
      <c r="MV22" s="501">
        <v>1331</v>
      </c>
      <c r="MW22" s="502"/>
      <c r="MX22" s="502"/>
      <c r="MY22" s="503"/>
      <c r="MZ22" s="22">
        <f>SUM(MZ19:MZ21)</f>
        <v>1334.8000000000002</v>
      </c>
      <c r="NA22" s="492"/>
      <c r="NB22" s="528" t="s">
        <v>18</v>
      </c>
      <c r="NC22" s="466"/>
      <c r="ND22" s="466"/>
      <c r="NE22" s="466"/>
      <c r="NF22" s="467"/>
      <c r="NG22" s="501">
        <v>1214</v>
      </c>
      <c r="NH22" s="502"/>
      <c r="NI22" s="502"/>
      <c r="NJ22" s="503"/>
      <c r="NK22" s="22">
        <f>SUM(NK19:NK21)</f>
        <v>1198</v>
      </c>
      <c r="NL22" s="501">
        <f>SUM(NL19:NO21)</f>
        <v>1083.3</v>
      </c>
      <c r="NM22" s="502"/>
      <c r="NN22" s="502"/>
      <c r="NO22" s="503"/>
      <c r="NP22" s="22">
        <f>NP19+NP20+NP21</f>
        <v>1039.4000000000001</v>
      </c>
      <c r="NQ22" s="501">
        <v>1287</v>
      </c>
      <c r="NR22" s="502"/>
      <c r="NS22" s="502"/>
      <c r="NT22" s="503"/>
      <c r="NU22" s="22">
        <v>1274</v>
      </c>
      <c r="NV22" s="501">
        <v>1290</v>
      </c>
      <c r="NW22" s="502"/>
      <c r="NX22" s="502"/>
      <c r="NY22" s="503"/>
      <c r="NZ22" s="22">
        <v>1232</v>
      </c>
      <c r="OA22" s="492"/>
      <c r="OB22" s="528" t="s">
        <v>18</v>
      </c>
      <c r="OC22" s="466"/>
      <c r="OD22" s="466"/>
      <c r="OE22" s="466"/>
      <c r="OF22" s="467"/>
      <c r="OG22" s="501">
        <v>1235</v>
      </c>
      <c r="OH22" s="502"/>
      <c r="OI22" s="502"/>
      <c r="OJ22" s="503"/>
      <c r="OK22" s="22">
        <f>SUM(OK19:OK21)</f>
        <v>1238.8</v>
      </c>
      <c r="OL22" s="501">
        <v>1087</v>
      </c>
      <c r="OM22" s="502"/>
      <c r="ON22" s="502"/>
      <c r="OO22" s="503"/>
      <c r="OP22" s="22">
        <v>1080</v>
      </c>
      <c r="OQ22" s="501">
        <v>1266</v>
      </c>
      <c r="OR22" s="502"/>
      <c r="OS22" s="502"/>
      <c r="OT22" s="503"/>
      <c r="OU22" s="22">
        <v>1194</v>
      </c>
      <c r="OV22" s="501">
        <v>1278</v>
      </c>
      <c r="OW22" s="502"/>
      <c r="OX22" s="502"/>
      <c r="OY22" s="503"/>
      <c r="OZ22" s="22">
        <f>OZ19+OZ20+OZ21</f>
        <v>1270</v>
      </c>
      <c r="PA22" s="492"/>
      <c r="PB22" s="528" t="s">
        <v>18</v>
      </c>
      <c r="PC22" s="466"/>
      <c r="PD22" s="466"/>
      <c r="PE22" s="466"/>
      <c r="PF22" s="467"/>
      <c r="PG22" s="501">
        <v>1251</v>
      </c>
      <c r="PH22" s="502"/>
      <c r="PI22" s="502"/>
      <c r="PJ22" s="503"/>
      <c r="PK22" s="22">
        <f>SUM(PK19:PK21)</f>
        <v>1270</v>
      </c>
      <c r="PL22" s="501">
        <v>1252.9000000000001</v>
      </c>
      <c r="PM22" s="502"/>
      <c r="PN22" s="502"/>
      <c r="PO22" s="503"/>
      <c r="PP22" s="22">
        <f>SUM(PP19:PP21)</f>
        <v>1269</v>
      </c>
      <c r="PQ22" s="501">
        <v>1106</v>
      </c>
      <c r="PR22" s="502"/>
      <c r="PS22" s="502"/>
      <c r="PT22" s="503"/>
      <c r="PU22" s="22">
        <f>SUM(PU19:PU21)</f>
        <v>1120.2</v>
      </c>
      <c r="PV22" s="501">
        <v>1067</v>
      </c>
      <c r="PW22" s="502"/>
      <c r="PX22" s="502"/>
      <c r="PY22" s="503"/>
      <c r="PZ22" s="22">
        <f>PZ19+PZ20+PZ21</f>
        <v>1069</v>
      </c>
      <c r="QA22" s="492"/>
      <c r="QB22" s="528" t="s">
        <v>18</v>
      </c>
      <c r="QC22" s="466"/>
      <c r="QD22" s="466"/>
      <c r="QE22" s="466"/>
      <c r="QF22" s="467"/>
      <c r="QG22" s="501">
        <v>1274</v>
      </c>
      <c r="QH22" s="502"/>
      <c r="QI22" s="502"/>
      <c r="QJ22" s="503"/>
      <c r="QK22" s="22">
        <f>QK19+QK20+QK21</f>
        <v>1167.8</v>
      </c>
      <c r="QL22" s="501">
        <v>1287</v>
      </c>
      <c r="QM22" s="502"/>
      <c r="QN22" s="502"/>
      <c r="QO22" s="503"/>
      <c r="QP22" s="22">
        <v>1216</v>
      </c>
      <c r="QQ22" s="501">
        <f>QQ19+QQ20+QQ21</f>
        <v>1144.9000000000001</v>
      </c>
      <c r="QR22" s="502"/>
      <c r="QS22" s="502"/>
      <c r="QT22" s="503"/>
      <c r="QU22" s="22">
        <f>QU19+QU20+QU21</f>
        <v>1129</v>
      </c>
      <c r="QV22" s="501">
        <v>1285</v>
      </c>
      <c r="QW22" s="502"/>
      <c r="QX22" s="502"/>
      <c r="QY22" s="503"/>
      <c r="QZ22" s="22">
        <v>1254</v>
      </c>
      <c r="RA22" s="492"/>
      <c r="RB22" s="528" t="s">
        <v>18</v>
      </c>
      <c r="RC22" s="466"/>
      <c r="RD22" s="466"/>
      <c r="RE22" s="466"/>
      <c r="RF22" s="467"/>
      <c r="RG22" s="501">
        <v>1147</v>
      </c>
      <c r="RH22" s="502"/>
      <c r="RI22" s="502"/>
      <c r="RJ22" s="503"/>
      <c r="RK22" s="22">
        <f>SUM(RK19:RK21)</f>
        <v>1119</v>
      </c>
      <c r="RL22" s="501">
        <v>1103</v>
      </c>
      <c r="RM22" s="502"/>
      <c r="RN22" s="502"/>
      <c r="RO22" s="503"/>
      <c r="RP22" s="22">
        <f>SUM(RP19:RP21)</f>
        <v>1061</v>
      </c>
      <c r="RQ22" s="501">
        <v>1255</v>
      </c>
      <c r="RR22" s="502"/>
      <c r="RS22" s="502"/>
      <c r="RT22" s="503"/>
      <c r="RU22" s="414">
        <f>SUM(RU19:RU21)</f>
        <v>1282</v>
      </c>
      <c r="RV22" s="571">
        <f>SUM(RV19:RY21)</f>
        <v>1280</v>
      </c>
      <c r="RW22" s="502"/>
      <c r="RX22" s="502"/>
      <c r="RY22" s="572"/>
      <c r="RZ22" s="22">
        <f>RZ19+RZ20+RZ21</f>
        <v>1255</v>
      </c>
      <c r="SA22" s="492"/>
      <c r="SB22" s="528" t="s">
        <v>18</v>
      </c>
      <c r="SC22" s="466"/>
      <c r="SD22" s="466"/>
      <c r="SE22" s="466"/>
      <c r="SF22" s="467"/>
      <c r="SG22" s="501">
        <v>1099</v>
      </c>
      <c r="SH22" s="502"/>
      <c r="SI22" s="502"/>
      <c r="SJ22" s="503"/>
      <c r="SK22" s="22">
        <v>1082</v>
      </c>
      <c r="SL22" s="501">
        <v>1179</v>
      </c>
      <c r="SM22" s="502"/>
      <c r="SN22" s="502"/>
      <c r="SO22" s="503"/>
      <c r="SP22" s="22">
        <v>1142</v>
      </c>
      <c r="SQ22" s="501">
        <v>1218</v>
      </c>
      <c r="SR22" s="502"/>
      <c r="SS22" s="502"/>
      <c r="ST22" s="503"/>
      <c r="SU22" s="22">
        <v>1230</v>
      </c>
      <c r="SV22" s="501">
        <v>1176</v>
      </c>
      <c r="SW22" s="502"/>
      <c r="SX22" s="502"/>
      <c r="SY22" s="503"/>
      <c r="SZ22" s="22">
        <v>1174</v>
      </c>
      <c r="TA22" s="492"/>
      <c r="TB22" s="528" t="s">
        <v>18</v>
      </c>
      <c r="TC22" s="466"/>
      <c r="TD22" s="466"/>
      <c r="TE22" s="466"/>
      <c r="TF22" s="467"/>
      <c r="TG22" s="501">
        <v>1195</v>
      </c>
      <c r="TH22" s="502"/>
      <c r="TI22" s="502"/>
      <c r="TJ22" s="503"/>
      <c r="TK22" s="22">
        <v>1230</v>
      </c>
      <c r="TL22" s="501">
        <f>SUM(TL19:TO21)</f>
        <v>1156</v>
      </c>
      <c r="TM22" s="502"/>
      <c r="TN22" s="502"/>
      <c r="TO22" s="503"/>
      <c r="TP22" s="22">
        <f>TP19+TP20+TP21</f>
        <v>1159.3</v>
      </c>
      <c r="TQ22" s="501">
        <f>TQ19+TQ20+TQ21</f>
        <v>1201.0999999999999</v>
      </c>
      <c r="TR22" s="502"/>
      <c r="TS22" s="502"/>
      <c r="TT22" s="503"/>
      <c r="TU22" s="22">
        <v>1099</v>
      </c>
      <c r="TV22" s="501">
        <v>1124</v>
      </c>
      <c r="TW22" s="502"/>
      <c r="TX22" s="502"/>
      <c r="TY22" s="503"/>
      <c r="TZ22" s="22">
        <v>1027</v>
      </c>
      <c r="UA22" s="492"/>
      <c r="UB22" s="528" t="s">
        <v>18</v>
      </c>
      <c r="UC22" s="466"/>
      <c r="UD22" s="466"/>
      <c r="UE22" s="466"/>
      <c r="UF22" s="467"/>
      <c r="UG22" s="501">
        <v>1234</v>
      </c>
      <c r="UH22" s="502"/>
      <c r="UI22" s="502"/>
      <c r="UJ22" s="503"/>
      <c r="UK22" s="414">
        <v>1290</v>
      </c>
      <c r="UL22" s="501">
        <v>1212</v>
      </c>
      <c r="UM22" s="502"/>
      <c r="UN22" s="502"/>
      <c r="UO22" s="503"/>
      <c r="UP22" s="22">
        <f>SUM(UP19:UP21)</f>
        <v>1195</v>
      </c>
      <c r="UQ22" s="501">
        <v>1340</v>
      </c>
      <c r="UR22" s="502"/>
      <c r="US22" s="502"/>
      <c r="UT22" s="503"/>
      <c r="UU22" s="22">
        <v>1310</v>
      </c>
      <c r="UV22" s="501">
        <v>1471</v>
      </c>
      <c r="UW22" s="502"/>
      <c r="UX22" s="502"/>
      <c r="UY22" s="503"/>
      <c r="UZ22" s="22">
        <v>1435</v>
      </c>
      <c r="VA22" s="492"/>
      <c r="VB22" s="528" t="s">
        <v>18</v>
      </c>
      <c r="VC22" s="466"/>
      <c r="VD22" s="466"/>
      <c r="VE22" s="466"/>
      <c r="VF22" s="467"/>
      <c r="VG22" s="501">
        <f>SUM(VG19:VJ21)</f>
        <v>1320</v>
      </c>
      <c r="VH22" s="502"/>
      <c r="VI22" s="502"/>
      <c r="VJ22" s="503"/>
      <c r="VK22" s="22">
        <v>1232</v>
      </c>
      <c r="VL22" s="501">
        <v>1195</v>
      </c>
      <c r="VM22" s="502"/>
      <c r="VN22" s="502"/>
      <c r="VO22" s="503"/>
      <c r="VP22" s="22">
        <v>1209</v>
      </c>
      <c r="VQ22" s="501">
        <v>1120</v>
      </c>
      <c r="VR22" s="502"/>
      <c r="VS22" s="502"/>
      <c r="VT22" s="503"/>
      <c r="VU22" s="22">
        <v>1127</v>
      </c>
      <c r="VV22" s="501">
        <v>1060</v>
      </c>
      <c r="VW22" s="502"/>
      <c r="VX22" s="502"/>
      <c r="VY22" s="503"/>
      <c r="VZ22" s="22">
        <v>1119</v>
      </c>
      <c r="WA22" s="492"/>
      <c r="WB22" s="528" t="s">
        <v>18</v>
      </c>
      <c r="WC22" s="466"/>
      <c r="WD22" s="466"/>
      <c r="WE22" s="466"/>
      <c r="WF22" s="467"/>
      <c r="WG22" s="501">
        <v>1093</v>
      </c>
      <c r="WH22" s="502"/>
      <c r="WI22" s="502"/>
      <c r="WJ22" s="503"/>
      <c r="WK22" s="22">
        <v>1151</v>
      </c>
      <c r="WL22" s="501">
        <v>1123</v>
      </c>
      <c r="WM22" s="502"/>
      <c r="WN22" s="502"/>
      <c r="WO22" s="503"/>
      <c r="WP22" s="22">
        <v>1181</v>
      </c>
      <c r="WQ22" s="501">
        <v>1391</v>
      </c>
      <c r="WR22" s="502"/>
      <c r="WS22" s="502"/>
      <c r="WT22" s="503"/>
      <c r="WU22" s="22">
        <v>1271</v>
      </c>
      <c r="WV22" s="501">
        <v>1421</v>
      </c>
      <c r="WW22" s="502"/>
      <c r="WX22" s="502"/>
      <c r="WY22" s="503"/>
      <c r="WZ22" s="22">
        <v>1444</v>
      </c>
      <c r="XA22" s="492"/>
      <c r="XB22" s="528" t="s">
        <v>18</v>
      </c>
      <c r="XC22" s="466"/>
      <c r="XD22" s="466"/>
      <c r="XE22" s="466"/>
      <c r="XF22" s="467"/>
      <c r="XG22" s="501">
        <v>1354</v>
      </c>
      <c r="XH22" s="502"/>
      <c r="XI22" s="502"/>
      <c r="XJ22" s="503"/>
      <c r="XK22" s="22">
        <v>1344</v>
      </c>
      <c r="XL22" s="501">
        <v>1294</v>
      </c>
      <c r="XM22" s="502"/>
      <c r="XN22" s="502"/>
      <c r="XO22" s="503"/>
      <c r="XP22" s="22">
        <v>1235</v>
      </c>
      <c r="XQ22" s="501">
        <v>1342</v>
      </c>
      <c r="XR22" s="502"/>
      <c r="XS22" s="502"/>
      <c r="XT22" s="503"/>
      <c r="XU22" s="22">
        <v>1275</v>
      </c>
      <c r="XV22" s="501">
        <v>1482</v>
      </c>
      <c r="XW22" s="502"/>
      <c r="XX22" s="502"/>
      <c r="XY22" s="503"/>
      <c r="XZ22" s="22">
        <v>1432</v>
      </c>
      <c r="YA22" s="492"/>
      <c r="YB22" s="528" t="s">
        <v>18</v>
      </c>
      <c r="YC22" s="466"/>
      <c r="YD22" s="466"/>
      <c r="YE22" s="466"/>
      <c r="YF22" s="467"/>
      <c r="YG22" s="501">
        <v>1480</v>
      </c>
      <c r="YH22" s="502"/>
      <c r="YI22" s="502"/>
      <c r="YJ22" s="503"/>
      <c r="YK22" s="22">
        <v>1470</v>
      </c>
      <c r="YL22" s="501">
        <v>1377</v>
      </c>
      <c r="YM22" s="502"/>
      <c r="YN22" s="502"/>
      <c r="YO22" s="503"/>
      <c r="YP22" s="22">
        <v>1377</v>
      </c>
      <c r="YQ22" s="501">
        <v>1221</v>
      </c>
      <c r="YR22" s="502"/>
      <c r="YS22" s="502"/>
      <c r="YT22" s="503"/>
      <c r="YU22" s="22">
        <v>1121</v>
      </c>
      <c r="YV22" s="501">
        <v>1455</v>
      </c>
      <c r="YW22" s="502"/>
      <c r="YX22" s="502"/>
      <c r="YY22" s="503"/>
      <c r="YZ22" s="22">
        <v>1391</v>
      </c>
      <c r="ZA22" s="492"/>
      <c r="ZB22" s="528" t="s">
        <v>18</v>
      </c>
      <c r="ZC22" s="466"/>
      <c r="ZD22" s="466"/>
      <c r="ZE22" s="466"/>
      <c r="ZF22" s="467"/>
      <c r="ZG22" s="501">
        <v>1410</v>
      </c>
      <c r="ZH22" s="502"/>
      <c r="ZI22" s="502"/>
      <c r="ZJ22" s="503"/>
      <c r="ZK22" s="22">
        <v>1434</v>
      </c>
      <c r="ZL22" s="501">
        <v>1366</v>
      </c>
      <c r="ZM22" s="502"/>
      <c r="ZN22" s="502"/>
      <c r="ZO22" s="503"/>
      <c r="ZP22" s="22">
        <v>1188</v>
      </c>
      <c r="ZQ22" s="501">
        <v>1328</v>
      </c>
      <c r="ZR22" s="502"/>
      <c r="ZS22" s="502"/>
      <c r="ZT22" s="503"/>
      <c r="ZU22" s="22">
        <v>1310</v>
      </c>
      <c r="ZV22" s="501">
        <v>1486</v>
      </c>
      <c r="ZW22" s="502"/>
      <c r="ZX22" s="502"/>
      <c r="ZY22" s="503"/>
      <c r="ZZ22" s="22">
        <v>1355</v>
      </c>
      <c r="AAA22" s="492"/>
      <c r="AAB22" s="528" t="s">
        <v>18</v>
      </c>
      <c r="AAC22" s="466"/>
      <c r="AAD22" s="466"/>
      <c r="AAE22" s="466"/>
      <c r="AAF22" s="467"/>
      <c r="AAG22" s="501">
        <v>1275</v>
      </c>
      <c r="AAH22" s="502"/>
      <c r="AAI22" s="502"/>
      <c r="AAJ22" s="503"/>
      <c r="AAK22" s="22">
        <v>1205</v>
      </c>
      <c r="AAL22" s="501">
        <v>1167</v>
      </c>
      <c r="AAM22" s="502"/>
      <c r="AAN22" s="502"/>
      <c r="AAO22" s="503"/>
      <c r="AAP22" s="22">
        <v>1243</v>
      </c>
      <c r="AAQ22" s="501">
        <v>1395</v>
      </c>
      <c r="AAR22" s="502"/>
      <c r="AAS22" s="502"/>
      <c r="AAT22" s="503"/>
      <c r="AAU22" s="22">
        <v>1286</v>
      </c>
      <c r="AAV22" s="501">
        <v>1551</v>
      </c>
      <c r="AAW22" s="502"/>
      <c r="AAX22" s="502"/>
      <c r="AAY22" s="503"/>
      <c r="AAZ22" s="22">
        <v>1451</v>
      </c>
      <c r="ABA22" s="492"/>
      <c r="ABB22" s="528" t="s">
        <v>18</v>
      </c>
      <c r="ABC22" s="466"/>
      <c r="ABD22" s="466"/>
      <c r="ABE22" s="466"/>
      <c r="ABF22" s="467"/>
      <c r="ABG22" s="501">
        <v>1495</v>
      </c>
      <c r="ABH22" s="502"/>
      <c r="ABI22" s="502"/>
      <c r="ABJ22" s="503"/>
      <c r="ABK22" s="22">
        <v>1459</v>
      </c>
      <c r="ABL22" s="501">
        <v>1543</v>
      </c>
      <c r="ABM22" s="502"/>
      <c r="ABN22" s="502"/>
      <c r="ABO22" s="503"/>
      <c r="ABP22" s="22">
        <v>1469</v>
      </c>
      <c r="ABQ22" s="501">
        <v>1480</v>
      </c>
      <c r="ABR22" s="502"/>
      <c r="ABS22" s="502"/>
      <c r="ABT22" s="503"/>
      <c r="ABU22" s="22">
        <v>1357</v>
      </c>
      <c r="ABV22" s="501">
        <v>1201</v>
      </c>
      <c r="ABW22" s="502"/>
      <c r="ABX22" s="502"/>
      <c r="ABY22" s="503"/>
      <c r="ABZ22" s="22">
        <v>1155</v>
      </c>
      <c r="ACA22" s="492"/>
      <c r="ACB22" s="528" t="s">
        <v>18</v>
      </c>
      <c r="ACC22" s="466"/>
      <c r="ACD22" s="466"/>
      <c r="ACE22" s="466"/>
      <c r="ACF22" s="467"/>
      <c r="ACG22" s="501">
        <v>1154</v>
      </c>
      <c r="ACH22" s="502"/>
      <c r="ACI22" s="502"/>
      <c r="ACJ22" s="503"/>
      <c r="ACK22" s="22">
        <f>ACK19+ACK20+ACK21</f>
        <v>1032.4000000000001</v>
      </c>
      <c r="ACL22" s="501">
        <f>ACL19+ACL20+ACL21</f>
        <v>1444.2</v>
      </c>
      <c r="ACM22" s="502"/>
      <c r="ACN22" s="502"/>
      <c r="ACO22" s="503"/>
      <c r="ACP22" s="22">
        <v>1345</v>
      </c>
      <c r="ACQ22" s="501">
        <v>1492</v>
      </c>
      <c r="ACR22" s="502"/>
      <c r="ACS22" s="502"/>
      <c r="ACT22" s="503"/>
      <c r="ACU22" s="22">
        <v>1481</v>
      </c>
      <c r="ACV22" s="501">
        <v>1471</v>
      </c>
      <c r="ACW22" s="502"/>
      <c r="ACX22" s="502"/>
      <c r="ACY22" s="503"/>
      <c r="ACZ22" s="22">
        <v>1469</v>
      </c>
      <c r="ADA22" s="492"/>
      <c r="ADB22" s="528" t="s">
        <v>18</v>
      </c>
      <c r="ADC22" s="466"/>
      <c r="ADD22" s="466"/>
      <c r="ADE22" s="466"/>
      <c r="ADF22" s="467"/>
      <c r="ADG22" s="501">
        <v>1286</v>
      </c>
      <c r="ADH22" s="502"/>
      <c r="ADI22" s="502"/>
      <c r="ADJ22" s="503"/>
      <c r="ADK22" s="22">
        <v>1200</v>
      </c>
      <c r="ADL22" s="501">
        <v>1223</v>
      </c>
      <c r="ADM22" s="502"/>
      <c r="ADN22" s="502"/>
      <c r="ADO22" s="503"/>
      <c r="ADP22" s="22">
        <f>ADP19+ADP20+ADP21</f>
        <v>1227.4000000000001</v>
      </c>
      <c r="ADQ22" s="501">
        <v>1399</v>
      </c>
      <c r="ADR22" s="502"/>
      <c r="ADS22" s="502"/>
      <c r="ADT22" s="503"/>
      <c r="ADU22" s="22">
        <f>ADU19+ADU20+ADU21</f>
        <v>1408.6</v>
      </c>
      <c r="ADV22" s="501">
        <v>1361</v>
      </c>
      <c r="ADW22" s="502"/>
      <c r="ADX22" s="502"/>
      <c r="ADY22" s="503"/>
      <c r="ADZ22" s="22">
        <v>1316</v>
      </c>
      <c r="AEA22" s="492"/>
      <c r="AEB22" s="528" t="s">
        <v>18</v>
      </c>
      <c r="AEC22" s="466"/>
      <c r="AED22" s="466"/>
      <c r="AEE22" s="466"/>
      <c r="AEF22" s="467"/>
      <c r="AEG22" s="501">
        <v>1328</v>
      </c>
      <c r="AEH22" s="502"/>
      <c r="AEI22" s="502"/>
      <c r="AEJ22" s="503"/>
      <c r="AEK22" s="22">
        <f>AEK19+AEK20+AEK21</f>
        <v>1303.5999999999999</v>
      </c>
      <c r="AEL22" s="501">
        <v>1322</v>
      </c>
      <c r="AEM22" s="502"/>
      <c r="AEN22" s="502"/>
      <c r="AEO22" s="503"/>
      <c r="AEP22" s="22">
        <f>AEP19+AEP20+AEP21</f>
        <v>1323.8</v>
      </c>
      <c r="AEQ22" s="501">
        <f>AEQ19+AEQ20+AEQ21</f>
        <v>1212</v>
      </c>
      <c r="AER22" s="502"/>
      <c r="AES22" s="502"/>
      <c r="AET22" s="503"/>
      <c r="AEU22" s="22">
        <v>1072</v>
      </c>
      <c r="AEV22" s="501">
        <v>1065</v>
      </c>
      <c r="AEW22" s="502"/>
      <c r="AEX22" s="502"/>
      <c r="AEY22" s="503"/>
      <c r="AEZ22" s="22">
        <v>1035</v>
      </c>
      <c r="AFA22" s="492"/>
      <c r="AFB22" s="528" t="s">
        <v>18</v>
      </c>
      <c r="AFC22" s="466"/>
      <c r="AFD22" s="466"/>
      <c r="AFE22" s="466"/>
      <c r="AFF22" s="467"/>
      <c r="AFG22" s="501">
        <v>1270</v>
      </c>
      <c r="AFH22" s="502"/>
      <c r="AFI22" s="502"/>
      <c r="AFJ22" s="503"/>
      <c r="AFK22" s="22">
        <v>1262</v>
      </c>
      <c r="AFL22" s="501">
        <v>1225</v>
      </c>
      <c r="AFM22" s="502"/>
      <c r="AFN22" s="502"/>
      <c r="AFO22" s="503"/>
      <c r="AFP22" s="22">
        <v>1233</v>
      </c>
      <c r="AFQ22" s="501">
        <v>1220</v>
      </c>
      <c r="AFR22" s="502"/>
      <c r="AFS22" s="502"/>
      <c r="AFT22" s="503"/>
      <c r="AFU22" s="22">
        <v>1234</v>
      </c>
      <c r="AFV22" s="501">
        <v>1215.2</v>
      </c>
      <c r="AFW22" s="502"/>
      <c r="AFX22" s="502"/>
      <c r="AFY22" s="503"/>
      <c r="AFZ22" s="22">
        <v>1144</v>
      </c>
      <c r="AGA22" s="492"/>
      <c r="AGB22" s="528" t="s">
        <v>18</v>
      </c>
      <c r="AGC22" s="466"/>
      <c r="AGD22" s="466"/>
      <c r="AGE22" s="466"/>
      <c r="AGF22" s="467"/>
      <c r="AGG22" s="501">
        <v>1190</v>
      </c>
      <c r="AGH22" s="502"/>
      <c r="AGI22" s="502"/>
      <c r="AGJ22" s="503"/>
      <c r="AGK22" s="22">
        <v>1201</v>
      </c>
      <c r="AGL22" s="501">
        <v>1094</v>
      </c>
      <c r="AGM22" s="502"/>
      <c r="AGN22" s="502"/>
      <c r="AGO22" s="503"/>
      <c r="AGP22" s="22">
        <v>1071</v>
      </c>
      <c r="AGQ22" s="501">
        <v>989</v>
      </c>
      <c r="AGR22" s="502"/>
      <c r="AGS22" s="502"/>
      <c r="AGT22" s="503"/>
      <c r="AGU22" s="22">
        <v>1001</v>
      </c>
      <c r="AGV22" s="501">
        <v>1240.0999999999999</v>
      </c>
      <c r="AGW22" s="502"/>
      <c r="AGX22" s="502"/>
      <c r="AGY22" s="503"/>
      <c r="AGZ22" s="22">
        <f>AGZ19+AGZ20+AGZ21</f>
        <v>1176.3999999999999</v>
      </c>
      <c r="AHA22" s="492"/>
      <c r="AHB22" s="528" t="s">
        <v>18</v>
      </c>
      <c r="AHC22" s="466"/>
      <c r="AHD22" s="466"/>
      <c r="AHE22" s="466"/>
      <c r="AHF22" s="467"/>
      <c r="AHG22" s="501">
        <f>AHG19+AHG20+AHG21</f>
        <v>1225.8</v>
      </c>
      <c r="AHH22" s="502"/>
      <c r="AHI22" s="502"/>
      <c r="AHJ22" s="503"/>
      <c r="AHK22" s="22">
        <v>1244</v>
      </c>
      <c r="AHL22" s="501">
        <v>1162.0999999999999</v>
      </c>
      <c r="AHM22" s="502"/>
      <c r="AHN22" s="502"/>
      <c r="AHO22" s="503"/>
      <c r="AHP22" s="22">
        <v>1189</v>
      </c>
      <c r="AHQ22" s="501">
        <v>1203</v>
      </c>
      <c r="AHR22" s="502"/>
      <c r="AHS22" s="502"/>
      <c r="AHT22" s="503"/>
      <c r="AHU22" s="22">
        <v>1146</v>
      </c>
      <c r="AHV22" s="501">
        <v>1082</v>
      </c>
      <c r="AHW22" s="502"/>
      <c r="AHX22" s="502"/>
      <c r="AHY22" s="503"/>
      <c r="AHZ22" s="22">
        <v>1046</v>
      </c>
      <c r="AIA22" s="492"/>
      <c r="AIB22" s="528" t="s">
        <v>18</v>
      </c>
      <c r="AIC22" s="466"/>
      <c r="AID22" s="466"/>
      <c r="AIE22" s="466"/>
      <c r="AIF22" s="467"/>
      <c r="AIG22" s="501">
        <v>945</v>
      </c>
      <c r="AIH22" s="502"/>
      <c r="AII22" s="502"/>
      <c r="AIJ22" s="503"/>
      <c r="AIK22" s="22">
        <v>964</v>
      </c>
      <c r="AIL22" s="501">
        <v>1220</v>
      </c>
      <c r="AIM22" s="502"/>
      <c r="AIN22" s="502"/>
      <c r="AIO22" s="503"/>
      <c r="AIP22" s="22">
        <v>1178</v>
      </c>
      <c r="AIQ22" s="501">
        <v>1153.9000000000001</v>
      </c>
      <c r="AIR22" s="502"/>
      <c r="AIS22" s="502"/>
      <c r="AIT22" s="503"/>
      <c r="AIU22" s="22">
        <v>1194</v>
      </c>
      <c r="AIV22" s="501">
        <v>1234</v>
      </c>
      <c r="AIW22" s="502"/>
      <c r="AIX22" s="502"/>
      <c r="AIY22" s="503"/>
      <c r="AIZ22" s="22">
        <v>1127</v>
      </c>
      <c r="AJA22" s="492"/>
      <c r="AJB22" s="528" t="s">
        <v>18</v>
      </c>
      <c r="AJC22" s="466"/>
      <c r="AJD22" s="466"/>
      <c r="AJE22" s="466"/>
      <c r="AJF22" s="467"/>
      <c r="AJG22" s="501">
        <v>1232</v>
      </c>
      <c r="AJH22" s="502"/>
      <c r="AJI22" s="502"/>
      <c r="AJJ22" s="503"/>
      <c r="AJK22" s="22">
        <v>1111</v>
      </c>
      <c r="AJL22" s="501">
        <v>1132</v>
      </c>
      <c r="AJM22" s="502"/>
      <c r="AJN22" s="502"/>
      <c r="AJO22" s="503"/>
      <c r="AJP22" s="22">
        <v>987</v>
      </c>
      <c r="AJQ22" s="501">
        <v>1265</v>
      </c>
      <c r="AJR22" s="502"/>
      <c r="AJS22" s="502"/>
      <c r="AJT22" s="503"/>
      <c r="AJU22" s="22">
        <v>1183</v>
      </c>
      <c r="AJV22" s="501">
        <v>1190</v>
      </c>
      <c r="AJW22" s="502"/>
      <c r="AJX22" s="502"/>
      <c r="AJY22" s="503"/>
      <c r="AJZ22" s="22">
        <v>1247</v>
      </c>
      <c r="AKA22" s="492"/>
      <c r="AKB22" s="528" t="s">
        <v>18</v>
      </c>
      <c r="AKC22" s="466"/>
      <c r="AKD22" s="466"/>
      <c r="AKE22" s="466"/>
      <c r="AKF22" s="467"/>
      <c r="AKG22" s="501">
        <v>1188</v>
      </c>
      <c r="AKH22" s="502"/>
      <c r="AKI22" s="502"/>
      <c r="AKJ22" s="503"/>
      <c r="AKK22" s="22">
        <v>1248</v>
      </c>
      <c r="AKL22" s="501">
        <v>1292</v>
      </c>
      <c r="AKM22" s="502"/>
      <c r="AKN22" s="502"/>
      <c r="AKO22" s="503"/>
      <c r="AKP22" s="22">
        <v>1144</v>
      </c>
      <c r="AKQ22" s="501">
        <v>1287</v>
      </c>
      <c r="AKR22" s="502"/>
      <c r="AKS22" s="502"/>
      <c r="AKT22" s="503"/>
      <c r="AKU22" s="22">
        <v>1206</v>
      </c>
      <c r="AKV22" s="501"/>
      <c r="AKW22" s="502"/>
      <c r="AKX22" s="502"/>
      <c r="AKY22" s="503"/>
      <c r="AKZ22" s="22"/>
    </row>
    <row r="23" spans="1:988" ht="45" customHeight="1" x14ac:dyDescent="0.4">
      <c r="A23" s="492"/>
      <c r="B23" s="512" t="s">
        <v>69</v>
      </c>
      <c r="C23" s="458"/>
      <c r="D23" s="458"/>
      <c r="E23" s="458"/>
      <c r="F23" s="417" t="s">
        <v>6</v>
      </c>
      <c r="G23" s="529">
        <v>1514</v>
      </c>
      <c r="H23" s="530"/>
      <c r="I23" s="530"/>
      <c r="J23" s="531"/>
      <c r="K23" s="84">
        <v>1396.1</v>
      </c>
      <c r="L23" s="529">
        <v>1477.2</v>
      </c>
      <c r="M23" s="530"/>
      <c r="N23" s="530"/>
      <c r="O23" s="531"/>
      <c r="P23" s="84">
        <f>50.2+52.4+207.2+21+13.4+40.6+5.4+725.2+119.2</f>
        <v>1234.6000000000001</v>
      </c>
      <c r="Q23" s="529">
        <v>1415</v>
      </c>
      <c r="R23" s="530"/>
      <c r="S23" s="530"/>
      <c r="T23" s="531"/>
      <c r="U23" s="84">
        <f>50.6+34.2+207.2+21+13.4+42.8+5.2+865.6+2.4+118</f>
        <v>1360.4</v>
      </c>
      <c r="V23" s="529">
        <v>1493</v>
      </c>
      <c r="W23" s="530"/>
      <c r="X23" s="530"/>
      <c r="Y23" s="531"/>
      <c r="Z23" s="84">
        <f>59.6+48.2+207+17.8+13.2+41+4.8+894+0.3+140.2</f>
        <v>1426.1</v>
      </c>
      <c r="AA23" s="492"/>
      <c r="AB23" s="512" t="s">
        <v>69</v>
      </c>
      <c r="AC23" s="458"/>
      <c r="AD23" s="458"/>
      <c r="AE23" s="458"/>
      <c r="AF23" s="417" t="s">
        <v>6</v>
      </c>
      <c r="AG23" s="529">
        <f>206+110.7+206.4+804.4+164.4+1.4+0.3</f>
        <v>1493.6000000000001</v>
      </c>
      <c r="AH23" s="530"/>
      <c r="AI23" s="530"/>
      <c r="AJ23" s="531"/>
      <c r="AK23" s="84">
        <f>64.2+44+207.2+16.6+13.2+40.4+0.2+842.9+0.3+132.2-1</f>
        <v>1360.1999999999998</v>
      </c>
      <c r="AL23" s="529">
        <v>1503</v>
      </c>
      <c r="AM23" s="530"/>
      <c r="AN23" s="530"/>
      <c r="AO23" s="531"/>
      <c r="AP23" s="84">
        <v>1350.8</v>
      </c>
      <c r="AQ23" s="529">
        <v>1492</v>
      </c>
      <c r="AR23" s="530"/>
      <c r="AS23" s="530"/>
      <c r="AT23" s="531"/>
      <c r="AU23" s="84">
        <v>1354.9</v>
      </c>
      <c r="AV23" s="529">
        <v>1494.3</v>
      </c>
      <c r="AW23" s="530"/>
      <c r="AX23" s="530"/>
      <c r="AY23" s="531"/>
      <c r="AZ23" s="84">
        <v>1382</v>
      </c>
      <c r="BA23" s="492"/>
      <c r="BB23" s="512" t="s">
        <v>69</v>
      </c>
      <c r="BC23" s="458"/>
      <c r="BD23" s="458"/>
      <c r="BE23" s="458"/>
      <c r="BF23" s="417" t="s">
        <v>6</v>
      </c>
      <c r="BG23" s="529">
        <v>1441</v>
      </c>
      <c r="BH23" s="530"/>
      <c r="BI23" s="530"/>
      <c r="BJ23" s="531"/>
      <c r="BK23" s="84">
        <f>50+26.8+206.8+15+13.4+41+0.6+880.5+0+93</f>
        <v>1327.1</v>
      </c>
      <c r="BL23" s="529">
        <v>1443</v>
      </c>
      <c r="BM23" s="530"/>
      <c r="BN23" s="530"/>
      <c r="BO23" s="531"/>
      <c r="BP23" s="84">
        <v>1322</v>
      </c>
      <c r="BQ23" s="529">
        <v>1424</v>
      </c>
      <c r="BR23" s="530"/>
      <c r="BS23" s="530"/>
      <c r="BT23" s="531"/>
      <c r="BU23" s="84">
        <v>1211</v>
      </c>
      <c r="BV23" s="529">
        <v>1291</v>
      </c>
      <c r="BW23" s="530"/>
      <c r="BX23" s="530"/>
      <c r="BY23" s="531"/>
      <c r="BZ23" s="84">
        <v>1251.4000000000001</v>
      </c>
      <c r="CA23" s="492"/>
      <c r="CB23" s="512" t="s">
        <v>69</v>
      </c>
      <c r="CC23" s="458"/>
      <c r="CD23" s="458"/>
      <c r="CE23" s="458"/>
      <c r="CF23" s="417" t="s">
        <v>6</v>
      </c>
      <c r="CG23" s="529">
        <v>1318</v>
      </c>
      <c r="CH23" s="530"/>
      <c r="CI23" s="530"/>
      <c r="CJ23" s="531"/>
      <c r="CK23" s="84">
        <f>164.2+42.8+206.8+16+13.4+42.4+19.6+483.8+132.8-0.8</f>
        <v>1121</v>
      </c>
      <c r="CL23" s="529">
        <f>205.9+113.4+159.9+906.8+62+15.8-0.4</f>
        <v>1463.3999999999999</v>
      </c>
      <c r="CM23" s="530"/>
      <c r="CN23" s="530"/>
      <c r="CO23" s="531"/>
      <c r="CP23" s="84">
        <f>64.6+27.4+206.8+15.2+13.6+37.6+6.2+913.2+13+86.2</f>
        <v>1383.8000000000002</v>
      </c>
      <c r="CQ23" s="529">
        <v>1454.9</v>
      </c>
      <c r="CR23" s="530"/>
      <c r="CS23" s="530"/>
      <c r="CT23" s="531"/>
      <c r="CU23" s="84">
        <v>1374</v>
      </c>
      <c r="CV23" s="529">
        <v>1306</v>
      </c>
      <c r="CW23" s="530"/>
      <c r="CX23" s="530"/>
      <c r="CY23" s="531"/>
      <c r="CZ23" s="84">
        <v>1069</v>
      </c>
      <c r="DA23" s="492"/>
      <c r="DB23" s="512" t="s">
        <v>69</v>
      </c>
      <c r="DC23" s="458"/>
      <c r="DD23" s="458"/>
      <c r="DE23" s="458"/>
      <c r="DF23" s="417" t="s">
        <v>6</v>
      </c>
      <c r="DG23" s="529">
        <v>1519</v>
      </c>
      <c r="DH23" s="530"/>
      <c r="DI23" s="530"/>
      <c r="DJ23" s="531"/>
      <c r="DK23" s="84">
        <v>1311</v>
      </c>
      <c r="DL23" s="529">
        <v>1506</v>
      </c>
      <c r="DM23" s="530"/>
      <c r="DN23" s="530"/>
      <c r="DO23" s="531"/>
      <c r="DP23" s="84">
        <f>91.2+38.2+207.2+13.4+10.2+29+0.2+826.5+146.2</f>
        <v>1362.1000000000001</v>
      </c>
      <c r="DQ23" s="529">
        <f>204.5+150.9+175.6+908.8+60+11.6</f>
        <v>1511.3999999999999</v>
      </c>
      <c r="DR23" s="530"/>
      <c r="DS23" s="530"/>
      <c r="DT23" s="531"/>
      <c r="DU23" s="84">
        <v>1388</v>
      </c>
      <c r="DV23" s="529">
        <f>206.1+81.3+167+412.6+278+2.6-0.2</f>
        <v>1147.3999999999999</v>
      </c>
      <c r="DW23" s="530"/>
      <c r="DX23" s="530"/>
      <c r="DY23" s="531"/>
      <c r="DZ23" s="84">
        <v>983</v>
      </c>
      <c r="EA23" s="492"/>
      <c r="EB23" s="512" t="s">
        <v>69</v>
      </c>
      <c r="EC23" s="458"/>
      <c r="ED23" s="458"/>
      <c r="EE23" s="458"/>
      <c r="EF23" s="417" t="s">
        <v>6</v>
      </c>
      <c r="EG23" s="529">
        <v>1382</v>
      </c>
      <c r="EH23" s="530"/>
      <c r="EI23" s="530"/>
      <c r="EJ23" s="531"/>
      <c r="EK23" s="84">
        <f>123.4+46.4+207.2+49+14.8+39.2+0.2+740.8+110.2</f>
        <v>1331.2</v>
      </c>
      <c r="EL23" s="529">
        <v>1469</v>
      </c>
      <c r="EM23" s="530"/>
      <c r="EN23" s="530"/>
      <c r="EO23" s="531"/>
      <c r="EP23" s="84">
        <f>65.2+39.8+206.8+94.2+14.8+33.6+4.4+813.5+114.2-0.1</f>
        <v>1386.4</v>
      </c>
      <c r="EQ23" s="529">
        <f>91.2+81.9+216.1+926+40.4+11.9</f>
        <v>1367.5000000000002</v>
      </c>
      <c r="ER23" s="530"/>
      <c r="ES23" s="530"/>
      <c r="ET23" s="531"/>
      <c r="EU23" s="84">
        <f>30.2+42.2+92.2+91.8+15.4+38.2+2+867.4+9.6+61.4</f>
        <v>1250.4000000000001</v>
      </c>
      <c r="EV23" s="529">
        <v>1252</v>
      </c>
      <c r="EW23" s="530"/>
      <c r="EX23" s="530"/>
      <c r="EY23" s="531"/>
      <c r="EZ23" s="84">
        <f>47.2+38.4+92+58.6+15.4+46+9+634.4+75.6</f>
        <v>1016.6</v>
      </c>
      <c r="FA23" s="492"/>
      <c r="FB23" s="512" t="s">
        <v>69</v>
      </c>
      <c r="FC23" s="458"/>
      <c r="FD23" s="458"/>
      <c r="FE23" s="458"/>
      <c r="FF23" s="417" t="s">
        <v>6</v>
      </c>
      <c r="FG23" s="529">
        <v>1287</v>
      </c>
      <c r="FH23" s="530"/>
      <c r="FI23" s="530"/>
      <c r="FJ23" s="531"/>
      <c r="FK23" s="84">
        <v>1099</v>
      </c>
      <c r="FL23" s="529">
        <f>91.2+63.8+171.3+909.8+43.2+5.9</f>
        <v>1285.2</v>
      </c>
      <c r="FM23" s="530"/>
      <c r="FN23" s="530"/>
      <c r="FO23" s="531"/>
      <c r="FP23" s="84">
        <v>1224</v>
      </c>
      <c r="FQ23" s="529">
        <v>1250</v>
      </c>
      <c r="FR23" s="530"/>
      <c r="FS23" s="530"/>
      <c r="FT23" s="531"/>
      <c r="FU23" s="84">
        <v>1194</v>
      </c>
      <c r="FV23" s="529">
        <v>1198</v>
      </c>
      <c r="FW23" s="530"/>
      <c r="FX23" s="530"/>
      <c r="FY23" s="531"/>
      <c r="FZ23" s="84">
        <v>1082</v>
      </c>
      <c r="GA23" s="492"/>
      <c r="GB23" s="512" t="s">
        <v>69</v>
      </c>
      <c r="GC23" s="458"/>
      <c r="GD23" s="458"/>
      <c r="GE23" s="458"/>
      <c r="GF23" s="417" t="s">
        <v>6</v>
      </c>
      <c r="GG23" s="529">
        <v>1292</v>
      </c>
      <c r="GH23" s="530"/>
      <c r="GI23" s="530"/>
      <c r="GJ23" s="531"/>
      <c r="GK23" s="84">
        <f>225.8+115+91.8+37.2+15+44.8+9.2+346.6+102+0.5</f>
        <v>987.90000000000009</v>
      </c>
      <c r="GL23" s="529">
        <v>1259</v>
      </c>
      <c r="GM23" s="530"/>
      <c r="GN23" s="530"/>
      <c r="GO23" s="531"/>
      <c r="GP23" s="84">
        <v>1212</v>
      </c>
      <c r="GQ23" s="529">
        <v>1286</v>
      </c>
      <c r="GR23" s="530"/>
      <c r="GS23" s="530"/>
      <c r="GT23" s="531"/>
      <c r="GU23" s="84">
        <f>58.2+38.6+92.2+34.8+15.2+38.8+1.4+758.2+94.8</f>
        <v>1132.2</v>
      </c>
      <c r="GV23" s="529">
        <v>1377</v>
      </c>
      <c r="GW23" s="530"/>
      <c r="GX23" s="530"/>
      <c r="GY23" s="531"/>
      <c r="GZ23" s="84">
        <f>50.2+37.4+91.8+87.6+15.2+43.8+3+855.3+2.3+92.8</f>
        <v>1279.3999999999999</v>
      </c>
      <c r="HA23" s="492"/>
      <c r="HB23" s="512" t="s">
        <v>69</v>
      </c>
      <c r="HC23" s="458"/>
      <c r="HD23" s="458"/>
      <c r="HE23" s="458"/>
      <c r="HF23" s="417" t="s">
        <v>6</v>
      </c>
      <c r="HG23" s="529">
        <v>1144</v>
      </c>
      <c r="HH23" s="530"/>
      <c r="HI23" s="530"/>
      <c r="HJ23" s="531"/>
      <c r="HK23" s="84">
        <f>291.2+46.2+91.8+62.8+15.4+53.6+1+323.8+97.2</f>
        <v>983</v>
      </c>
      <c r="HL23" s="529">
        <v>1343</v>
      </c>
      <c r="HM23" s="530"/>
      <c r="HN23" s="530"/>
      <c r="HO23" s="531"/>
      <c r="HP23" s="84">
        <v>1288</v>
      </c>
      <c r="HQ23" s="529">
        <v>1383</v>
      </c>
      <c r="HR23" s="530"/>
      <c r="HS23" s="530"/>
      <c r="HT23" s="531"/>
      <c r="HU23" s="84">
        <f>77.4+45.2+91.6+42+14.8+40+0.2+804.8+0.3+139.8-1</f>
        <v>1255.0999999999999</v>
      </c>
      <c r="HV23" s="529">
        <f>91.1+101.3+247+901+47+5.6</f>
        <v>1393</v>
      </c>
      <c r="HW23" s="530"/>
      <c r="HX23" s="530"/>
      <c r="HY23" s="531"/>
      <c r="HZ23" s="84">
        <f>134.6+61.4+91.6+44.8+15.4+42+0.6+817.2+6.9+156.8</f>
        <v>1371.3000000000002</v>
      </c>
      <c r="IA23" s="492"/>
      <c r="IB23" s="512" t="s">
        <v>69</v>
      </c>
      <c r="IC23" s="458"/>
      <c r="ID23" s="458"/>
      <c r="IE23" s="458"/>
      <c r="IF23" s="417" t="s">
        <v>6</v>
      </c>
      <c r="IG23" s="529">
        <f>91+85.9+223.3+678+178+14.8</f>
        <v>1271</v>
      </c>
      <c r="IH23" s="530"/>
      <c r="II23" s="530"/>
      <c r="IJ23" s="531"/>
      <c r="IK23" s="84">
        <v>1040</v>
      </c>
      <c r="IL23" s="529">
        <v>1330</v>
      </c>
      <c r="IM23" s="530"/>
      <c r="IN23" s="530"/>
      <c r="IO23" s="531"/>
      <c r="IP23" s="84">
        <f>51.8+37.8+91.8+33.2+15.2+42.4+2.6+867.1+95.2</f>
        <v>1237.1000000000001</v>
      </c>
      <c r="IQ23" s="529">
        <v>1221.4000000000001</v>
      </c>
      <c r="IR23" s="530"/>
      <c r="IS23" s="530"/>
      <c r="IT23" s="531"/>
      <c r="IU23" s="84">
        <f>65.4+38.2+91.8+29.2+15.2+50.4+3.4+650.6+115.8</f>
        <v>1060</v>
      </c>
      <c r="IV23" s="529">
        <v>1391</v>
      </c>
      <c r="IW23" s="530"/>
      <c r="IX23" s="530"/>
      <c r="IY23" s="531"/>
      <c r="IZ23" s="84">
        <f>134.2+91+51.6+14.8+53.2+3.8+826.8+197.2-1</f>
        <v>1371.6000000000001</v>
      </c>
      <c r="JA23" s="492"/>
      <c r="JB23" s="512" t="s">
        <v>69</v>
      </c>
      <c r="JC23" s="458"/>
      <c r="JD23" s="458"/>
      <c r="JE23" s="458"/>
      <c r="JF23" s="417" t="s">
        <v>6</v>
      </c>
      <c r="JG23" s="529">
        <v>1332</v>
      </c>
      <c r="JH23" s="530"/>
      <c r="JI23" s="530"/>
      <c r="JJ23" s="531"/>
      <c r="JK23" s="84">
        <v>1261</v>
      </c>
      <c r="JL23" s="529">
        <v>1590</v>
      </c>
      <c r="JM23" s="530"/>
      <c r="JN23" s="530"/>
      <c r="JO23" s="531"/>
      <c r="JP23" s="84">
        <v>1365</v>
      </c>
      <c r="JQ23" s="529">
        <f>292.4+108.3+293.6+815.9+37.6+11.7-0.1</f>
        <v>1559.3999999999999</v>
      </c>
      <c r="JR23" s="530"/>
      <c r="JS23" s="530"/>
      <c r="JT23" s="531"/>
      <c r="JU23" s="84">
        <v>1473.1302000000001</v>
      </c>
      <c r="JV23" s="529">
        <f>293.8+117.1+285.6+775.6+26+7.6</f>
        <v>1505.6999999999998</v>
      </c>
      <c r="JW23" s="530"/>
      <c r="JX23" s="530"/>
      <c r="JY23" s="531"/>
      <c r="JZ23" s="84">
        <v>1481.8000000000002</v>
      </c>
      <c r="KA23" s="492"/>
      <c r="KB23" s="512" t="s">
        <v>69</v>
      </c>
      <c r="KC23" s="458"/>
      <c r="KD23" s="458"/>
      <c r="KE23" s="458"/>
      <c r="KF23" s="417" t="s">
        <v>6</v>
      </c>
      <c r="KG23" s="529">
        <f>293.8+98.2+271.1+683.8+135.6+5.3</f>
        <v>1487.8</v>
      </c>
      <c r="KH23" s="530"/>
      <c r="KI23" s="530"/>
      <c r="KJ23" s="531"/>
      <c r="KK23" s="84">
        <v>1364</v>
      </c>
      <c r="KL23" s="529">
        <v>1407</v>
      </c>
      <c r="KM23" s="530"/>
      <c r="KN23" s="530"/>
      <c r="KO23" s="531"/>
      <c r="KP23" s="84">
        <v>1427</v>
      </c>
      <c r="KQ23" s="529">
        <f>180.3+96.4+296.6+761.4+85.6+5.5</f>
        <v>1425.8</v>
      </c>
      <c r="KR23" s="530"/>
      <c r="KS23" s="530"/>
      <c r="KT23" s="531"/>
      <c r="KU23" s="84">
        <f>126.8+181+105.4+14+41.4+3.2+755.2+93.8</f>
        <v>1320.8</v>
      </c>
      <c r="KV23" s="529">
        <v>1377</v>
      </c>
      <c r="KW23" s="530"/>
      <c r="KX23" s="530"/>
      <c r="KY23" s="531"/>
      <c r="KZ23" s="84">
        <v>1274.6516000000001</v>
      </c>
      <c r="LA23" s="492"/>
      <c r="LB23" s="512" t="s">
        <v>69</v>
      </c>
      <c r="LC23" s="458"/>
      <c r="LD23" s="458"/>
      <c r="LE23" s="458"/>
      <c r="LF23" s="417" t="s">
        <v>6</v>
      </c>
      <c r="LG23" s="529">
        <f>180.4+97.9+233.1+827.4+31.6+5.7</f>
        <v>1376.1</v>
      </c>
      <c r="LH23" s="530"/>
      <c r="LI23" s="530"/>
      <c r="LJ23" s="531"/>
      <c r="LK23" s="84">
        <f>100.4+181.4+65.8+12.8+42+807.6+99</f>
        <v>1309</v>
      </c>
      <c r="LL23" s="529">
        <v>1309</v>
      </c>
      <c r="LM23" s="530"/>
      <c r="LN23" s="530"/>
      <c r="LO23" s="531"/>
      <c r="LP23" s="84">
        <f>95.4+181.4+51.6+13+42+1+772.5+154.8+1</f>
        <v>1312.7</v>
      </c>
      <c r="LQ23" s="529">
        <v>1293</v>
      </c>
      <c r="LR23" s="530"/>
      <c r="LS23" s="530"/>
      <c r="LT23" s="531"/>
      <c r="LU23" s="84">
        <v>1078.2</v>
      </c>
      <c r="LV23" s="529">
        <v>1211</v>
      </c>
      <c r="LW23" s="530"/>
      <c r="LX23" s="530"/>
      <c r="LY23" s="531"/>
      <c r="LZ23" s="84">
        <f>97.6+182.2+41.6+11.8+40.6+24.4+568.6+115.6</f>
        <v>1082.3999999999999</v>
      </c>
      <c r="MA23" s="492"/>
      <c r="MB23" s="512" t="s">
        <v>69</v>
      </c>
      <c r="MC23" s="458"/>
      <c r="MD23" s="458"/>
      <c r="ME23" s="458"/>
      <c r="MF23" s="417" t="s">
        <v>6</v>
      </c>
      <c r="MG23" s="529">
        <v>1354</v>
      </c>
      <c r="MH23" s="530"/>
      <c r="MI23" s="530"/>
      <c r="MJ23" s="531"/>
      <c r="MK23" s="84">
        <v>1156</v>
      </c>
      <c r="ML23" s="529">
        <v>1365</v>
      </c>
      <c r="MM23" s="530"/>
      <c r="MN23" s="530"/>
      <c r="MO23" s="531"/>
      <c r="MP23" s="84">
        <v>1145</v>
      </c>
      <c r="MQ23" s="529">
        <v>1378</v>
      </c>
      <c r="MR23" s="530"/>
      <c r="MS23" s="530"/>
      <c r="MT23" s="531"/>
      <c r="MU23" s="84">
        <f>115+182.6+33.8+7.4+41.8+10.2+696.8+176.6</f>
        <v>1264.1999999999998</v>
      </c>
      <c r="MV23" s="529">
        <v>1360</v>
      </c>
      <c r="MW23" s="530"/>
      <c r="MX23" s="530"/>
      <c r="MY23" s="531"/>
      <c r="MZ23" s="84">
        <f>126+182.6+32.4+7+38.6+3.4+744.2+200.6</f>
        <v>1334.8</v>
      </c>
      <c r="NA23" s="492"/>
      <c r="NB23" s="512" t="s">
        <v>69</v>
      </c>
      <c r="NC23" s="458"/>
      <c r="ND23" s="458"/>
      <c r="NE23" s="458"/>
      <c r="NF23" s="417" t="s">
        <v>6</v>
      </c>
      <c r="NG23" s="529">
        <v>1288</v>
      </c>
      <c r="NH23" s="530"/>
      <c r="NI23" s="530"/>
      <c r="NJ23" s="531"/>
      <c r="NK23" s="84">
        <f>94.6+182.6+33.8+11.8+40.6+2.8+747.4+84.4</f>
        <v>1198</v>
      </c>
      <c r="NL23" s="529">
        <v>1288</v>
      </c>
      <c r="NM23" s="530"/>
      <c r="NN23" s="530"/>
      <c r="NO23" s="531"/>
      <c r="NP23" s="84">
        <f>105.2+182.2+36.4+11.6+40.2+0.8+569.4+93.6</f>
        <v>1039.3999999999999</v>
      </c>
      <c r="NQ23" s="529">
        <v>1366</v>
      </c>
      <c r="NR23" s="530"/>
      <c r="NS23" s="530"/>
      <c r="NT23" s="531"/>
      <c r="NU23" s="84">
        <v>1274.2</v>
      </c>
      <c r="NV23" s="529">
        <v>1346</v>
      </c>
      <c r="NW23" s="530"/>
      <c r="NX23" s="530"/>
      <c r="NY23" s="531"/>
      <c r="NZ23" s="84">
        <v>1232</v>
      </c>
      <c r="OA23" s="492"/>
      <c r="OB23" s="512" t="s">
        <v>69</v>
      </c>
      <c r="OC23" s="458"/>
      <c r="OD23" s="458"/>
      <c r="OE23" s="458"/>
      <c r="OF23" s="417" t="s">
        <v>6</v>
      </c>
      <c r="OG23" s="529">
        <v>1334</v>
      </c>
      <c r="OH23" s="530"/>
      <c r="OI23" s="530"/>
      <c r="OJ23" s="531"/>
      <c r="OK23" s="84">
        <f>1263.7</f>
        <v>1263.7</v>
      </c>
      <c r="OL23" s="529">
        <v>1325</v>
      </c>
      <c r="OM23" s="530"/>
      <c r="ON23" s="530"/>
      <c r="OO23" s="531"/>
      <c r="OP23" s="84">
        <v>1125.2085999999999</v>
      </c>
      <c r="OQ23" s="529">
        <v>1356</v>
      </c>
      <c r="OR23" s="530"/>
      <c r="OS23" s="530"/>
      <c r="OT23" s="531"/>
      <c r="OU23" s="84">
        <v>1193.8</v>
      </c>
      <c r="OV23" s="529">
        <v>1353</v>
      </c>
      <c r="OW23" s="530"/>
      <c r="OX23" s="530"/>
      <c r="OY23" s="531"/>
      <c r="OZ23" s="84">
        <f>107.8+183.2+22+7.8+32.6+13+679.2+224.4</f>
        <v>1270.0000000000002</v>
      </c>
      <c r="PA23" s="492"/>
      <c r="PB23" s="512" t="s">
        <v>69</v>
      </c>
      <c r="PC23" s="458"/>
      <c r="PD23" s="458"/>
      <c r="PE23" s="458"/>
      <c r="PF23" s="417" t="s">
        <v>6</v>
      </c>
      <c r="PG23" s="529">
        <v>1327</v>
      </c>
      <c r="PH23" s="530"/>
      <c r="PI23" s="530"/>
      <c r="PJ23" s="531"/>
      <c r="PK23" s="84">
        <v>1298</v>
      </c>
      <c r="PL23" s="529">
        <v>1342.9</v>
      </c>
      <c r="PM23" s="530"/>
      <c r="PN23" s="530"/>
      <c r="PO23" s="531"/>
      <c r="PP23" s="84">
        <v>1280.9000000000001</v>
      </c>
      <c r="PQ23" s="529">
        <v>1308</v>
      </c>
      <c r="PR23" s="530"/>
      <c r="PS23" s="530"/>
      <c r="PT23" s="531"/>
      <c r="PU23" s="84">
        <v>1169.4000000000001</v>
      </c>
      <c r="PV23" s="529">
        <v>1314</v>
      </c>
      <c r="PW23" s="530"/>
      <c r="PX23" s="530"/>
      <c r="PY23" s="531"/>
      <c r="PZ23" s="84">
        <f>102.6+183+23+12.2+36.2+2.4+737.5+12.1+82</f>
        <v>1191</v>
      </c>
      <c r="QA23" s="492"/>
      <c r="QB23" s="512" t="s">
        <v>69</v>
      </c>
      <c r="QC23" s="458"/>
      <c r="QD23" s="458"/>
      <c r="QE23" s="458"/>
      <c r="QF23" s="417" t="s">
        <v>6</v>
      </c>
      <c r="QG23" s="529">
        <v>1320</v>
      </c>
      <c r="QH23" s="530"/>
      <c r="QI23" s="530"/>
      <c r="QJ23" s="531"/>
      <c r="QK23" s="84">
        <f>121.6+183+23.6+12.2+35.8+5.4+661.8+124.4</f>
        <v>1167.8000000000002</v>
      </c>
      <c r="QL23" s="529">
        <v>1288</v>
      </c>
      <c r="QM23" s="530"/>
      <c r="QN23" s="530"/>
      <c r="QO23" s="531"/>
      <c r="QP23" s="84">
        <v>1216</v>
      </c>
      <c r="QQ23" s="529">
        <f>182.3+89.4+175.1+741.5+41.5+1.7</f>
        <v>1231.5000000000002</v>
      </c>
      <c r="QR23" s="530"/>
      <c r="QS23" s="530"/>
      <c r="QT23" s="531"/>
      <c r="QU23" s="84">
        <f>106.6+183.2+22.4+12.2+30.4+0.2+649.2+124.8</f>
        <v>1129</v>
      </c>
      <c r="QV23" s="529">
        <v>1303</v>
      </c>
      <c r="QW23" s="530"/>
      <c r="QX23" s="530"/>
      <c r="QY23" s="531"/>
      <c r="QZ23" s="84">
        <v>1254.4000000000001</v>
      </c>
      <c r="RA23" s="492"/>
      <c r="RB23" s="512" t="s">
        <v>69</v>
      </c>
      <c r="RC23" s="458"/>
      <c r="RD23" s="458"/>
      <c r="RE23" s="458"/>
      <c r="RF23" s="417" t="s">
        <v>6</v>
      </c>
      <c r="RG23" s="529">
        <v>1233</v>
      </c>
      <c r="RH23" s="530"/>
      <c r="RI23" s="530"/>
      <c r="RJ23" s="531"/>
      <c r="RK23" s="84">
        <v>1170</v>
      </c>
      <c r="RL23" s="529">
        <v>1236</v>
      </c>
      <c r="RM23" s="530"/>
      <c r="RN23" s="530"/>
      <c r="RO23" s="531"/>
      <c r="RP23" s="84">
        <v>1145</v>
      </c>
      <c r="RQ23" s="529">
        <v>1361</v>
      </c>
      <c r="RR23" s="530"/>
      <c r="RS23" s="530"/>
      <c r="RT23" s="531"/>
      <c r="RU23" s="416">
        <v>1371</v>
      </c>
      <c r="RV23" s="573">
        <v>1295</v>
      </c>
      <c r="RW23" s="530"/>
      <c r="RX23" s="530"/>
      <c r="RY23" s="574"/>
      <c r="RZ23" s="84">
        <v>1255</v>
      </c>
      <c r="SA23" s="492"/>
      <c r="SB23" s="512" t="s">
        <v>69</v>
      </c>
      <c r="SC23" s="458"/>
      <c r="SD23" s="458"/>
      <c r="SE23" s="458"/>
      <c r="SF23" s="417" t="s">
        <v>6</v>
      </c>
      <c r="SG23" s="529">
        <v>1158</v>
      </c>
      <c r="SH23" s="530"/>
      <c r="SI23" s="530"/>
      <c r="SJ23" s="531"/>
      <c r="SK23" s="84">
        <v>1082.4000000000001</v>
      </c>
      <c r="SL23" s="529">
        <v>1194</v>
      </c>
      <c r="SM23" s="530"/>
      <c r="SN23" s="530"/>
      <c r="SO23" s="531"/>
      <c r="SP23" s="84">
        <v>1142</v>
      </c>
      <c r="SQ23" s="529">
        <v>1247</v>
      </c>
      <c r="SR23" s="530"/>
      <c r="SS23" s="530"/>
      <c r="ST23" s="531"/>
      <c r="SU23" s="84">
        <v>1230</v>
      </c>
      <c r="SV23" s="529">
        <v>1235</v>
      </c>
      <c r="SW23" s="530"/>
      <c r="SX23" s="530"/>
      <c r="SY23" s="531"/>
      <c r="SZ23" s="84">
        <v>1173.6000000000001</v>
      </c>
      <c r="TA23" s="492"/>
      <c r="TB23" s="512" t="s">
        <v>69</v>
      </c>
      <c r="TC23" s="458"/>
      <c r="TD23" s="458"/>
      <c r="TE23" s="458"/>
      <c r="TF23" s="417" t="s">
        <v>6</v>
      </c>
      <c r="TG23" s="529">
        <v>1243</v>
      </c>
      <c r="TH23" s="530"/>
      <c r="TI23" s="530"/>
      <c r="TJ23" s="531"/>
      <c r="TK23" s="84">
        <f>165.8+183.4+18+14.6+39.8+2+548.4+258</f>
        <v>1230</v>
      </c>
      <c r="TL23" s="529">
        <v>1239</v>
      </c>
      <c r="TM23" s="530"/>
      <c r="TN23" s="530"/>
      <c r="TO23" s="531"/>
      <c r="TP23" s="84">
        <f>158.6+183.3+19.8+14.8+38.4+3.4+590+150.4</f>
        <v>1158.7</v>
      </c>
      <c r="TQ23" s="529">
        <f>182.6+156.1+216.3+450.3+226+6.8</f>
        <v>1238.0999999999999</v>
      </c>
      <c r="TR23" s="530"/>
      <c r="TS23" s="530"/>
      <c r="TT23" s="531"/>
      <c r="TU23" s="84">
        <v>1099.2</v>
      </c>
      <c r="TV23" s="529">
        <v>1302</v>
      </c>
      <c r="TW23" s="530"/>
      <c r="TX23" s="530"/>
      <c r="TY23" s="531"/>
      <c r="TZ23" s="84">
        <v>1151.9000000000001</v>
      </c>
      <c r="UA23" s="492"/>
      <c r="UB23" s="512" t="s">
        <v>69</v>
      </c>
      <c r="UC23" s="458"/>
      <c r="UD23" s="458"/>
      <c r="UE23" s="458"/>
      <c r="UF23" s="417" t="s">
        <v>6</v>
      </c>
      <c r="UG23" s="529">
        <v>1315</v>
      </c>
      <c r="UH23" s="530"/>
      <c r="UI23" s="530"/>
      <c r="UJ23" s="531"/>
      <c r="UK23" s="416">
        <v>1290</v>
      </c>
      <c r="UL23" s="529">
        <v>1274</v>
      </c>
      <c r="UM23" s="530"/>
      <c r="UN23" s="530"/>
      <c r="UO23" s="531"/>
      <c r="UP23" s="84">
        <v>1195.4000000000001</v>
      </c>
      <c r="UQ23" s="529">
        <v>1377</v>
      </c>
      <c r="UR23" s="530"/>
      <c r="US23" s="530"/>
      <c r="UT23" s="531"/>
      <c r="UU23" s="84">
        <v>1310.2</v>
      </c>
      <c r="UV23" s="529">
        <v>1483</v>
      </c>
      <c r="UW23" s="530"/>
      <c r="UX23" s="530"/>
      <c r="UY23" s="531"/>
      <c r="UZ23" s="84">
        <v>1435</v>
      </c>
      <c r="VA23" s="492"/>
      <c r="VB23" s="512" t="s">
        <v>69</v>
      </c>
      <c r="VC23" s="458"/>
      <c r="VD23" s="458"/>
      <c r="VE23" s="458"/>
      <c r="VF23" s="417" t="s">
        <v>6</v>
      </c>
      <c r="VG23" s="529">
        <v>1345</v>
      </c>
      <c r="VH23" s="530"/>
      <c r="VI23" s="530"/>
      <c r="VJ23" s="531"/>
      <c r="VK23" s="84">
        <v>1232.2</v>
      </c>
      <c r="VL23" s="529">
        <v>1328</v>
      </c>
      <c r="VM23" s="530"/>
      <c r="VN23" s="530"/>
      <c r="VO23" s="531"/>
      <c r="VP23" s="84">
        <v>1208.6000000000001</v>
      </c>
      <c r="VQ23" s="529">
        <v>1332</v>
      </c>
      <c r="VR23" s="530"/>
      <c r="VS23" s="530"/>
      <c r="VT23" s="531"/>
      <c r="VU23" s="84">
        <v>1185.2596000000001</v>
      </c>
      <c r="VV23" s="529">
        <v>1440</v>
      </c>
      <c r="VW23" s="530"/>
      <c r="VX23" s="530"/>
      <c r="VY23" s="531"/>
      <c r="VZ23" s="84">
        <v>1293</v>
      </c>
      <c r="WA23" s="492"/>
      <c r="WB23" s="512" t="s">
        <v>69</v>
      </c>
      <c r="WC23" s="458"/>
      <c r="WD23" s="458"/>
      <c r="WE23" s="458"/>
      <c r="WF23" s="417" t="s">
        <v>6</v>
      </c>
      <c r="WG23" s="529">
        <v>1423</v>
      </c>
      <c r="WH23" s="530"/>
      <c r="WI23" s="530"/>
      <c r="WJ23" s="531"/>
      <c r="WK23" s="84">
        <v>1290.1728000000001</v>
      </c>
      <c r="WL23" s="529">
        <v>1434</v>
      </c>
      <c r="WM23" s="530"/>
      <c r="WN23" s="530"/>
      <c r="WO23" s="531"/>
      <c r="WP23" s="84">
        <v>1294.4864</v>
      </c>
      <c r="WQ23" s="529">
        <v>1551</v>
      </c>
      <c r="WR23" s="530"/>
      <c r="WS23" s="530"/>
      <c r="WT23" s="531"/>
      <c r="WU23" s="84">
        <v>1370.8880000000001</v>
      </c>
      <c r="WV23" s="529">
        <v>1496</v>
      </c>
      <c r="WW23" s="530"/>
      <c r="WX23" s="530"/>
      <c r="WY23" s="531"/>
      <c r="WZ23" s="84">
        <v>1444.2</v>
      </c>
      <c r="XA23" s="492"/>
      <c r="XB23" s="512" t="s">
        <v>69</v>
      </c>
      <c r="XC23" s="458"/>
      <c r="XD23" s="458"/>
      <c r="XE23" s="458"/>
      <c r="XF23" s="417" t="s">
        <v>6</v>
      </c>
      <c r="XG23" s="529">
        <v>1444</v>
      </c>
      <c r="XH23" s="530"/>
      <c r="XI23" s="530"/>
      <c r="XJ23" s="531"/>
      <c r="XK23" s="84">
        <v>1344</v>
      </c>
      <c r="XL23" s="529">
        <v>1527</v>
      </c>
      <c r="XM23" s="530"/>
      <c r="XN23" s="530"/>
      <c r="XO23" s="531"/>
      <c r="XP23" s="84">
        <v>1355</v>
      </c>
      <c r="XQ23" s="529">
        <v>1545</v>
      </c>
      <c r="XR23" s="530"/>
      <c r="XS23" s="530"/>
      <c r="XT23" s="531"/>
      <c r="XU23" s="84">
        <v>1352</v>
      </c>
      <c r="XV23" s="529">
        <v>1516</v>
      </c>
      <c r="XW23" s="530"/>
      <c r="XX23" s="530"/>
      <c r="XY23" s="531"/>
      <c r="XZ23" s="84">
        <v>1431.6000000000001</v>
      </c>
      <c r="YA23" s="492"/>
      <c r="YB23" s="512" t="s">
        <v>69</v>
      </c>
      <c r="YC23" s="458"/>
      <c r="YD23" s="458"/>
      <c r="YE23" s="458"/>
      <c r="YF23" s="417" t="s">
        <v>6</v>
      </c>
      <c r="YG23" s="529">
        <v>1534</v>
      </c>
      <c r="YH23" s="530"/>
      <c r="YI23" s="530"/>
      <c r="YJ23" s="531"/>
      <c r="YK23" s="84">
        <v>1470.4</v>
      </c>
      <c r="YL23" s="529">
        <v>1519</v>
      </c>
      <c r="YM23" s="530"/>
      <c r="YN23" s="530"/>
      <c r="YO23" s="531"/>
      <c r="YP23" s="84">
        <v>1377</v>
      </c>
      <c r="YQ23" s="529">
        <v>1318</v>
      </c>
      <c r="YR23" s="530"/>
      <c r="YS23" s="530"/>
      <c r="YT23" s="531"/>
      <c r="YU23" s="84">
        <v>1121.4000000000001</v>
      </c>
      <c r="YV23" s="529">
        <v>1528</v>
      </c>
      <c r="YW23" s="530"/>
      <c r="YX23" s="530"/>
      <c r="YY23" s="531"/>
      <c r="YZ23" s="84">
        <v>1391</v>
      </c>
      <c r="ZA23" s="492"/>
      <c r="ZB23" s="512" t="s">
        <v>69</v>
      </c>
      <c r="ZC23" s="458"/>
      <c r="ZD23" s="458"/>
      <c r="ZE23" s="458"/>
      <c r="ZF23" s="417" t="s">
        <v>6</v>
      </c>
      <c r="ZG23" s="529">
        <v>1518</v>
      </c>
      <c r="ZH23" s="530"/>
      <c r="ZI23" s="530"/>
      <c r="ZJ23" s="531"/>
      <c r="ZK23" s="84">
        <v>1434</v>
      </c>
      <c r="ZL23" s="529">
        <v>1683</v>
      </c>
      <c r="ZM23" s="530"/>
      <c r="ZN23" s="530"/>
      <c r="ZO23" s="531"/>
      <c r="ZP23" s="84">
        <v>1275.1554000000001</v>
      </c>
      <c r="ZQ23" s="529">
        <v>1682</v>
      </c>
      <c r="ZR23" s="530"/>
      <c r="ZS23" s="530"/>
      <c r="ZT23" s="531"/>
      <c r="ZU23" s="84">
        <v>1427.8162000000002</v>
      </c>
      <c r="ZV23" s="529">
        <v>1683</v>
      </c>
      <c r="ZW23" s="530"/>
      <c r="ZX23" s="530"/>
      <c r="ZY23" s="531"/>
      <c r="ZZ23" s="84">
        <v>1422.6008000000002</v>
      </c>
      <c r="AAA23" s="492"/>
      <c r="AAB23" s="512" t="s">
        <v>69</v>
      </c>
      <c r="AAC23" s="458"/>
      <c r="AAD23" s="458"/>
      <c r="AAE23" s="458"/>
      <c r="AAF23" s="417" t="s">
        <v>6</v>
      </c>
      <c r="AAG23" s="529">
        <v>1496</v>
      </c>
      <c r="AAH23" s="530"/>
      <c r="AAI23" s="530"/>
      <c r="AAJ23" s="531"/>
      <c r="AAK23" s="84">
        <v>1229.4212</v>
      </c>
      <c r="AAL23" s="529">
        <v>1472</v>
      </c>
      <c r="AAM23" s="530"/>
      <c r="AAN23" s="530"/>
      <c r="AAO23" s="531"/>
      <c r="AAP23" s="84">
        <v>1442.4576000000002</v>
      </c>
      <c r="AAQ23" s="529">
        <v>1488</v>
      </c>
      <c r="AAR23" s="530"/>
      <c r="AAS23" s="530"/>
      <c r="AAT23" s="531"/>
      <c r="AAU23" s="84">
        <v>1286</v>
      </c>
      <c r="AAV23" s="529">
        <v>1717</v>
      </c>
      <c r="AAW23" s="530"/>
      <c r="AAX23" s="530"/>
      <c r="AAY23" s="531"/>
      <c r="AAZ23" s="84">
        <v>1451.4</v>
      </c>
      <c r="ABA23" s="492"/>
      <c r="ABB23" s="512" t="s">
        <v>69</v>
      </c>
      <c r="ABC23" s="458"/>
      <c r="ABD23" s="458"/>
      <c r="ABE23" s="458"/>
      <c r="ABF23" s="417" t="s">
        <v>6</v>
      </c>
      <c r="ABG23" s="529">
        <v>1557</v>
      </c>
      <c r="ABH23" s="530"/>
      <c r="ABI23" s="530"/>
      <c r="ABJ23" s="531"/>
      <c r="ABK23" s="84">
        <v>1493.874</v>
      </c>
      <c r="ABL23" s="529">
        <v>1664</v>
      </c>
      <c r="ABM23" s="530"/>
      <c r="ABN23" s="530"/>
      <c r="ABO23" s="531"/>
      <c r="ABP23" s="84">
        <v>1554.0642</v>
      </c>
      <c r="ABQ23" s="529">
        <v>1674</v>
      </c>
      <c r="ABR23" s="530"/>
      <c r="ABS23" s="530"/>
      <c r="ABT23" s="531"/>
      <c r="ABU23" s="84">
        <v>1357.4</v>
      </c>
      <c r="ABV23" s="529">
        <v>1301</v>
      </c>
      <c r="ABW23" s="530"/>
      <c r="ABX23" s="530"/>
      <c r="ABY23" s="531"/>
      <c r="ABZ23" s="84">
        <v>1155</v>
      </c>
      <c r="ACA23" s="492"/>
      <c r="ACB23" s="512" t="s">
        <v>69</v>
      </c>
      <c r="ACC23" s="458"/>
      <c r="ACD23" s="458"/>
      <c r="ACE23" s="458"/>
      <c r="ACF23" s="417" t="s">
        <v>6</v>
      </c>
      <c r="ACG23" s="529">
        <v>1371</v>
      </c>
      <c r="ACH23" s="530"/>
      <c r="ACI23" s="530"/>
      <c r="ACJ23" s="531"/>
      <c r="ACK23" s="84">
        <f>169+322.2+38+15.2+49.8+24.6+245.4+168.2</f>
        <v>1032.4000000000001</v>
      </c>
      <c r="ACL23" s="529">
        <f>321.7+155.6+249+890.9+40.3+19.6</f>
        <v>1677.0999999999997</v>
      </c>
      <c r="ACM23" s="530"/>
      <c r="ACN23" s="530"/>
      <c r="ACO23" s="531"/>
      <c r="ACP23" s="84">
        <v>1457</v>
      </c>
      <c r="ACQ23" s="529">
        <v>1497</v>
      </c>
      <c r="ACR23" s="530"/>
      <c r="ACS23" s="530"/>
      <c r="ACT23" s="531"/>
      <c r="ACU23" s="84">
        <v>1480.8000000000002</v>
      </c>
      <c r="ACV23" s="529">
        <v>1645</v>
      </c>
      <c r="ACW23" s="530"/>
      <c r="ACX23" s="530"/>
      <c r="ACY23" s="531"/>
      <c r="ACZ23" s="84">
        <v>1500</v>
      </c>
      <c r="ADA23" s="492"/>
      <c r="ADB23" s="512" t="s">
        <v>69</v>
      </c>
      <c r="ADC23" s="458"/>
      <c r="ADD23" s="458"/>
      <c r="ADE23" s="458"/>
      <c r="ADF23" s="417" t="s">
        <v>6</v>
      </c>
      <c r="ADG23" s="529">
        <v>1595</v>
      </c>
      <c r="ADH23" s="530"/>
      <c r="ADI23" s="530"/>
      <c r="ADJ23" s="531"/>
      <c r="ADK23" s="84">
        <v>1305.3384000000001</v>
      </c>
      <c r="ADL23" s="529">
        <v>1649</v>
      </c>
      <c r="ADM23" s="530"/>
      <c r="ADN23" s="530"/>
      <c r="ADO23" s="531"/>
      <c r="ADP23" s="84">
        <f>146.8+322.4+23.4+14.4+40.8+3.6+844.3+6.6+104</f>
        <v>1506.2999999999997</v>
      </c>
      <c r="ADQ23" s="529">
        <v>1635</v>
      </c>
      <c r="ADR23" s="530"/>
      <c r="ADS23" s="530"/>
      <c r="ADT23" s="531"/>
      <c r="ADU23" s="84">
        <f>163.6+322.6+22.6+14.2+40.2+0.4+923.3+116.8</f>
        <v>1603.7</v>
      </c>
      <c r="ADV23" s="529">
        <v>1628</v>
      </c>
      <c r="ADW23" s="530"/>
      <c r="ADX23" s="530"/>
      <c r="ADY23" s="531"/>
      <c r="ADZ23" s="84">
        <v>1545.7956000000001</v>
      </c>
      <c r="AEA23" s="492"/>
      <c r="AEB23" s="512" t="s">
        <v>69</v>
      </c>
      <c r="AEC23" s="458"/>
      <c r="AED23" s="458"/>
      <c r="AEE23" s="458"/>
      <c r="AEF23" s="417" t="s">
        <v>6</v>
      </c>
      <c r="AEG23" s="529">
        <v>1733</v>
      </c>
      <c r="AEH23" s="530"/>
      <c r="AEI23" s="530"/>
      <c r="AEJ23" s="531"/>
      <c r="AEK23" s="84">
        <f>144+322.4+21.8+13.8+40.4+0.6+860.8+23.1+127.8</f>
        <v>1554.6999999999998</v>
      </c>
      <c r="AEL23" s="529">
        <v>1723</v>
      </c>
      <c r="AEM23" s="530"/>
      <c r="AEN23" s="530"/>
      <c r="AEO23" s="531"/>
      <c r="AEP23" s="84">
        <f>155.4+322.4+19.2+14.4+40.2+0.4+841.2+0.7+144.8</f>
        <v>1538.6999999999998</v>
      </c>
      <c r="AEQ23" s="529">
        <f>322.3+133.4+234.8+417.3+183+2.3</f>
        <v>1293.0999999999999</v>
      </c>
      <c r="AER23" s="530"/>
      <c r="AES23" s="530"/>
      <c r="AET23" s="531"/>
      <c r="AEU23" s="84">
        <v>1219.1698000000001</v>
      </c>
      <c r="AEV23" s="529">
        <v>1713</v>
      </c>
      <c r="AEW23" s="530"/>
      <c r="AEX23" s="530"/>
      <c r="AEY23" s="531"/>
      <c r="AEZ23" s="84">
        <v>1488.5816000000002</v>
      </c>
      <c r="AFA23" s="492"/>
      <c r="AFB23" s="512" t="s">
        <v>69</v>
      </c>
      <c r="AFC23" s="458"/>
      <c r="AFD23" s="458"/>
      <c r="AFE23" s="458"/>
      <c r="AFF23" s="417" t="s">
        <v>6</v>
      </c>
      <c r="AFG23" s="529">
        <v>1756</v>
      </c>
      <c r="AFH23" s="530"/>
      <c r="AFI23" s="530"/>
      <c r="AFJ23" s="531"/>
      <c r="AFK23" s="84">
        <v>1574.7704000000001</v>
      </c>
      <c r="AFL23" s="529">
        <v>1729</v>
      </c>
      <c r="AFM23" s="530"/>
      <c r="AFN23" s="530"/>
      <c r="AFO23" s="531"/>
      <c r="AFP23" s="84">
        <v>1539.8482999999999</v>
      </c>
      <c r="AFQ23" s="529">
        <v>1689</v>
      </c>
      <c r="AFR23" s="530"/>
      <c r="AFS23" s="530"/>
      <c r="AFT23" s="531"/>
      <c r="AFU23" s="84">
        <v>1531.3018000000002</v>
      </c>
      <c r="AFV23" s="529">
        <v>1224.2</v>
      </c>
      <c r="AFW23" s="530"/>
      <c r="AFX23" s="530"/>
      <c r="AFY23" s="531"/>
      <c r="AFZ23" s="84">
        <v>1143.9669000000001</v>
      </c>
      <c r="AGA23" s="492"/>
      <c r="AGB23" s="512" t="s">
        <v>69</v>
      </c>
      <c r="AGC23" s="458"/>
      <c r="AGD23" s="458"/>
      <c r="AGE23" s="458"/>
      <c r="AGF23" s="417" t="s">
        <v>6</v>
      </c>
      <c r="AGG23" s="529">
        <v>1737</v>
      </c>
      <c r="AGH23" s="530"/>
      <c r="AGI23" s="530"/>
      <c r="AGJ23" s="531"/>
      <c r="AGK23" s="84">
        <v>1530.7245000000003</v>
      </c>
      <c r="AGL23" s="529">
        <v>1580</v>
      </c>
      <c r="AGM23" s="530"/>
      <c r="AGN23" s="530"/>
      <c r="AGO23" s="531"/>
      <c r="AGP23" s="84">
        <v>1471.5248000000001</v>
      </c>
      <c r="AGQ23" s="529">
        <v>1383</v>
      </c>
      <c r="AGR23" s="530"/>
      <c r="AGS23" s="530"/>
      <c r="AGT23" s="531"/>
      <c r="AGU23" s="84">
        <v>1240.8582000000001</v>
      </c>
      <c r="AGV23" s="529">
        <v>1685.1</v>
      </c>
      <c r="AGW23" s="530"/>
      <c r="AGX23" s="530"/>
      <c r="AGY23" s="531"/>
      <c r="AGZ23" s="84">
        <f>128+323.2+20+15.4+44.8+11+782.4+150.2</f>
        <v>1475</v>
      </c>
      <c r="AHA23" s="492"/>
      <c r="AHB23" s="512" t="s">
        <v>69</v>
      </c>
      <c r="AHC23" s="458"/>
      <c r="AHD23" s="458"/>
      <c r="AHE23" s="458"/>
      <c r="AHF23" s="417" t="s">
        <v>6</v>
      </c>
      <c r="AHG23" s="529">
        <f>319.2+117.9+211+920.3+119.1+6.9+0.1</f>
        <v>1694.5</v>
      </c>
      <c r="AHH23" s="530"/>
      <c r="AHI23" s="530"/>
      <c r="AHJ23" s="531"/>
      <c r="AHK23" s="84">
        <v>1611</v>
      </c>
      <c r="AHL23" s="529">
        <v>1563.1</v>
      </c>
      <c r="AHM23" s="530"/>
      <c r="AHN23" s="530"/>
      <c r="AHO23" s="531"/>
      <c r="AHP23" s="84">
        <v>1513.7976000000001</v>
      </c>
      <c r="AHQ23" s="529">
        <v>1431</v>
      </c>
      <c r="AHR23" s="530"/>
      <c r="AHS23" s="530"/>
      <c r="AHT23" s="531"/>
      <c r="AHU23" s="84">
        <v>1320.8382000000001</v>
      </c>
      <c r="AHV23" s="529">
        <v>1531</v>
      </c>
      <c r="AHW23" s="530"/>
      <c r="AHX23" s="530"/>
      <c r="AHY23" s="531"/>
      <c r="AHZ23" s="84">
        <v>1270.7582000000002</v>
      </c>
      <c r="AIA23" s="492"/>
      <c r="AIB23" s="512" t="s">
        <v>69</v>
      </c>
      <c r="AIC23" s="458"/>
      <c r="AID23" s="458"/>
      <c r="AIE23" s="458"/>
      <c r="AIF23" s="417" t="s">
        <v>6</v>
      </c>
      <c r="AIG23" s="529">
        <v>1594</v>
      </c>
      <c r="AIH23" s="530"/>
      <c r="AII23" s="530"/>
      <c r="AIJ23" s="531"/>
      <c r="AIK23" s="84">
        <v>1529.4688000000001</v>
      </c>
      <c r="AIL23" s="529">
        <v>1518</v>
      </c>
      <c r="AIM23" s="530"/>
      <c r="AIN23" s="530"/>
      <c r="AIO23" s="531"/>
      <c r="AIP23" s="84">
        <v>1354</v>
      </c>
      <c r="AIQ23" s="529">
        <v>1351.9</v>
      </c>
      <c r="AIR23" s="530"/>
      <c r="AIS23" s="530"/>
      <c r="AIT23" s="531"/>
      <c r="AIU23" s="84">
        <f>AIU22+AIU25</f>
        <v>1400</v>
      </c>
      <c r="AIV23" s="529">
        <v>1252</v>
      </c>
      <c r="AIW23" s="530"/>
      <c r="AIX23" s="530"/>
      <c r="AIY23" s="531"/>
      <c r="AIZ23" s="84">
        <v>1126.6000000000001</v>
      </c>
      <c r="AJA23" s="492"/>
      <c r="AJB23" s="512" t="s">
        <v>69</v>
      </c>
      <c r="AJC23" s="458"/>
      <c r="AJD23" s="458"/>
      <c r="AJE23" s="458"/>
      <c r="AJF23" s="417" t="s">
        <v>6</v>
      </c>
      <c r="AJG23" s="529">
        <v>1282</v>
      </c>
      <c r="AJH23" s="530"/>
      <c r="AJI23" s="530"/>
      <c r="AJJ23" s="531"/>
      <c r="AJK23" s="84">
        <v>1268.1412</v>
      </c>
      <c r="AJL23" s="529">
        <v>1331</v>
      </c>
      <c r="AJM23" s="530"/>
      <c r="AJN23" s="530"/>
      <c r="AJO23" s="531"/>
      <c r="AJP23" s="84">
        <v>986.6</v>
      </c>
      <c r="AJQ23" s="529">
        <v>1593</v>
      </c>
      <c r="AJR23" s="530"/>
      <c r="AJS23" s="530"/>
      <c r="AJT23" s="531"/>
      <c r="AJU23" s="84">
        <v>1357</v>
      </c>
      <c r="AJV23" s="529">
        <v>1665</v>
      </c>
      <c r="AJW23" s="530"/>
      <c r="AJX23" s="530"/>
      <c r="AJY23" s="531"/>
      <c r="AJZ23" s="84">
        <f>AJZ22+AJZ18</f>
        <v>1636</v>
      </c>
      <c r="AKA23" s="492"/>
      <c r="AKB23" s="512" t="s">
        <v>69</v>
      </c>
      <c r="AKC23" s="458"/>
      <c r="AKD23" s="458"/>
      <c r="AKE23" s="458"/>
      <c r="AKF23" s="417" t="s">
        <v>6</v>
      </c>
      <c r="AKG23" s="529">
        <v>1655</v>
      </c>
      <c r="AKH23" s="530"/>
      <c r="AKI23" s="530"/>
      <c r="AKJ23" s="531"/>
      <c r="AKK23" s="84">
        <v>1612.5118000000002</v>
      </c>
      <c r="AKL23" s="529">
        <v>1533</v>
      </c>
      <c r="AKM23" s="530"/>
      <c r="AKN23" s="530"/>
      <c r="AKO23" s="531"/>
      <c r="AKP23" s="84">
        <v>1144</v>
      </c>
      <c r="AKQ23" s="529">
        <v>1535</v>
      </c>
      <c r="AKR23" s="530"/>
      <c r="AKS23" s="530"/>
      <c r="AKT23" s="531"/>
      <c r="AKU23" s="84">
        <v>1346.2616</v>
      </c>
      <c r="AKV23" s="529"/>
      <c r="AKW23" s="530"/>
      <c r="AKX23" s="530"/>
      <c r="AKY23" s="531"/>
      <c r="AKZ23" s="84"/>
    </row>
    <row r="24" spans="1:988" ht="45" customHeight="1" x14ac:dyDescent="0.4">
      <c r="A24" s="294" t="s">
        <v>285</v>
      </c>
      <c r="B24" s="26"/>
      <c r="C24" s="534" t="s">
        <v>5</v>
      </c>
      <c r="D24" s="535"/>
      <c r="E24" s="535"/>
      <c r="F24" s="536"/>
      <c r="G24" s="537">
        <v>925.1</v>
      </c>
      <c r="H24" s="538">
        <v>1224.3</v>
      </c>
      <c r="I24" s="538">
        <v>1196</v>
      </c>
      <c r="J24" s="539">
        <v>925.1</v>
      </c>
      <c r="K24" s="27">
        <v>832.5</v>
      </c>
      <c r="L24" s="537">
        <v>978.9</v>
      </c>
      <c r="M24" s="538">
        <v>1224.3</v>
      </c>
      <c r="N24" s="538">
        <v>1196</v>
      </c>
      <c r="O24" s="539">
        <v>925.1</v>
      </c>
      <c r="P24" s="27">
        <f>5.4+725.2</f>
        <v>730.6</v>
      </c>
      <c r="Q24" s="537">
        <v>922.3</v>
      </c>
      <c r="R24" s="538">
        <v>1006.9</v>
      </c>
      <c r="S24" s="538">
        <v>1110.2</v>
      </c>
      <c r="T24" s="539">
        <v>922.3</v>
      </c>
      <c r="U24" s="27">
        <f>5.2+865.6+2.4</f>
        <v>873.2</v>
      </c>
      <c r="V24" s="537">
        <v>972.19999999999993</v>
      </c>
      <c r="W24" s="538">
        <v>1209.5999999999999</v>
      </c>
      <c r="X24" s="538">
        <v>1163.8999999999999</v>
      </c>
      <c r="Y24" s="539">
        <v>972.19999999999993</v>
      </c>
      <c r="Z24" s="27">
        <f>4.8+894+0.3</f>
        <v>899.09999999999991</v>
      </c>
      <c r="AA24" s="294" t="s">
        <v>285</v>
      </c>
      <c r="AB24" s="26"/>
      <c r="AC24" s="534" t="s">
        <v>5</v>
      </c>
      <c r="AD24" s="535"/>
      <c r="AE24" s="535"/>
      <c r="AF24" s="536"/>
      <c r="AG24" s="537">
        <f>804.4+164.4+1.4</f>
        <v>970.19999999999993</v>
      </c>
      <c r="AH24" s="538"/>
      <c r="AI24" s="538"/>
      <c r="AJ24" s="539"/>
      <c r="AK24" s="27">
        <f>0.2+842.9+0.3</f>
        <v>843.4</v>
      </c>
      <c r="AL24" s="537">
        <v>972</v>
      </c>
      <c r="AM24" s="538">
        <v>1154</v>
      </c>
      <c r="AN24" s="538">
        <v>1174.0999999999999</v>
      </c>
      <c r="AO24" s="539">
        <v>972</v>
      </c>
      <c r="AP24" s="27">
        <v>824.6</v>
      </c>
      <c r="AQ24" s="537">
        <v>967.2</v>
      </c>
      <c r="AR24" s="538">
        <v>1212.5999999999999</v>
      </c>
      <c r="AS24" s="538">
        <v>1134.8</v>
      </c>
      <c r="AT24" s="539">
        <v>967.2</v>
      </c>
      <c r="AU24" s="27">
        <v>823.5</v>
      </c>
      <c r="AV24" s="537">
        <v>968.4</v>
      </c>
      <c r="AW24" s="538">
        <v>1212.5999999999999</v>
      </c>
      <c r="AX24" s="538">
        <v>1134.8</v>
      </c>
      <c r="AY24" s="539">
        <v>967.2</v>
      </c>
      <c r="AZ24" s="27">
        <v>881.4</v>
      </c>
      <c r="BA24" s="294" t="s">
        <v>285</v>
      </c>
      <c r="BB24" s="26"/>
      <c r="BC24" s="534" t="s">
        <v>5</v>
      </c>
      <c r="BD24" s="535"/>
      <c r="BE24" s="535"/>
      <c r="BF24" s="536"/>
      <c r="BG24" s="537">
        <v>973.80000000000007</v>
      </c>
      <c r="BH24" s="538">
        <v>1165.7</v>
      </c>
      <c r="BI24" s="538">
        <v>1137.0999999999999</v>
      </c>
      <c r="BJ24" s="539">
        <v>973.80000000000007</v>
      </c>
      <c r="BK24" s="27">
        <f>880.5+0.6</f>
        <v>881.1</v>
      </c>
      <c r="BL24" s="537">
        <v>974.19999999999993</v>
      </c>
      <c r="BM24" s="538">
        <v>1094.3</v>
      </c>
      <c r="BN24" s="538">
        <v>1136.4000000000001</v>
      </c>
      <c r="BO24" s="539">
        <v>974.19999999999993</v>
      </c>
      <c r="BP24" s="27">
        <v>870</v>
      </c>
      <c r="BQ24" s="537">
        <v>886.2</v>
      </c>
      <c r="BR24" s="538">
        <v>939.1</v>
      </c>
      <c r="BS24" s="538">
        <v>1094.8000000000002</v>
      </c>
      <c r="BT24" s="539">
        <v>886.2</v>
      </c>
      <c r="BU24" s="27">
        <v>610</v>
      </c>
      <c r="BV24" s="537">
        <v>763.3</v>
      </c>
      <c r="BW24" s="538">
        <v>807.5</v>
      </c>
      <c r="BX24" s="538">
        <v>977</v>
      </c>
      <c r="BY24" s="539">
        <v>763.3</v>
      </c>
      <c r="BZ24" s="27">
        <v>557.20000000000005</v>
      </c>
      <c r="CA24" s="294" t="s">
        <v>285</v>
      </c>
      <c r="CB24" s="26"/>
      <c r="CC24" s="534" t="s">
        <v>5</v>
      </c>
      <c r="CD24" s="535"/>
      <c r="CE24" s="535"/>
      <c r="CF24" s="536"/>
      <c r="CG24" s="537">
        <v>795.4</v>
      </c>
      <c r="CH24" s="538">
        <v>820.09999999999991</v>
      </c>
      <c r="CI24" s="538">
        <v>975.8</v>
      </c>
      <c r="CJ24" s="539">
        <v>795.4</v>
      </c>
      <c r="CK24" s="27">
        <f>19.6+483.8</f>
        <v>503.40000000000003</v>
      </c>
      <c r="CL24" s="537">
        <f>906.8+62+15.8</f>
        <v>984.59999999999991</v>
      </c>
      <c r="CM24" s="538"/>
      <c r="CN24" s="538"/>
      <c r="CO24" s="539"/>
      <c r="CP24" s="27">
        <f>6.2+913.2+13</f>
        <v>932.40000000000009</v>
      </c>
      <c r="CQ24" s="537">
        <v>975.6</v>
      </c>
      <c r="CR24" s="538"/>
      <c r="CS24" s="538"/>
      <c r="CT24" s="539"/>
      <c r="CU24" s="27">
        <v>913</v>
      </c>
      <c r="CV24" s="537">
        <v>782.5</v>
      </c>
      <c r="CW24" s="538">
        <v>824.6</v>
      </c>
      <c r="CX24" s="538">
        <v>945.5</v>
      </c>
      <c r="CY24" s="539">
        <v>782.5</v>
      </c>
      <c r="CZ24" s="27">
        <v>395</v>
      </c>
      <c r="DA24" s="294" t="s">
        <v>285</v>
      </c>
      <c r="DB24" s="26"/>
      <c r="DC24" s="534" t="s">
        <v>5</v>
      </c>
      <c r="DD24" s="535"/>
      <c r="DE24" s="535"/>
      <c r="DF24" s="536"/>
      <c r="DG24" s="537">
        <v>971.9</v>
      </c>
      <c r="DH24" s="538">
        <v>1155.0999999999999</v>
      </c>
      <c r="DI24" s="538">
        <v>1191.8</v>
      </c>
      <c r="DJ24" s="539">
        <v>971.9</v>
      </c>
      <c r="DK24" s="27">
        <v>706</v>
      </c>
      <c r="DL24" s="537">
        <v>972.30000000000007</v>
      </c>
      <c r="DM24" s="538">
        <v>1182</v>
      </c>
      <c r="DN24" s="538">
        <v>1162</v>
      </c>
      <c r="DO24" s="539">
        <v>972.30000000000007</v>
      </c>
      <c r="DP24" s="27">
        <f>0.2+826.5</f>
        <v>826.7</v>
      </c>
      <c r="DQ24" s="537">
        <f>908.8+60+11.6</f>
        <v>980.4</v>
      </c>
      <c r="DR24" s="538">
        <v>1182</v>
      </c>
      <c r="DS24" s="538">
        <v>1162</v>
      </c>
      <c r="DT24" s="539">
        <v>972.30000000000007</v>
      </c>
      <c r="DU24" s="27">
        <v>870.34920000000011</v>
      </c>
      <c r="DV24" s="537">
        <f>412.6+278+2.6</f>
        <v>693.2</v>
      </c>
      <c r="DW24" s="538"/>
      <c r="DX24" s="538"/>
      <c r="DY24" s="539"/>
      <c r="DZ24" s="27">
        <v>399</v>
      </c>
      <c r="EA24" s="294" t="s">
        <v>285</v>
      </c>
      <c r="EB24" s="26"/>
      <c r="EC24" s="534" t="s">
        <v>5</v>
      </c>
      <c r="ED24" s="535"/>
      <c r="EE24" s="535"/>
      <c r="EF24" s="536"/>
      <c r="EG24" s="537">
        <v>884.6</v>
      </c>
      <c r="EH24" s="538">
        <v>978.5</v>
      </c>
      <c r="EI24" s="538">
        <v>1062.5</v>
      </c>
      <c r="EJ24" s="539">
        <v>884.6</v>
      </c>
      <c r="EK24" s="27">
        <f>740.8+0.2</f>
        <v>741</v>
      </c>
      <c r="EL24" s="537">
        <v>923.3</v>
      </c>
      <c r="EM24" s="538">
        <v>1058.5</v>
      </c>
      <c r="EN24" s="538">
        <v>1133.6999999999998</v>
      </c>
      <c r="EO24" s="539">
        <v>923.3</v>
      </c>
      <c r="EP24" s="27">
        <f>813.5+4.4</f>
        <v>817.9</v>
      </c>
      <c r="EQ24" s="537">
        <f>926+40.4+11.9</f>
        <v>978.3</v>
      </c>
      <c r="ER24" s="538">
        <v>1058.5</v>
      </c>
      <c r="ES24" s="538">
        <v>1133.6999999999998</v>
      </c>
      <c r="ET24" s="539">
        <v>923.3</v>
      </c>
      <c r="EU24" s="27">
        <f>2+867.4+9.6</f>
        <v>879</v>
      </c>
      <c r="EV24" s="537">
        <v>861</v>
      </c>
      <c r="EW24" s="538">
        <v>851.9</v>
      </c>
      <c r="EX24" s="538">
        <v>1056.9000000000001</v>
      </c>
      <c r="EY24" s="539">
        <v>861</v>
      </c>
      <c r="EZ24" s="27">
        <f>634.4+9</f>
        <v>643.4</v>
      </c>
      <c r="FA24" s="294" t="s">
        <v>285</v>
      </c>
      <c r="FB24" s="26"/>
      <c r="FC24" s="534" t="s">
        <v>5</v>
      </c>
      <c r="FD24" s="535"/>
      <c r="FE24" s="535"/>
      <c r="FF24" s="536"/>
      <c r="FG24" s="537">
        <v>932.1</v>
      </c>
      <c r="FH24" s="538">
        <v>1132.5</v>
      </c>
      <c r="FI24" s="538">
        <v>1095.8</v>
      </c>
      <c r="FJ24" s="539">
        <v>932.1</v>
      </c>
      <c r="FK24" s="27">
        <v>763</v>
      </c>
      <c r="FL24" s="537">
        <f>909.8+43.2+5.9</f>
        <v>958.9</v>
      </c>
      <c r="FM24" s="538"/>
      <c r="FN24" s="538"/>
      <c r="FO24" s="539"/>
      <c r="FP24" s="27">
        <v>886</v>
      </c>
      <c r="FQ24" s="537">
        <v>914.3</v>
      </c>
      <c r="FR24" s="538">
        <v>1102.8</v>
      </c>
      <c r="FS24" s="538">
        <v>1077.3</v>
      </c>
      <c r="FT24" s="539">
        <v>914.3</v>
      </c>
      <c r="FU24" s="27">
        <v>869.10860000000002</v>
      </c>
      <c r="FV24" s="537">
        <v>855</v>
      </c>
      <c r="FW24" s="538">
        <v>919</v>
      </c>
      <c r="FX24" s="538">
        <v>1016</v>
      </c>
      <c r="FY24" s="539">
        <v>855</v>
      </c>
      <c r="FZ24" s="27">
        <v>732</v>
      </c>
      <c r="GA24" s="294" t="s">
        <v>285</v>
      </c>
      <c r="GB24" s="26"/>
      <c r="GC24" s="534" t="s">
        <v>5</v>
      </c>
      <c r="GD24" s="535"/>
      <c r="GE24" s="535"/>
      <c r="GF24" s="536"/>
      <c r="GG24" s="537">
        <v>933.6</v>
      </c>
      <c r="GH24" s="538">
        <v>901.30000000000007</v>
      </c>
      <c r="GI24" s="538">
        <v>1117.8000000000002</v>
      </c>
      <c r="GJ24" s="539">
        <v>933.6</v>
      </c>
      <c r="GK24" s="27">
        <f>9.2+346.6</f>
        <v>355.8</v>
      </c>
      <c r="GL24" s="537">
        <v>902</v>
      </c>
      <c r="GM24" s="538">
        <v>985.9</v>
      </c>
      <c r="GN24" s="538">
        <v>1089.9000000000001</v>
      </c>
      <c r="GO24" s="539">
        <v>902</v>
      </c>
      <c r="GP24" s="27">
        <v>715.4</v>
      </c>
      <c r="GQ24" s="537">
        <v>931.2</v>
      </c>
      <c r="GR24" s="538">
        <v>1012.1</v>
      </c>
      <c r="GS24" s="538">
        <v>1116.8000000000002</v>
      </c>
      <c r="GT24" s="539">
        <v>931.2</v>
      </c>
      <c r="GU24" s="27">
        <f>1.4+758.2</f>
        <v>759.6</v>
      </c>
      <c r="GV24" s="537">
        <v>967</v>
      </c>
      <c r="GW24" s="538"/>
      <c r="GX24" s="538"/>
      <c r="GY24" s="539"/>
      <c r="GZ24" s="27">
        <f>3+855.3+2.3</f>
        <v>860.59999999999991</v>
      </c>
      <c r="HA24" s="294" t="s">
        <v>285</v>
      </c>
      <c r="HB24" s="26"/>
      <c r="HC24" s="534" t="s">
        <v>5</v>
      </c>
      <c r="HD24" s="535"/>
      <c r="HE24" s="535"/>
      <c r="HF24" s="536"/>
      <c r="HG24" s="537">
        <v>734.69999999999993</v>
      </c>
      <c r="HH24" s="538">
        <v>699.7</v>
      </c>
      <c r="HI24" s="538">
        <v>957.3</v>
      </c>
      <c r="HJ24" s="539">
        <v>734.69999999999993</v>
      </c>
      <c r="HK24" s="27">
        <f>1+323.8</f>
        <v>324.8</v>
      </c>
      <c r="HL24" s="537">
        <v>723.5</v>
      </c>
      <c r="HM24" s="538">
        <v>898.19999999999993</v>
      </c>
      <c r="HN24" s="538">
        <v>1016.5999999999999</v>
      </c>
      <c r="HO24" s="539">
        <v>723.5</v>
      </c>
      <c r="HP24" s="27">
        <v>672</v>
      </c>
      <c r="HQ24" s="537">
        <v>949.2</v>
      </c>
      <c r="HR24" s="538">
        <v>1187.3000000000002</v>
      </c>
      <c r="HS24" s="538">
        <v>1195.1000000000001</v>
      </c>
      <c r="HT24" s="539">
        <v>949.2</v>
      </c>
      <c r="HU24" s="27">
        <f>0.2+804.8+0.3</f>
        <v>805.3</v>
      </c>
      <c r="HV24" s="537">
        <f>901+47+5.6</f>
        <v>953.6</v>
      </c>
      <c r="HW24" s="538"/>
      <c r="HX24" s="538"/>
      <c r="HY24" s="539"/>
      <c r="HZ24" s="27">
        <f>0.6+817.2+6.9</f>
        <v>824.7</v>
      </c>
      <c r="IA24" s="294" t="s">
        <v>285</v>
      </c>
      <c r="IB24" s="26"/>
      <c r="IC24" s="534" t="s">
        <v>5</v>
      </c>
      <c r="ID24" s="535"/>
      <c r="IE24" s="535"/>
      <c r="IF24" s="536"/>
      <c r="IG24" s="537">
        <f>678+178+14.8</f>
        <v>870.8</v>
      </c>
      <c r="IH24" s="538"/>
      <c r="II24" s="538"/>
      <c r="IJ24" s="539"/>
      <c r="IK24" s="27">
        <v>564.79999999999995</v>
      </c>
      <c r="IL24" s="537">
        <v>961.6</v>
      </c>
      <c r="IM24" s="538">
        <v>1197.0999999999999</v>
      </c>
      <c r="IN24" s="538">
        <v>1145.0999999999999</v>
      </c>
      <c r="IO24" s="539">
        <v>961.6</v>
      </c>
      <c r="IP24" s="27">
        <f>2.6+867.1+0</f>
        <v>869.7</v>
      </c>
      <c r="IQ24" s="537">
        <v>835</v>
      </c>
      <c r="IR24" s="538"/>
      <c r="IS24" s="538"/>
      <c r="IT24" s="539"/>
      <c r="IU24" s="27">
        <f>3.4+650.6</f>
        <v>654</v>
      </c>
      <c r="IV24" s="537">
        <v>937.3</v>
      </c>
      <c r="IW24" s="538">
        <v>1104.9000000000001</v>
      </c>
      <c r="IX24" s="538">
        <v>1173.9000000000001</v>
      </c>
      <c r="IY24" s="539">
        <v>937.3</v>
      </c>
      <c r="IZ24" s="27">
        <f>3.8+826.8</f>
        <v>830.59999999999991</v>
      </c>
      <c r="JA24" s="294" t="s">
        <v>285</v>
      </c>
      <c r="JB24" s="26"/>
      <c r="JC24" s="534" t="s">
        <v>5</v>
      </c>
      <c r="JD24" s="535"/>
      <c r="JE24" s="535"/>
      <c r="JF24" s="536"/>
      <c r="JG24" s="537">
        <v>930.09999999999991</v>
      </c>
      <c r="JH24" s="538">
        <v>1191.0999999999999</v>
      </c>
      <c r="JI24" s="538">
        <v>1136.7</v>
      </c>
      <c r="JJ24" s="539">
        <v>930.09999999999991</v>
      </c>
      <c r="JK24" s="27">
        <v>797.2</v>
      </c>
      <c r="JL24" s="537">
        <v>888</v>
      </c>
      <c r="JM24" s="538">
        <v>1111.8</v>
      </c>
      <c r="JN24" s="538">
        <v>1186.4000000000001</v>
      </c>
      <c r="JO24" s="539">
        <v>888</v>
      </c>
      <c r="JP24" s="27">
        <v>492</v>
      </c>
      <c r="JQ24" s="537">
        <f>815.9+37.6+11.7</f>
        <v>865.2</v>
      </c>
      <c r="JR24" s="538"/>
      <c r="JS24" s="538"/>
      <c r="JT24" s="539"/>
      <c r="JU24" s="27">
        <v>803.93020000000001</v>
      </c>
      <c r="JV24" s="537">
        <f>775.6+26+7.6</f>
        <v>809.2</v>
      </c>
      <c r="JW24" s="538"/>
      <c r="JX24" s="538"/>
      <c r="JY24" s="539"/>
      <c r="JZ24" s="27">
        <v>772.6</v>
      </c>
      <c r="KA24" s="294" t="s">
        <v>285</v>
      </c>
      <c r="KB24" s="26"/>
      <c r="KC24" s="534" t="s">
        <v>5</v>
      </c>
      <c r="KD24" s="535"/>
      <c r="KE24" s="535"/>
      <c r="KF24" s="536"/>
      <c r="KG24" s="537">
        <f>683.8+135.6+5.3</f>
        <v>824.69999999999993</v>
      </c>
      <c r="KH24" s="538"/>
      <c r="KI24" s="538"/>
      <c r="KJ24" s="539"/>
      <c r="KK24" s="27">
        <v>664</v>
      </c>
      <c r="KL24" s="537">
        <v>837.8</v>
      </c>
      <c r="KM24" s="538">
        <v>1195.8</v>
      </c>
      <c r="KN24" s="538">
        <v>1099.7</v>
      </c>
      <c r="KO24" s="539">
        <v>837.8</v>
      </c>
      <c r="KP24" s="27">
        <v>779</v>
      </c>
      <c r="KQ24" s="537">
        <f>761.4+85.6+5.5</f>
        <v>852.5</v>
      </c>
      <c r="KR24" s="538"/>
      <c r="KS24" s="538"/>
      <c r="KT24" s="539"/>
      <c r="KU24" s="27">
        <f>3.2+755.2</f>
        <v>758.40000000000009</v>
      </c>
      <c r="KV24" s="537">
        <v>799.5</v>
      </c>
      <c r="KW24" s="538">
        <v>1061.0999999999999</v>
      </c>
      <c r="KX24" s="538">
        <v>1096.9000000000001</v>
      </c>
      <c r="KY24" s="539">
        <v>799.5</v>
      </c>
      <c r="KZ24" s="27">
        <v>720.25160000000005</v>
      </c>
      <c r="LA24" s="294" t="s">
        <v>285</v>
      </c>
      <c r="LB24" s="26"/>
      <c r="LC24" s="534" t="s">
        <v>5</v>
      </c>
      <c r="LD24" s="535"/>
      <c r="LE24" s="535"/>
      <c r="LF24" s="536"/>
      <c r="LG24" s="537">
        <f>827.4+31.6+5.7</f>
        <v>864.7</v>
      </c>
      <c r="LH24" s="538"/>
      <c r="LI24" s="538"/>
      <c r="LJ24" s="539"/>
      <c r="LK24" s="27">
        <v>807.6</v>
      </c>
      <c r="LL24" s="537">
        <v>810.80000000000007</v>
      </c>
      <c r="LM24" s="538">
        <v>1104.9000000000001</v>
      </c>
      <c r="LN24" s="538">
        <v>1024.5</v>
      </c>
      <c r="LO24" s="539">
        <v>810.80000000000007</v>
      </c>
      <c r="LP24" s="27">
        <v>774</v>
      </c>
      <c r="LQ24" s="537">
        <v>824.3</v>
      </c>
      <c r="LR24" s="538">
        <v>940.19999999999993</v>
      </c>
      <c r="LS24" s="538">
        <v>999.09999999999991</v>
      </c>
      <c r="LT24" s="539">
        <v>824.3</v>
      </c>
      <c r="LU24" s="27">
        <v>584.80000000000007</v>
      </c>
      <c r="LV24" s="537">
        <v>746.30000000000007</v>
      </c>
      <c r="LW24" s="538">
        <v>851.1</v>
      </c>
      <c r="LX24" s="538">
        <v>912.40000000000009</v>
      </c>
      <c r="LY24" s="539">
        <v>746.30000000000007</v>
      </c>
      <c r="LZ24" s="27">
        <f>24.4+568.6</f>
        <v>593</v>
      </c>
      <c r="MA24" s="294" t="s">
        <v>285</v>
      </c>
      <c r="MB24" s="26"/>
      <c r="MC24" s="534" t="s">
        <v>5</v>
      </c>
      <c r="MD24" s="535"/>
      <c r="ME24" s="535"/>
      <c r="MF24" s="536"/>
      <c r="MG24" s="537">
        <v>854.3</v>
      </c>
      <c r="MH24" s="538">
        <v>1003.0999999999999</v>
      </c>
      <c r="MI24" s="538">
        <v>1048.1999999999998</v>
      </c>
      <c r="MJ24" s="539">
        <v>854.3</v>
      </c>
      <c r="MK24" s="27">
        <v>533.80000000000007</v>
      </c>
      <c r="ML24" s="537">
        <v>868</v>
      </c>
      <c r="MM24" s="538">
        <v>1013.7</v>
      </c>
      <c r="MN24" s="538">
        <v>1058.3</v>
      </c>
      <c r="MO24" s="539">
        <v>868</v>
      </c>
      <c r="MP24" s="27">
        <v>604.20000000000005</v>
      </c>
      <c r="MQ24" s="537">
        <v>879</v>
      </c>
      <c r="MR24" s="538">
        <v>1028.5</v>
      </c>
      <c r="MS24" s="538">
        <v>1065.8</v>
      </c>
      <c r="MT24" s="539">
        <v>879</v>
      </c>
      <c r="MU24" s="27">
        <f>10.2+696.8</f>
        <v>707</v>
      </c>
      <c r="MV24" s="537">
        <v>866</v>
      </c>
      <c r="MW24" s="538">
        <v>1051.9000000000001</v>
      </c>
      <c r="MX24" s="538">
        <v>1062.2</v>
      </c>
      <c r="MY24" s="539">
        <v>866</v>
      </c>
      <c r="MZ24" s="27">
        <f>3.4+744.2</f>
        <v>747.6</v>
      </c>
      <c r="NA24" s="294" t="s">
        <v>285</v>
      </c>
      <c r="NB24" s="26"/>
      <c r="NC24" s="534" t="s">
        <v>5</v>
      </c>
      <c r="ND24" s="535"/>
      <c r="NE24" s="535"/>
      <c r="NF24" s="536"/>
      <c r="NG24" s="537">
        <v>831</v>
      </c>
      <c r="NH24" s="538">
        <v>1063.3</v>
      </c>
      <c r="NI24" s="538">
        <v>1002.1999999999999</v>
      </c>
      <c r="NJ24" s="539">
        <v>831</v>
      </c>
      <c r="NK24" s="27">
        <f>2.8+747.4</f>
        <v>750.19999999999993</v>
      </c>
      <c r="NL24" s="537">
        <f>535.4+286+6.8</f>
        <v>828.19999999999993</v>
      </c>
      <c r="NM24" s="538">
        <v>1063.3</v>
      </c>
      <c r="NN24" s="538">
        <v>1002.1999999999999</v>
      </c>
      <c r="NO24" s="539">
        <v>831</v>
      </c>
      <c r="NP24" s="27">
        <f>569.4+0.8</f>
        <v>570.19999999999993</v>
      </c>
      <c r="NQ24" s="537">
        <v>867.80000000000007</v>
      </c>
      <c r="NR24" s="538">
        <v>890.6</v>
      </c>
      <c r="NS24" s="538">
        <v>1056</v>
      </c>
      <c r="NT24" s="539">
        <v>867.80000000000007</v>
      </c>
      <c r="NU24" s="27">
        <v>684</v>
      </c>
      <c r="NV24" s="537">
        <v>858.30000000000007</v>
      </c>
      <c r="NW24" s="538">
        <v>1023.9</v>
      </c>
      <c r="NX24" s="538">
        <v>1045.8999999999999</v>
      </c>
      <c r="NY24" s="539">
        <v>858.30000000000007</v>
      </c>
      <c r="NZ24" s="27">
        <v>721.2</v>
      </c>
      <c r="OA24" s="294" t="s">
        <v>285</v>
      </c>
      <c r="OB24" s="26"/>
      <c r="OC24" s="534" t="s">
        <v>5</v>
      </c>
      <c r="OD24" s="535"/>
      <c r="OE24" s="535"/>
      <c r="OF24" s="536"/>
      <c r="OG24" s="537">
        <v>846.8</v>
      </c>
      <c r="OH24" s="538">
        <v>1102.5</v>
      </c>
      <c r="OI24" s="538">
        <v>1029.1999999999998</v>
      </c>
      <c r="OJ24" s="539">
        <v>846.8</v>
      </c>
      <c r="OK24" s="27">
        <f>805.7</f>
        <v>805.7</v>
      </c>
      <c r="OL24" s="537">
        <v>871.30000000000007</v>
      </c>
      <c r="OM24" s="538">
        <v>975.7</v>
      </c>
      <c r="ON24" s="538">
        <v>1038.0999999999999</v>
      </c>
      <c r="OO24" s="539">
        <v>871.30000000000007</v>
      </c>
      <c r="OP24" s="27">
        <v>674.00860000000011</v>
      </c>
      <c r="OQ24" s="537">
        <v>879.6</v>
      </c>
      <c r="OR24" s="538">
        <v>1001.6</v>
      </c>
      <c r="OS24" s="538">
        <v>1043.2</v>
      </c>
      <c r="OT24" s="539">
        <v>879.6</v>
      </c>
      <c r="OU24" s="27">
        <v>578.4</v>
      </c>
      <c r="OV24" s="537">
        <v>872.2</v>
      </c>
      <c r="OW24" s="538">
        <v>996.7</v>
      </c>
      <c r="OX24" s="538">
        <v>1040.8</v>
      </c>
      <c r="OY24" s="539">
        <v>872.2</v>
      </c>
      <c r="OZ24" s="27">
        <f>13+679.2</f>
        <v>692.2</v>
      </c>
      <c r="PA24" s="294" t="s">
        <v>285</v>
      </c>
      <c r="PB24" s="26"/>
      <c r="PC24" s="534" t="s">
        <v>5</v>
      </c>
      <c r="PD24" s="535"/>
      <c r="PE24" s="535"/>
      <c r="PF24" s="536"/>
      <c r="PG24" s="537">
        <v>858.30000000000007</v>
      </c>
      <c r="PH24" s="538">
        <v>1038.3000000000002</v>
      </c>
      <c r="PI24" s="538">
        <v>1023.5</v>
      </c>
      <c r="PJ24" s="539">
        <v>858.30000000000007</v>
      </c>
      <c r="PK24" s="27">
        <v>755</v>
      </c>
      <c r="PL24" s="537">
        <v>861.90000000000009</v>
      </c>
      <c r="PM24" s="538">
        <v>1008.3000000000001</v>
      </c>
      <c r="PN24" s="538">
        <v>1036.9000000000001</v>
      </c>
      <c r="PO24" s="539">
        <v>861.90000000000009</v>
      </c>
      <c r="PP24" s="27">
        <v>631.29999999999995</v>
      </c>
      <c r="PQ24" s="537">
        <v>866.69999999999993</v>
      </c>
      <c r="PR24" s="538">
        <v>1002.0999999999999</v>
      </c>
      <c r="PS24" s="538">
        <v>1013.8999999999999</v>
      </c>
      <c r="PT24" s="539">
        <v>866.69999999999993</v>
      </c>
      <c r="PU24" s="27">
        <v>739.6</v>
      </c>
      <c r="PV24" s="537">
        <v>871.30000000000007</v>
      </c>
      <c r="PW24" s="538">
        <v>1030</v>
      </c>
      <c r="PX24" s="538">
        <v>1024.5</v>
      </c>
      <c r="PY24" s="539">
        <v>871.30000000000007</v>
      </c>
      <c r="PZ24" s="27">
        <f>2.4+737.5+12.1</f>
        <v>752</v>
      </c>
      <c r="QA24" s="294" t="s">
        <v>285</v>
      </c>
      <c r="QB24" s="26"/>
      <c r="QC24" s="534" t="s">
        <v>5</v>
      </c>
      <c r="QD24" s="535"/>
      <c r="QE24" s="535"/>
      <c r="QF24" s="536"/>
      <c r="QG24" s="537">
        <v>848.5</v>
      </c>
      <c r="QH24" s="538">
        <v>969.59999999999991</v>
      </c>
      <c r="QI24" s="538">
        <v>1020.8</v>
      </c>
      <c r="QJ24" s="539">
        <v>848.5</v>
      </c>
      <c r="QK24" s="27">
        <f>5.4+661.8</f>
        <v>667.19999999999993</v>
      </c>
      <c r="QL24" s="537">
        <v>794.4</v>
      </c>
      <c r="QM24" s="538">
        <v>1026.4000000000001</v>
      </c>
      <c r="QN24" s="538">
        <v>985</v>
      </c>
      <c r="QO24" s="539">
        <v>794.4</v>
      </c>
      <c r="QP24" s="27">
        <v>572.20000000000005</v>
      </c>
      <c r="QQ24" s="537">
        <f>741.5+41.5+1.7</f>
        <v>784.7</v>
      </c>
      <c r="QR24" s="538"/>
      <c r="QS24" s="538"/>
      <c r="QT24" s="539"/>
      <c r="QU24" s="27">
        <f>649.2+0.2</f>
        <v>649.40000000000009</v>
      </c>
      <c r="QV24" s="537">
        <v>804.1</v>
      </c>
      <c r="QW24" s="538">
        <v>1101.0999999999999</v>
      </c>
      <c r="QX24" s="538">
        <v>1009.9000000000001</v>
      </c>
      <c r="QY24" s="539">
        <v>804.1</v>
      </c>
      <c r="QZ24" s="27">
        <v>705.6</v>
      </c>
      <c r="RA24" s="294" t="s">
        <v>285</v>
      </c>
      <c r="RB24" s="26"/>
      <c r="RC24" s="534" t="s">
        <v>5</v>
      </c>
      <c r="RD24" s="535"/>
      <c r="RE24" s="535"/>
      <c r="RF24" s="536"/>
      <c r="RG24" s="537">
        <v>790.90000000000009</v>
      </c>
      <c r="RH24" s="538">
        <v>1001.1</v>
      </c>
      <c r="RI24" s="538">
        <v>950.90000000000009</v>
      </c>
      <c r="RJ24" s="539">
        <v>790.90000000000009</v>
      </c>
      <c r="RK24" s="27">
        <v>735</v>
      </c>
      <c r="RL24" s="537">
        <v>783.49999999999989</v>
      </c>
      <c r="RM24" s="538">
        <v>976.4</v>
      </c>
      <c r="RN24" s="538">
        <v>959.09999999999991</v>
      </c>
      <c r="RO24" s="539">
        <v>783.49999999999989</v>
      </c>
      <c r="RP24" s="27">
        <v>708</v>
      </c>
      <c r="RQ24" s="537">
        <v>636.70000000000005</v>
      </c>
      <c r="RR24" s="538">
        <v>1077.3</v>
      </c>
      <c r="RS24" s="538">
        <v>953.9</v>
      </c>
      <c r="RT24" s="539">
        <v>636.70000000000005</v>
      </c>
      <c r="RU24" s="415">
        <v>667</v>
      </c>
      <c r="RV24" s="575">
        <v>787.5</v>
      </c>
      <c r="RW24" s="538">
        <v>1087.5999999999999</v>
      </c>
      <c r="RX24" s="538">
        <v>1007.6999999999999</v>
      </c>
      <c r="RY24" s="576">
        <v>787.5</v>
      </c>
      <c r="RZ24" s="27">
        <v>708</v>
      </c>
      <c r="SA24" s="294" t="s">
        <v>285</v>
      </c>
      <c r="SB24" s="26"/>
      <c r="SC24" s="534" t="s">
        <v>5</v>
      </c>
      <c r="SD24" s="535"/>
      <c r="SE24" s="535"/>
      <c r="SF24" s="536"/>
      <c r="SG24" s="537">
        <v>698</v>
      </c>
      <c r="SH24" s="538">
        <v>863.90000000000009</v>
      </c>
      <c r="SI24" s="538">
        <v>874.5</v>
      </c>
      <c r="SJ24" s="539">
        <v>698</v>
      </c>
      <c r="SK24" s="27">
        <v>537.80000000000007</v>
      </c>
      <c r="SL24" s="537">
        <v>693.19999999999993</v>
      </c>
      <c r="SM24" s="538">
        <v>902.69999999999993</v>
      </c>
      <c r="SN24" s="538">
        <v>904.59999999999991</v>
      </c>
      <c r="SO24" s="539">
        <v>693.19999999999993</v>
      </c>
      <c r="SP24" s="27">
        <v>566</v>
      </c>
      <c r="SQ24" s="537">
        <v>750.9</v>
      </c>
      <c r="SR24" s="538">
        <v>954.1</v>
      </c>
      <c r="SS24" s="538">
        <v>956.7</v>
      </c>
      <c r="ST24" s="539">
        <v>750.9</v>
      </c>
      <c r="SU24" s="27">
        <v>692</v>
      </c>
      <c r="SV24" s="537">
        <v>720.2</v>
      </c>
      <c r="SW24" s="538">
        <v>934.5</v>
      </c>
      <c r="SX24" s="538">
        <v>938</v>
      </c>
      <c r="SY24" s="539">
        <v>720.2</v>
      </c>
      <c r="SZ24" s="27">
        <v>373.8</v>
      </c>
      <c r="TA24" s="294" t="s">
        <v>285</v>
      </c>
      <c r="TB24" s="26"/>
      <c r="TC24" s="534" t="s">
        <v>5</v>
      </c>
      <c r="TD24" s="535"/>
      <c r="TE24" s="535"/>
      <c r="TF24" s="536"/>
      <c r="TG24" s="537">
        <v>734.7</v>
      </c>
      <c r="TH24" s="538">
        <v>952.7</v>
      </c>
      <c r="TI24" s="538">
        <v>962.3</v>
      </c>
      <c r="TJ24" s="539">
        <v>734.7</v>
      </c>
      <c r="TK24" s="27">
        <f>548.4+2</f>
        <v>550.4</v>
      </c>
      <c r="TL24" s="537">
        <v>731.5</v>
      </c>
      <c r="TM24" s="538">
        <v>941.3</v>
      </c>
      <c r="TN24" s="538">
        <v>949.7</v>
      </c>
      <c r="TO24" s="539">
        <v>731.5</v>
      </c>
      <c r="TP24" s="27">
        <f>3.4+590</f>
        <v>593.4</v>
      </c>
      <c r="TQ24" s="537">
        <f>450.3+226+6.8</f>
        <v>683.09999999999991</v>
      </c>
      <c r="TR24" s="538"/>
      <c r="TS24" s="538"/>
      <c r="TT24" s="539"/>
      <c r="TU24" s="27">
        <v>533</v>
      </c>
      <c r="TV24" s="537">
        <v>751.6</v>
      </c>
      <c r="TW24" s="538">
        <v>1063.0999999999999</v>
      </c>
      <c r="TX24" s="538">
        <v>965.30000000000007</v>
      </c>
      <c r="TY24" s="539">
        <v>751.6</v>
      </c>
      <c r="TZ24" s="27">
        <v>632.70000000000016</v>
      </c>
      <c r="UA24" s="294" t="s">
        <v>285</v>
      </c>
      <c r="UB24" s="26"/>
      <c r="UC24" s="534" t="s">
        <v>5</v>
      </c>
      <c r="UD24" s="535"/>
      <c r="UE24" s="535"/>
      <c r="UF24" s="536"/>
      <c r="UG24" s="537">
        <v>738.09999999999991</v>
      </c>
      <c r="UH24" s="538">
        <v>1008.9</v>
      </c>
      <c r="UI24" s="538">
        <v>953.3</v>
      </c>
      <c r="UJ24" s="539">
        <v>738.09999999999991</v>
      </c>
      <c r="UK24" s="415">
        <v>646</v>
      </c>
      <c r="UL24" s="537">
        <v>758.19999999999993</v>
      </c>
      <c r="UM24" s="538">
        <v>977.5</v>
      </c>
      <c r="UN24" s="538">
        <v>989</v>
      </c>
      <c r="UO24" s="539">
        <v>758.19999999999993</v>
      </c>
      <c r="UP24" s="27">
        <v>624</v>
      </c>
      <c r="UQ24" s="537">
        <v>689</v>
      </c>
      <c r="UR24" s="538">
        <v>890.09999999999991</v>
      </c>
      <c r="US24" s="538">
        <v>921.4</v>
      </c>
      <c r="UT24" s="539">
        <v>689</v>
      </c>
      <c r="UU24" s="27">
        <v>529</v>
      </c>
      <c r="UV24" s="537">
        <v>757.40000000000009</v>
      </c>
      <c r="UW24" s="538">
        <v>1043.0999999999999</v>
      </c>
      <c r="UX24" s="538">
        <v>1012.8</v>
      </c>
      <c r="UY24" s="539">
        <v>757.40000000000009</v>
      </c>
      <c r="UZ24" s="27">
        <v>634</v>
      </c>
      <c r="VA24" s="294" t="s">
        <v>285</v>
      </c>
      <c r="VB24" s="26"/>
      <c r="VC24" s="534" t="s">
        <v>5</v>
      </c>
      <c r="VD24" s="535"/>
      <c r="VE24" s="535"/>
      <c r="VF24" s="536"/>
      <c r="VG24" s="537">
        <v>682.9</v>
      </c>
      <c r="VH24" s="538">
        <v>865.7</v>
      </c>
      <c r="VI24" s="538">
        <v>896.6</v>
      </c>
      <c r="VJ24" s="539">
        <v>682.9</v>
      </c>
      <c r="VK24" s="27">
        <v>575.80000000000007</v>
      </c>
      <c r="VL24" s="537">
        <v>671.2</v>
      </c>
      <c r="VM24" s="538">
        <v>851.5</v>
      </c>
      <c r="VN24" s="538">
        <v>884.90000000000009</v>
      </c>
      <c r="VO24" s="539">
        <v>671.2</v>
      </c>
      <c r="VP24" s="27">
        <v>464</v>
      </c>
      <c r="VQ24" s="537">
        <v>680.5</v>
      </c>
      <c r="VR24" s="538">
        <v>847.09999999999991</v>
      </c>
      <c r="VS24" s="538">
        <v>882</v>
      </c>
      <c r="VT24" s="539">
        <v>680.5</v>
      </c>
      <c r="VU24" s="27">
        <v>543.25959999999998</v>
      </c>
      <c r="VV24" s="537">
        <v>790.5</v>
      </c>
      <c r="VW24" s="538">
        <v>959.4</v>
      </c>
      <c r="VX24" s="538">
        <v>994</v>
      </c>
      <c r="VY24" s="539">
        <v>790.5</v>
      </c>
      <c r="VZ24" s="27">
        <v>657</v>
      </c>
      <c r="WA24" s="294" t="s">
        <v>285</v>
      </c>
      <c r="WB24" s="26"/>
      <c r="WC24" s="534" t="s">
        <v>5</v>
      </c>
      <c r="WD24" s="535"/>
      <c r="WE24" s="535"/>
      <c r="WF24" s="536"/>
      <c r="WG24" s="537">
        <v>772.59999999999991</v>
      </c>
      <c r="WH24" s="538">
        <v>985</v>
      </c>
      <c r="WI24" s="538">
        <v>975.9</v>
      </c>
      <c r="WJ24" s="539">
        <v>772.59999999999991</v>
      </c>
      <c r="WK24" s="27">
        <v>661.57280000000003</v>
      </c>
      <c r="WL24" s="537">
        <v>776.69999999999993</v>
      </c>
      <c r="WM24" s="538">
        <v>996.9</v>
      </c>
      <c r="WN24" s="538">
        <v>983.1</v>
      </c>
      <c r="WO24" s="539">
        <v>776.69999999999993</v>
      </c>
      <c r="WP24" s="27">
        <v>655.08640000000003</v>
      </c>
      <c r="WQ24" s="537">
        <v>864.9</v>
      </c>
      <c r="WR24" s="538">
        <v>1038.1999999999998</v>
      </c>
      <c r="WS24" s="538">
        <v>1103.1999999999998</v>
      </c>
      <c r="WT24" s="539">
        <v>864.9</v>
      </c>
      <c r="WU24" s="27">
        <v>711.88800000000003</v>
      </c>
      <c r="WV24" s="537">
        <v>797.4</v>
      </c>
      <c r="WW24" s="538">
        <v>957.5</v>
      </c>
      <c r="WX24" s="538">
        <v>1046.0999999999999</v>
      </c>
      <c r="WY24" s="539">
        <v>797.4</v>
      </c>
      <c r="WZ24" s="27">
        <v>614.20000000000005</v>
      </c>
      <c r="XA24" s="294" t="s">
        <v>285</v>
      </c>
      <c r="XB24" s="26"/>
      <c r="XC24" s="534" t="s">
        <v>5</v>
      </c>
      <c r="XD24" s="535"/>
      <c r="XE24" s="535"/>
      <c r="XF24" s="536"/>
      <c r="XG24" s="537">
        <v>764.4</v>
      </c>
      <c r="XH24" s="538">
        <v>888</v>
      </c>
      <c r="XI24" s="538">
        <v>977.2</v>
      </c>
      <c r="XJ24" s="539">
        <v>764.4</v>
      </c>
      <c r="XK24" s="27">
        <v>487</v>
      </c>
      <c r="XL24" s="537">
        <v>854.1</v>
      </c>
      <c r="XM24" s="538">
        <v>1096.8000000000002</v>
      </c>
      <c r="XN24" s="538">
        <v>1086.3</v>
      </c>
      <c r="XO24" s="539">
        <v>854.1</v>
      </c>
      <c r="XP24" s="27">
        <v>704</v>
      </c>
      <c r="XQ24" s="537">
        <v>861.1</v>
      </c>
      <c r="XR24" s="538">
        <v>1028</v>
      </c>
      <c r="XS24" s="538">
        <v>1092.6000000000001</v>
      </c>
      <c r="XT24" s="539">
        <v>861.1</v>
      </c>
      <c r="XU24" s="27">
        <v>666</v>
      </c>
      <c r="XV24" s="537">
        <v>826.69999999999993</v>
      </c>
      <c r="XW24" s="538">
        <v>1098.1999999999998</v>
      </c>
      <c r="XX24" s="538">
        <v>1063.2</v>
      </c>
      <c r="XY24" s="539">
        <v>826.69999999999993</v>
      </c>
      <c r="XZ24" s="27">
        <v>725.6</v>
      </c>
      <c r="YA24" s="294" t="s">
        <v>285</v>
      </c>
      <c r="YB24" s="26"/>
      <c r="YC24" s="534" t="s">
        <v>5</v>
      </c>
      <c r="YD24" s="535"/>
      <c r="YE24" s="535"/>
      <c r="YF24" s="536"/>
      <c r="YG24" s="537">
        <v>849.7</v>
      </c>
      <c r="YH24" s="538">
        <v>1076.3000000000002</v>
      </c>
      <c r="YI24" s="538">
        <v>1095.1000000000001</v>
      </c>
      <c r="YJ24" s="539">
        <v>849.7</v>
      </c>
      <c r="YK24" s="27">
        <v>685</v>
      </c>
      <c r="YL24" s="537">
        <v>786.4</v>
      </c>
      <c r="YM24" s="538">
        <v>981.19999999999993</v>
      </c>
      <c r="YN24" s="538">
        <v>1052.1999999999998</v>
      </c>
      <c r="YO24" s="539">
        <v>786.4</v>
      </c>
      <c r="YP24" s="27">
        <v>453.8</v>
      </c>
      <c r="YQ24" s="537">
        <v>639.6</v>
      </c>
      <c r="YR24" s="538">
        <v>702.2</v>
      </c>
      <c r="YS24" s="538">
        <v>874</v>
      </c>
      <c r="YT24" s="539">
        <v>639.6</v>
      </c>
      <c r="YU24" s="27">
        <v>237.20000000000002</v>
      </c>
      <c r="YV24" s="537">
        <v>848.6</v>
      </c>
      <c r="YW24" s="538">
        <v>1026.1999999999998</v>
      </c>
      <c r="YX24" s="538">
        <v>1086.1999999999998</v>
      </c>
      <c r="YY24" s="539">
        <v>848.6</v>
      </c>
      <c r="YZ24" s="27">
        <v>699</v>
      </c>
      <c r="ZA24" s="294" t="s">
        <v>285</v>
      </c>
      <c r="ZB24" s="26"/>
      <c r="ZC24" s="534" t="s">
        <v>5</v>
      </c>
      <c r="ZD24" s="535"/>
      <c r="ZE24" s="535"/>
      <c r="ZF24" s="536"/>
      <c r="ZG24" s="537">
        <v>702.80000000000007</v>
      </c>
      <c r="ZH24" s="538">
        <v>1106.2</v>
      </c>
      <c r="ZI24" s="538">
        <v>1007.8000000000001</v>
      </c>
      <c r="ZJ24" s="539">
        <v>702.80000000000007</v>
      </c>
      <c r="ZK24" s="27">
        <v>608</v>
      </c>
      <c r="ZL24" s="537">
        <v>947.19999999999993</v>
      </c>
      <c r="ZM24" s="538">
        <v>1246.5999999999999</v>
      </c>
      <c r="ZN24" s="538">
        <v>1166.0999999999999</v>
      </c>
      <c r="ZO24" s="539">
        <v>947.19999999999993</v>
      </c>
      <c r="ZP24" s="27">
        <v>530.75540000000001</v>
      </c>
      <c r="ZQ24" s="537">
        <v>946.6</v>
      </c>
      <c r="ZR24" s="538">
        <v>1215</v>
      </c>
      <c r="ZS24" s="538">
        <v>1180.2</v>
      </c>
      <c r="ZT24" s="539">
        <v>946.6</v>
      </c>
      <c r="ZU24" s="27">
        <v>707.61620000000005</v>
      </c>
      <c r="ZV24" s="537">
        <v>942.59999999999991</v>
      </c>
      <c r="ZW24" s="538">
        <v>1258.5999999999999</v>
      </c>
      <c r="ZX24" s="538">
        <v>1167.5999999999999</v>
      </c>
      <c r="ZY24" s="539">
        <v>942.59999999999991</v>
      </c>
      <c r="ZZ24" s="27">
        <v>728.60080000000005</v>
      </c>
      <c r="AAA24" s="294" t="s">
        <v>285</v>
      </c>
      <c r="AAB24" s="26"/>
      <c r="AAC24" s="534" t="s">
        <v>5</v>
      </c>
      <c r="AAD24" s="535"/>
      <c r="AAE24" s="535"/>
      <c r="AAF24" s="536"/>
      <c r="AAG24" s="537">
        <v>737.4</v>
      </c>
      <c r="AAH24" s="538">
        <v>1027.8</v>
      </c>
      <c r="AAI24" s="538">
        <v>979.4</v>
      </c>
      <c r="AAJ24" s="539">
        <v>737.4</v>
      </c>
      <c r="AAK24" s="27">
        <v>466.62119999999999</v>
      </c>
      <c r="AAL24" s="537">
        <v>702</v>
      </c>
      <c r="AAM24" s="538">
        <v>972.8</v>
      </c>
      <c r="AAN24" s="538">
        <v>935.3</v>
      </c>
      <c r="AAO24" s="539">
        <v>702</v>
      </c>
      <c r="AAP24" s="27">
        <v>694.25760000000002</v>
      </c>
      <c r="AAQ24" s="537">
        <v>657.8</v>
      </c>
      <c r="AAR24" s="538">
        <v>522.5</v>
      </c>
      <c r="AAS24" s="538">
        <v>903.6</v>
      </c>
      <c r="AAT24" s="539">
        <v>657.8</v>
      </c>
      <c r="AAU24" s="27">
        <v>147.6</v>
      </c>
      <c r="AAV24" s="537">
        <v>896.5</v>
      </c>
      <c r="AAW24" s="538">
        <v>1060.7</v>
      </c>
      <c r="AAX24" s="538">
        <v>1140.3000000000002</v>
      </c>
      <c r="AAY24" s="539">
        <v>896.5</v>
      </c>
      <c r="AAZ24" s="27">
        <v>652.6</v>
      </c>
      <c r="ABA24" s="294" t="s">
        <v>285</v>
      </c>
      <c r="ABB24" s="26"/>
      <c r="ABC24" s="534" t="s">
        <v>5</v>
      </c>
      <c r="ABD24" s="535"/>
      <c r="ABE24" s="535"/>
      <c r="ABF24" s="536"/>
      <c r="ABG24" s="537">
        <v>735.19999999999993</v>
      </c>
      <c r="ABH24" s="538">
        <v>1027.4000000000001</v>
      </c>
      <c r="ABI24" s="538">
        <v>975.5</v>
      </c>
      <c r="ABJ24" s="539">
        <v>735.19999999999993</v>
      </c>
      <c r="ABK24" s="27">
        <v>651.07400000000007</v>
      </c>
      <c r="ABL24" s="537">
        <v>933.59999999999991</v>
      </c>
      <c r="ABM24" s="538">
        <v>1251.5</v>
      </c>
      <c r="ABN24" s="538">
        <v>1183.7</v>
      </c>
      <c r="ABO24" s="539">
        <v>933.59999999999991</v>
      </c>
      <c r="ABP24" s="27">
        <v>858.46420000000001</v>
      </c>
      <c r="ABQ24" s="537">
        <v>929.69999999999993</v>
      </c>
      <c r="ABR24" s="538">
        <v>1113.8</v>
      </c>
      <c r="ABS24" s="538">
        <v>1194.9000000000001</v>
      </c>
      <c r="ABT24" s="539">
        <v>929.69999999999993</v>
      </c>
      <c r="ABU24" s="27">
        <v>539.4</v>
      </c>
      <c r="ABV24" s="537">
        <v>577.79999999999995</v>
      </c>
      <c r="ABW24" s="538">
        <v>740.9</v>
      </c>
      <c r="ABX24" s="538">
        <v>813.9</v>
      </c>
      <c r="ABY24" s="539">
        <v>577.79999999999995</v>
      </c>
      <c r="ABZ24" s="27">
        <v>366.6</v>
      </c>
      <c r="ACA24" s="294" t="s">
        <v>285</v>
      </c>
      <c r="ACB24" s="26"/>
      <c r="ACC24" s="534" t="s">
        <v>5</v>
      </c>
      <c r="ACD24" s="535"/>
      <c r="ACE24" s="535"/>
      <c r="ACF24" s="536"/>
      <c r="ACG24" s="537">
        <v>645.5</v>
      </c>
      <c r="ACH24" s="538">
        <v>793.8</v>
      </c>
      <c r="ACI24" s="538">
        <v>867.6</v>
      </c>
      <c r="ACJ24" s="539">
        <v>645.5</v>
      </c>
      <c r="ACK24" s="27">
        <f>245.4+24.6</f>
        <v>270</v>
      </c>
      <c r="ACL24" s="537">
        <f>890.9+40.3+19.6</f>
        <v>950.8</v>
      </c>
      <c r="ACM24" s="538"/>
      <c r="ACN24" s="538"/>
      <c r="ACO24" s="539"/>
      <c r="ACP24" s="27">
        <v>737</v>
      </c>
      <c r="ACQ24" s="537">
        <v>717.8</v>
      </c>
      <c r="ACR24" s="538">
        <v>1054.7</v>
      </c>
      <c r="ACS24" s="538">
        <v>1002.9</v>
      </c>
      <c r="ACT24" s="539">
        <v>717.8</v>
      </c>
      <c r="ACU24" s="27">
        <v>644.20000000000005</v>
      </c>
      <c r="ACV24" s="537">
        <v>918.3</v>
      </c>
      <c r="ACW24" s="538">
        <v>1262</v>
      </c>
      <c r="ACX24" s="538">
        <v>1157.8999999999999</v>
      </c>
      <c r="ACY24" s="539">
        <v>918.3</v>
      </c>
      <c r="ACZ24" s="27">
        <v>772</v>
      </c>
      <c r="ADA24" s="294" t="s">
        <v>285</v>
      </c>
      <c r="ADB24" s="26"/>
      <c r="ADC24" s="534" t="s">
        <v>5</v>
      </c>
      <c r="ADD24" s="535"/>
      <c r="ADE24" s="535"/>
      <c r="ADF24" s="536"/>
      <c r="ADG24" s="537">
        <v>895.7</v>
      </c>
      <c r="ADH24" s="538">
        <v>1013.2</v>
      </c>
      <c r="ADI24" s="538">
        <v>1116.2</v>
      </c>
      <c r="ADJ24" s="539">
        <v>895.7</v>
      </c>
      <c r="ADK24" s="27">
        <v>606.9384</v>
      </c>
      <c r="ADL24" s="537">
        <v>955.2</v>
      </c>
      <c r="ADM24" s="538">
        <v>1170.7</v>
      </c>
      <c r="ADN24" s="538">
        <v>1184.3</v>
      </c>
      <c r="ADO24" s="539">
        <v>955.2</v>
      </c>
      <c r="ADP24" s="27">
        <f>854.5</f>
        <v>854.5</v>
      </c>
      <c r="ADQ24" s="537">
        <v>933.49999999999989</v>
      </c>
      <c r="ADR24" s="538">
        <v>1302.5999999999999</v>
      </c>
      <c r="ADS24" s="538">
        <v>1174.3</v>
      </c>
      <c r="ADT24" s="539">
        <v>933.49999999999989</v>
      </c>
      <c r="ADU24" s="27">
        <f>0.4+923.3</f>
        <v>923.69999999999993</v>
      </c>
      <c r="ADV24" s="537">
        <v>935.5</v>
      </c>
      <c r="ADW24" s="538">
        <v>1282.0999999999999</v>
      </c>
      <c r="ADX24" s="538">
        <v>1166.4000000000001</v>
      </c>
      <c r="ADY24" s="539">
        <v>935.5</v>
      </c>
      <c r="ADZ24" s="27">
        <v>879.39560000000006</v>
      </c>
      <c r="AEA24" s="294" t="s">
        <v>285</v>
      </c>
      <c r="AEB24" s="26"/>
      <c r="AEC24" s="534" t="s">
        <v>5</v>
      </c>
      <c r="AED24" s="535"/>
      <c r="AEE24" s="535"/>
      <c r="AEF24" s="536"/>
      <c r="AEG24" s="537">
        <v>1045.2</v>
      </c>
      <c r="AEH24" s="538">
        <v>1240.7</v>
      </c>
      <c r="AEI24" s="538">
        <v>1249.3</v>
      </c>
      <c r="AEJ24" s="539">
        <v>1045.2</v>
      </c>
      <c r="AEK24" s="27">
        <f>0.6+860.8+23.1</f>
        <v>884.5</v>
      </c>
      <c r="AEL24" s="537">
        <v>1028.7</v>
      </c>
      <c r="AEM24" s="538">
        <v>1255.5999999999999</v>
      </c>
      <c r="AEN24" s="538">
        <v>1264.3</v>
      </c>
      <c r="AEO24" s="539">
        <v>1028.7</v>
      </c>
      <c r="AEP24" s="27">
        <f>0.4+841.2+0.7</f>
        <v>842.30000000000007</v>
      </c>
      <c r="AEQ24" s="537">
        <f>417.3+183+2.3</f>
        <v>602.59999999999991</v>
      </c>
      <c r="AER24" s="538"/>
      <c r="AES24" s="538"/>
      <c r="AET24" s="539"/>
      <c r="AEU24" s="27">
        <v>497.96980000000008</v>
      </c>
      <c r="AEV24" s="537">
        <v>1034.8</v>
      </c>
      <c r="AEW24" s="538">
        <v>1239.5</v>
      </c>
      <c r="AEX24" s="538">
        <v>1252.4000000000001</v>
      </c>
      <c r="AEY24" s="539">
        <v>1034.8</v>
      </c>
      <c r="AEZ24" s="27">
        <v>806.38160000000016</v>
      </c>
      <c r="AFA24" s="294" t="s">
        <v>285</v>
      </c>
      <c r="AFB24" s="26"/>
      <c r="AFC24" s="534" t="s">
        <v>5</v>
      </c>
      <c r="AFD24" s="535"/>
      <c r="AFE24" s="535"/>
      <c r="AFF24" s="536"/>
      <c r="AFG24" s="537">
        <v>1038.1000000000001</v>
      </c>
      <c r="AFH24" s="538">
        <v>1286.5999999999999</v>
      </c>
      <c r="AFI24" s="538">
        <v>1296.3</v>
      </c>
      <c r="AFJ24" s="539">
        <v>1038.1000000000001</v>
      </c>
      <c r="AFK24" s="27">
        <v>865.7704</v>
      </c>
      <c r="AFL24" s="537">
        <v>1044.2</v>
      </c>
      <c r="AFM24" s="538">
        <v>1259.8</v>
      </c>
      <c r="AFN24" s="538">
        <v>1269.4000000000001</v>
      </c>
      <c r="AFO24" s="539">
        <v>1044.2</v>
      </c>
      <c r="AFP24" s="27">
        <v>843.4482999999999</v>
      </c>
      <c r="AFQ24" s="537">
        <v>1000.4000000000001</v>
      </c>
      <c r="AFR24" s="538">
        <v>1219.8000000000002</v>
      </c>
      <c r="AFS24" s="538">
        <v>1230.5</v>
      </c>
      <c r="AFT24" s="539">
        <v>1000.4000000000001</v>
      </c>
      <c r="AFU24" s="27">
        <v>825.90180000000009</v>
      </c>
      <c r="AFV24" s="537">
        <v>516.79999999999995</v>
      </c>
      <c r="AFW24" s="538">
        <v>713.3</v>
      </c>
      <c r="AFX24" s="538">
        <v>747.9</v>
      </c>
      <c r="AFY24" s="539">
        <v>516.79999999999995</v>
      </c>
      <c r="AFZ24" s="27">
        <v>264.2</v>
      </c>
      <c r="AGA24" s="294" t="s">
        <v>285</v>
      </c>
      <c r="AGB24" s="26"/>
      <c r="AGC24" s="534" t="s">
        <v>5</v>
      </c>
      <c r="AGD24" s="535"/>
      <c r="AGE24" s="535"/>
      <c r="AGF24" s="536"/>
      <c r="AGG24" s="537">
        <v>1012.7</v>
      </c>
      <c r="AGH24" s="538">
        <v>1268.8</v>
      </c>
      <c r="AGI24" s="538">
        <v>1259.8</v>
      </c>
      <c r="AGJ24" s="539">
        <v>1012.7</v>
      </c>
      <c r="AGK24" s="27">
        <v>812.12450000000001</v>
      </c>
      <c r="AGL24" s="537">
        <v>915</v>
      </c>
      <c r="AGM24" s="538">
        <v>1110.1999999999998</v>
      </c>
      <c r="AGN24" s="538">
        <v>1148.8</v>
      </c>
      <c r="AGO24" s="539">
        <v>915</v>
      </c>
      <c r="AGP24" s="27">
        <v>812.9248</v>
      </c>
      <c r="AGQ24" s="537">
        <v>724.9</v>
      </c>
      <c r="AGR24" s="538">
        <v>829.6</v>
      </c>
      <c r="AGS24" s="538">
        <v>944.7</v>
      </c>
      <c r="AGT24" s="539">
        <v>724.9</v>
      </c>
      <c r="AGU24" s="27">
        <v>560.45820000000003</v>
      </c>
      <c r="AGV24" s="537">
        <v>1042.5999999999999</v>
      </c>
      <c r="AGW24" s="538">
        <v>1198</v>
      </c>
      <c r="AGX24" s="538">
        <v>1223.8</v>
      </c>
      <c r="AGY24" s="539">
        <v>1042.5999999999999</v>
      </c>
      <c r="AGZ24" s="27">
        <f>11+782.4</f>
        <v>793.4</v>
      </c>
      <c r="AHA24" s="294" t="s">
        <v>285</v>
      </c>
      <c r="AHB24" s="26"/>
      <c r="AHC24" s="534" t="s">
        <v>5</v>
      </c>
      <c r="AHD24" s="535"/>
      <c r="AHE24" s="535"/>
      <c r="AHF24" s="536"/>
      <c r="AHG24" s="537">
        <f>920.3+119.1+6.9</f>
        <v>1046.3</v>
      </c>
      <c r="AHH24" s="538"/>
      <c r="AHI24" s="538"/>
      <c r="AHJ24" s="539"/>
      <c r="AHK24" s="27">
        <v>923</v>
      </c>
      <c r="AHL24" s="537">
        <v>910.9</v>
      </c>
      <c r="AHM24" s="538">
        <v>1085.9000000000001</v>
      </c>
      <c r="AHN24" s="538">
        <v>1113.3</v>
      </c>
      <c r="AHO24" s="539">
        <v>910.9</v>
      </c>
      <c r="AHP24" s="27">
        <v>820.39760000000012</v>
      </c>
      <c r="AHQ24" s="537">
        <v>784.5</v>
      </c>
      <c r="AHR24" s="538">
        <v>876.1</v>
      </c>
      <c r="AHS24" s="538">
        <v>982.1</v>
      </c>
      <c r="AHT24" s="539">
        <v>784.5</v>
      </c>
      <c r="AHU24" s="27">
        <v>653.63819999999998</v>
      </c>
      <c r="AHV24" s="537">
        <v>904.3</v>
      </c>
      <c r="AHW24" s="538">
        <v>969.09999999999991</v>
      </c>
      <c r="AHX24" s="538">
        <v>1094.0999999999999</v>
      </c>
      <c r="AHY24" s="539">
        <v>904.3</v>
      </c>
      <c r="AHZ24" s="27">
        <v>536.55820000000006</v>
      </c>
      <c r="AIA24" s="294" t="s">
        <v>285</v>
      </c>
      <c r="AIB24" s="26"/>
      <c r="AIC24" s="534" t="s">
        <v>5</v>
      </c>
      <c r="AID24" s="535"/>
      <c r="AIE24" s="535"/>
      <c r="AIF24" s="536"/>
      <c r="AIG24" s="537">
        <v>968.5</v>
      </c>
      <c r="AIH24" s="538">
        <v>1242.4000000000001</v>
      </c>
      <c r="AII24" s="538">
        <v>1167.8</v>
      </c>
      <c r="AIJ24" s="539">
        <v>968.5</v>
      </c>
      <c r="AIK24" s="27">
        <v>859.66880000000003</v>
      </c>
      <c r="AIL24" s="537">
        <v>861.1</v>
      </c>
      <c r="AIM24" s="538">
        <v>960.6</v>
      </c>
      <c r="AIN24" s="538">
        <v>1066.3</v>
      </c>
      <c r="AIO24" s="539">
        <v>861.1</v>
      </c>
      <c r="AIP24" s="27">
        <v>634.6</v>
      </c>
      <c r="AIQ24" s="537">
        <v>702.6</v>
      </c>
      <c r="AIR24" s="538">
        <v>795.2</v>
      </c>
      <c r="AIS24" s="538">
        <v>901.4</v>
      </c>
      <c r="AIT24" s="539">
        <v>702.6</v>
      </c>
      <c r="AIU24" s="27">
        <v>679</v>
      </c>
      <c r="AIV24" s="537">
        <v>576.5</v>
      </c>
      <c r="AIW24" s="538">
        <v>652.59999999999991</v>
      </c>
      <c r="AIX24" s="538">
        <v>817</v>
      </c>
      <c r="AIY24" s="539">
        <v>576.5</v>
      </c>
      <c r="AIZ24" s="27">
        <v>299.40000000000003</v>
      </c>
      <c r="AJA24" s="294" t="s">
        <v>285</v>
      </c>
      <c r="AJB24" s="26"/>
      <c r="AJC24" s="534" t="s">
        <v>5</v>
      </c>
      <c r="AJD24" s="535"/>
      <c r="AJE24" s="535"/>
      <c r="AJF24" s="536"/>
      <c r="AJG24" s="537">
        <v>612.79999999999995</v>
      </c>
      <c r="AJH24" s="538">
        <v>682.90000000000009</v>
      </c>
      <c r="AJI24" s="538">
        <v>848.6</v>
      </c>
      <c r="AJJ24" s="539">
        <v>612.79999999999995</v>
      </c>
      <c r="AJK24" s="27">
        <v>595.94120000000009</v>
      </c>
      <c r="AJL24" s="537">
        <v>657.1</v>
      </c>
      <c r="AJM24" s="538">
        <v>725.4</v>
      </c>
      <c r="AJN24" s="538">
        <v>893</v>
      </c>
      <c r="AJO24" s="539">
        <v>657.1</v>
      </c>
      <c r="AJP24" s="27">
        <v>272.60000000000002</v>
      </c>
      <c r="AJQ24" s="537">
        <v>920.3</v>
      </c>
      <c r="AJR24" s="538">
        <v>1045.5</v>
      </c>
      <c r="AJS24" s="538">
        <v>1163.3</v>
      </c>
      <c r="AJT24" s="539">
        <v>920.3</v>
      </c>
      <c r="AJU24" s="27">
        <v>680</v>
      </c>
      <c r="AJV24" s="537">
        <v>990.30000000000007</v>
      </c>
      <c r="AJW24" s="538">
        <v>1321.6</v>
      </c>
      <c r="AJX24" s="538">
        <v>1238.5</v>
      </c>
      <c r="AJY24" s="539">
        <v>990.30000000000007</v>
      </c>
      <c r="AJZ24" s="27">
        <v>959</v>
      </c>
      <c r="AKA24" s="294" t="s">
        <v>285</v>
      </c>
      <c r="AKB24" s="26"/>
      <c r="AKC24" s="534" t="s">
        <v>5</v>
      </c>
      <c r="AKD24" s="535"/>
      <c r="AKE24" s="535"/>
      <c r="AKF24" s="536"/>
      <c r="AKG24" s="537">
        <v>990.4</v>
      </c>
      <c r="AKH24" s="538">
        <v>1307.0999999999999</v>
      </c>
      <c r="AKI24" s="538">
        <v>1228.5999999999999</v>
      </c>
      <c r="AKJ24" s="539">
        <v>990.4</v>
      </c>
      <c r="AKK24" s="27">
        <v>941.71180000000004</v>
      </c>
      <c r="AKL24" s="537">
        <v>863.3</v>
      </c>
      <c r="AKM24" s="538">
        <v>978.4</v>
      </c>
      <c r="AKN24" s="538">
        <v>1101.2</v>
      </c>
      <c r="AKO24" s="539">
        <v>863.3</v>
      </c>
      <c r="AKP24" s="27">
        <v>434</v>
      </c>
      <c r="AKQ24" s="537">
        <v>881.4</v>
      </c>
      <c r="AKR24" s="538">
        <v>969.8</v>
      </c>
      <c r="AKS24" s="538">
        <v>1093.5999999999999</v>
      </c>
      <c r="AKT24" s="539">
        <v>881.4</v>
      </c>
      <c r="AKU24" s="27">
        <v>677.66160000000002</v>
      </c>
      <c r="AKV24" s="537"/>
      <c r="AKW24" s="538"/>
      <c r="AKX24" s="538"/>
      <c r="AKY24" s="539"/>
      <c r="AKZ24" s="27"/>
    </row>
    <row r="25" spans="1:988" ht="69" customHeight="1" x14ac:dyDescent="0.4">
      <c r="A25" s="53"/>
      <c r="B25" s="542" t="s">
        <v>17</v>
      </c>
      <c r="C25" s="543"/>
      <c r="D25" s="543"/>
      <c r="E25" s="543"/>
      <c r="F25" s="424" t="s">
        <v>7</v>
      </c>
      <c r="G25" s="501">
        <v>176</v>
      </c>
      <c r="H25" s="502"/>
      <c r="I25" s="502"/>
      <c r="J25" s="503"/>
      <c r="K25" s="343">
        <v>110</v>
      </c>
      <c r="L25" s="501">
        <v>282.60000000000002</v>
      </c>
      <c r="M25" s="502"/>
      <c r="N25" s="502"/>
      <c r="O25" s="503"/>
      <c r="P25" s="343">
        <f>P23-P22</f>
        <v>129.60000000000014</v>
      </c>
      <c r="Q25" s="501">
        <v>263</v>
      </c>
      <c r="R25" s="502"/>
      <c r="S25" s="502"/>
      <c r="T25" s="503"/>
      <c r="U25" s="343">
        <f>U23-U22</f>
        <v>222.20000000000005</v>
      </c>
      <c r="V25" s="501">
        <v>195</v>
      </c>
      <c r="W25" s="502"/>
      <c r="X25" s="502"/>
      <c r="Y25" s="503"/>
      <c r="Z25" s="343">
        <f>Z23-Z22</f>
        <v>105.89999999999986</v>
      </c>
      <c r="AA25" s="53"/>
      <c r="AB25" s="542" t="s">
        <v>17</v>
      </c>
      <c r="AC25" s="543"/>
      <c r="AD25" s="543"/>
      <c r="AE25" s="543"/>
      <c r="AF25" s="424" t="s">
        <v>7</v>
      </c>
      <c r="AG25" s="501">
        <f>AG23-AG22</f>
        <v>226.90000000000009</v>
      </c>
      <c r="AH25" s="502"/>
      <c r="AI25" s="502"/>
      <c r="AJ25" s="503"/>
      <c r="AK25" s="343">
        <f>AK23-AK22</f>
        <v>82.199999999999818</v>
      </c>
      <c r="AL25" s="501">
        <v>241</v>
      </c>
      <c r="AM25" s="502"/>
      <c r="AN25" s="502"/>
      <c r="AO25" s="503"/>
      <c r="AP25" s="343">
        <f>AP23-AP22</f>
        <v>118.59999999999991</v>
      </c>
      <c r="AQ25" s="501">
        <v>253</v>
      </c>
      <c r="AR25" s="502"/>
      <c r="AS25" s="502"/>
      <c r="AT25" s="503"/>
      <c r="AU25" s="343">
        <f>AU23-AU22</f>
        <v>189.90000000000009</v>
      </c>
      <c r="AV25" s="501">
        <v>202</v>
      </c>
      <c r="AW25" s="502"/>
      <c r="AX25" s="502"/>
      <c r="AY25" s="503"/>
      <c r="AZ25" s="343">
        <f>AZ23-AZ22</f>
        <v>86</v>
      </c>
      <c r="BA25" s="53"/>
      <c r="BB25" s="542" t="s">
        <v>17</v>
      </c>
      <c r="BC25" s="543"/>
      <c r="BD25" s="543"/>
      <c r="BE25" s="543"/>
      <c r="BF25" s="424" t="s">
        <v>7</v>
      </c>
      <c r="BG25" s="501">
        <v>271</v>
      </c>
      <c r="BH25" s="502"/>
      <c r="BI25" s="502"/>
      <c r="BJ25" s="503"/>
      <c r="BK25" s="343">
        <f>BK23-BK22</f>
        <v>221.69999999999982</v>
      </c>
      <c r="BL25" s="501">
        <v>322</v>
      </c>
      <c r="BM25" s="502"/>
      <c r="BN25" s="502"/>
      <c r="BO25" s="503"/>
      <c r="BP25" s="343">
        <f>BP23-BP22</f>
        <v>211</v>
      </c>
      <c r="BQ25" s="501">
        <v>279</v>
      </c>
      <c r="BR25" s="502"/>
      <c r="BS25" s="502"/>
      <c r="BT25" s="503"/>
      <c r="BU25" s="343">
        <f>BU23-BU22</f>
        <v>0</v>
      </c>
      <c r="BV25" s="501">
        <v>79</v>
      </c>
      <c r="BW25" s="502"/>
      <c r="BX25" s="502"/>
      <c r="BY25" s="503"/>
      <c r="BZ25" s="343">
        <v>0</v>
      </c>
      <c r="CA25" s="53"/>
      <c r="CB25" s="542" t="s">
        <v>17</v>
      </c>
      <c r="CC25" s="543"/>
      <c r="CD25" s="543"/>
      <c r="CE25" s="543"/>
      <c r="CF25" s="424" t="s">
        <v>7</v>
      </c>
      <c r="CG25" s="501">
        <v>72</v>
      </c>
      <c r="CH25" s="502"/>
      <c r="CI25" s="502"/>
      <c r="CJ25" s="503"/>
      <c r="CK25" s="343">
        <f>CK23-CK22</f>
        <v>0</v>
      </c>
      <c r="CL25" s="501">
        <f>CL23-CL22</f>
        <v>293.39999999999986</v>
      </c>
      <c r="CM25" s="502"/>
      <c r="CN25" s="502"/>
      <c r="CO25" s="503"/>
      <c r="CP25" s="343">
        <f>CP23-CP22</f>
        <v>205.80000000000018</v>
      </c>
      <c r="CQ25" s="501">
        <f>CQ23-CQ22</f>
        <v>331.90000000000009</v>
      </c>
      <c r="CR25" s="502"/>
      <c r="CS25" s="502"/>
      <c r="CT25" s="503"/>
      <c r="CU25" s="343">
        <f>CU23-CU22</f>
        <v>231</v>
      </c>
      <c r="CV25" s="501">
        <v>88</v>
      </c>
      <c r="CW25" s="502"/>
      <c r="CX25" s="502"/>
      <c r="CY25" s="503"/>
      <c r="CZ25" s="343">
        <f>CZ23-CZ22</f>
        <v>0</v>
      </c>
      <c r="DA25" s="53"/>
      <c r="DB25" s="542" t="s">
        <v>17</v>
      </c>
      <c r="DC25" s="543"/>
      <c r="DD25" s="543"/>
      <c r="DE25" s="543"/>
      <c r="DF25" s="424" t="s">
        <v>7</v>
      </c>
      <c r="DG25" s="501">
        <v>249</v>
      </c>
      <c r="DH25" s="502"/>
      <c r="DI25" s="502"/>
      <c r="DJ25" s="503"/>
      <c r="DK25" s="343">
        <f>DK23-DK22</f>
        <v>14</v>
      </c>
      <c r="DL25" s="501">
        <v>223</v>
      </c>
      <c r="DM25" s="502"/>
      <c r="DN25" s="502"/>
      <c r="DO25" s="503"/>
      <c r="DP25" s="343">
        <f>DP23-DP22</f>
        <v>59.300000000000182</v>
      </c>
      <c r="DQ25" s="501">
        <v>198.8</v>
      </c>
      <c r="DR25" s="502"/>
      <c r="DS25" s="502"/>
      <c r="DT25" s="503"/>
      <c r="DU25" s="343">
        <v>71</v>
      </c>
      <c r="DV25" s="501">
        <f>DV23-DV22</f>
        <v>34.399999999999864</v>
      </c>
      <c r="DW25" s="502"/>
      <c r="DX25" s="502"/>
      <c r="DY25" s="503"/>
      <c r="DZ25" s="343">
        <f>DZ23-DZ22</f>
        <v>0</v>
      </c>
      <c r="EA25" s="53"/>
      <c r="EB25" s="542" t="s">
        <v>17</v>
      </c>
      <c r="EC25" s="543"/>
      <c r="ED25" s="543"/>
      <c r="EE25" s="543"/>
      <c r="EF25" s="424" t="s">
        <v>7</v>
      </c>
      <c r="EG25" s="501">
        <v>81</v>
      </c>
      <c r="EH25" s="502"/>
      <c r="EI25" s="502"/>
      <c r="EJ25" s="503"/>
      <c r="EK25" s="343">
        <f>EK23-EK22</f>
        <v>0</v>
      </c>
      <c r="EL25" s="501">
        <v>130</v>
      </c>
      <c r="EM25" s="502"/>
      <c r="EN25" s="502"/>
      <c r="EO25" s="503"/>
      <c r="EP25" s="343">
        <f>EP23-EP22</f>
        <v>37.200000000000045</v>
      </c>
      <c r="EQ25" s="501">
        <v>226</v>
      </c>
      <c r="ER25" s="502"/>
      <c r="ES25" s="502"/>
      <c r="ET25" s="503"/>
      <c r="EU25" s="343">
        <f>EU23-EU22</f>
        <v>85.400000000000091</v>
      </c>
      <c r="EV25" s="501">
        <v>189</v>
      </c>
      <c r="EW25" s="502"/>
      <c r="EX25" s="502"/>
      <c r="EY25" s="503"/>
      <c r="EZ25" s="343">
        <f>EZ23-EZ22</f>
        <v>0</v>
      </c>
      <c r="FA25" s="53"/>
      <c r="FB25" s="542" t="s">
        <v>17</v>
      </c>
      <c r="FC25" s="543"/>
      <c r="FD25" s="543"/>
      <c r="FE25" s="543"/>
      <c r="FF25" s="424" t="s">
        <v>7</v>
      </c>
      <c r="FG25" s="501">
        <v>52</v>
      </c>
      <c r="FH25" s="502"/>
      <c r="FI25" s="502"/>
      <c r="FJ25" s="503"/>
      <c r="FK25" s="343">
        <f>FK19+FK20+FK21-FK23</f>
        <v>0</v>
      </c>
      <c r="FL25" s="501">
        <f>FL23-FL22</f>
        <v>188.29999999999995</v>
      </c>
      <c r="FM25" s="502"/>
      <c r="FN25" s="502"/>
      <c r="FO25" s="503"/>
      <c r="FP25" s="343">
        <f>FP23-FP22</f>
        <v>147</v>
      </c>
      <c r="FQ25" s="501">
        <v>194</v>
      </c>
      <c r="FR25" s="502"/>
      <c r="FS25" s="502"/>
      <c r="FT25" s="503"/>
      <c r="FU25" s="343">
        <v>105.39999999999986</v>
      </c>
      <c r="FV25" s="501">
        <v>132</v>
      </c>
      <c r="FW25" s="502"/>
      <c r="FX25" s="502"/>
      <c r="FY25" s="503"/>
      <c r="FZ25" s="343">
        <f>FZ23-FZ22</f>
        <v>0</v>
      </c>
      <c r="GA25" s="53"/>
      <c r="GB25" s="542" t="s">
        <v>17</v>
      </c>
      <c r="GC25" s="543"/>
      <c r="GD25" s="543"/>
      <c r="GE25" s="543"/>
      <c r="GF25" s="424" t="s">
        <v>7</v>
      </c>
      <c r="GG25" s="501">
        <v>84</v>
      </c>
      <c r="GH25" s="502"/>
      <c r="GI25" s="502"/>
      <c r="GJ25" s="503"/>
      <c r="GK25" s="343">
        <f>GK19+GK20+GK21-GK23</f>
        <v>9.9999999999909051E-2</v>
      </c>
      <c r="GL25" s="501">
        <v>94</v>
      </c>
      <c r="GM25" s="502"/>
      <c r="GN25" s="502"/>
      <c r="GO25" s="503"/>
      <c r="GP25" s="343">
        <f>GP19+GP20+GP21-GP23</f>
        <v>0</v>
      </c>
      <c r="GQ25" s="501">
        <v>158</v>
      </c>
      <c r="GR25" s="502"/>
      <c r="GS25" s="502"/>
      <c r="GT25" s="503"/>
      <c r="GU25" s="343">
        <f>GU19+GU20+GU21-GU23</f>
        <v>-0.20000000000004547</v>
      </c>
      <c r="GV25" s="501">
        <v>264</v>
      </c>
      <c r="GW25" s="502"/>
      <c r="GX25" s="502"/>
      <c r="GY25" s="503"/>
      <c r="GZ25" s="343">
        <f>GZ23-GZ22</f>
        <v>88.399999999999864</v>
      </c>
      <c r="HA25" s="53"/>
      <c r="HB25" s="542" t="s">
        <v>17</v>
      </c>
      <c r="HC25" s="543"/>
      <c r="HD25" s="543"/>
      <c r="HE25" s="543"/>
      <c r="HF25" s="424" t="s">
        <v>7</v>
      </c>
      <c r="HG25" s="501">
        <v>30</v>
      </c>
      <c r="HH25" s="502"/>
      <c r="HI25" s="502"/>
      <c r="HJ25" s="503"/>
      <c r="HK25" s="343">
        <v>0</v>
      </c>
      <c r="HL25" s="501">
        <v>28</v>
      </c>
      <c r="HM25" s="502"/>
      <c r="HN25" s="502"/>
      <c r="HO25" s="503"/>
      <c r="HP25" s="343">
        <f>HP23-HP22</f>
        <v>86</v>
      </c>
      <c r="HQ25" s="501">
        <v>102</v>
      </c>
      <c r="HR25" s="502"/>
      <c r="HS25" s="502"/>
      <c r="HT25" s="503"/>
      <c r="HU25" s="343">
        <f>HU23-HU22</f>
        <v>19.099999999999909</v>
      </c>
      <c r="HV25" s="501">
        <f t="shared" ref="HV25:HZ25" si="0">HV23-HV22</f>
        <v>99.700000000000045</v>
      </c>
      <c r="HW25" s="502"/>
      <c r="HX25" s="502"/>
      <c r="HY25" s="503"/>
      <c r="HZ25" s="343">
        <f t="shared" si="0"/>
        <v>22.300000000000182</v>
      </c>
      <c r="IA25" s="53"/>
      <c r="IB25" s="542" t="s">
        <v>17</v>
      </c>
      <c r="IC25" s="543"/>
      <c r="ID25" s="543"/>
      <c r="IE25" s="543"/>
      <c r="IF25" s="424" t="s">
        <v>7</v>
      </c>
      <c r="IG25" s="501">
        <f>IG23-IG22</f>
        <v>90.799999999999955</v>
      </c>
      <c r="IH25" s="502"/>
      <c r="II25" s="502"/>
      <c r="IJ25" s="503"/>
      <c r="IK25" s="343">
        <v>0</v>
      </c>
      <c r="IL25" s="501">
        <v>136</v>
      </c>
      <c r="IM25" s="502"/>
      <c r="IN25" s="502"/>
      <c r="IO25" s="503"/>
      <c r="IP25" s="343">
        <f>IP23-IP22</f>
        <v>60.900000000000091</v>
      </c>
      <c r="IQ25" s="501">
        <v>62</v>
      </c>
      <c r="IR25" s="502"/>
      <c r="IS25" s="502"/>
      <c r="IT25" s="503"/>
      <c r="IU25" s="343">
        <v>0</v>
      </c>
      <c r="IV25" s="580">
        <v>0.1</v>
      </c>
      <c r="IW25" s="581"/>
      <c r="IX25" s="581"/>
      <c r="IY25" s="582"/>
      <c r="IZ25" s="343">
        <v>0</v>
      </c>
      <c r="JA25" s="53"/>
      <c r="JB25" s="542" t="s">
        <v>17</v>
      </c>
      <c r="JC25" s="543"/>
      <c r="JD25" s="543"/>
      <c r="JE25" s="543"/>
      <c r="JF25" s="424" t="s">
        <v>7</v>
      </c>
      <c r="JG25" s="501">
        <v>47</v>
      </c>
      <c r="JH25" s="502"/>
      <c r="JI25" s="502"/>
      <c r="JJ25" s="503"/>
      <c r="JK25" s="343">
        <v>0</v>
      </c>
      <c r="JL25" s="501">
        <v>27</v>
      </c>
      <c r="JM25" s="502"/>
      <c r="JN25" s="502"/>
      <c r="JO25" s="503"/>
      <c r="JP25" s="343">
        <v>0</v>
      </c>
      <c r="JQ25" s="501">
        <f>JQ23-JQ22</f>
        <v>95.119999999999891</v>
      </c>
      <c r="JR25" s="502"/>
      <c r="JS25" s="502"/>
      <c r="JT25" s="503"/>
      <c r="JU25" s="343">
        <v>35.130200000000059</v>
      </c>
      <c r="JV25" s="501">
        <f>JV23-JV22</f>
        <v>19.659999999999854</v>
      </c>
      <c r="JW25" s="502"/>
      <c r="JX25" s="502"/>
      <c r="JY25" s="503"/>
      <c r="JZ25" s="343">
        <v>-0.19999999999981799</v>
      </c>
      <c r="KA25" s="53"/>
      <c r="KB25" s="542" t="s">
        <v>17</v>
      </c>
      <c r="KC25" s="543"/>
      <c r="KD25" s="543"/>
      <c r="KE25" s="543"/>
      <c r="KF25" s="424" t="s">
        <v>7</v>
      </c>
      <c r="KG25" s="501">
        <f>KG23-KG22</f>
        <v>18.220000000000027</v>
      </c>
      <c r="KH25" s="502"/>
      <c r="KI25" s="502"/>
      <c r="KJ25" s="503"/>
      <c r="KK25" s="343">
        <v>0</v>
      </c>
      <c r="KL25" s="501">
        <v>249</v>
      </c>
      <c r="KM25" s="502"/>
      <c r="KN25" s="502"/>
      <c r="KO25" s="503"/>
      <c r="KP25" s="343">
        <v>0</v>
      </c>
      <c r="KQ25" s="501">
        <f>KQ23-KQ22</f>
        <v>103.70000000000005</v>
      </c>
      <c r="KR25" s="502"/>
      <c r="KS25" s="502"/>
      <c r="KT25" s="503"/>
      <c r="KU25" s="343">
        <v>0</v>
      </c>
      <c r="KV25" s="501">
        <v>117</v>
      </c>
      <c r="KW25" s="502"/>
      <c r="KX25" s="502"/>
      <c r="KY25" s="503"/>
      <c r="KZ25" s="343">
        <v>66.651600000000144</v>
      </c>
      <c r="LA25" s="53"/>
      <c r="LB25" s="542" t="s">
        <v>17</v>
      </c>
      <c r="LC25" s="543"/>
      <c r="LD25" s="543"/>
      <c r="LE25" s="543"/>
      <c r="LF25" s="424" t="s">
        <v>7</v>
      </c>
      <c r="LG25" s="501">
        <f>LG23-LG22</f>
        <v>36.319999999999936</v>
      </c>
      <c r="LH25" s="502"/>
      <c r="LI25" s="502"/>
      <c r="LJ25" s="503"/>
      <c r="LK25" s="343">
        <v>0</v>
      </c>
      <c r="LL25" s="501">
        <v>112</v>
      </c>
      <c r="LM25" s="502"/>
      <c r="LN25" s="502"/>
      <c r="LO25" s="503"/>
      <c r="LP25" s="343">
        <f>LP23-LP22</f>
        <v>21.700000000000045</v>
      </c>
      <c r="LQ25" s="501">
        <v>83</v>
      </c>
      <c r="LR25" s="502"/>
      <c r="LS25" s="502"/>
      <c r="LT25" s="503"/>
      <c r="LU25" s="343">
        <v>0.20000000000004547</v>
      </c>
      <c r="LV25" s="501">
        <v>101</v>
      </c>
      <c r="LW25" s="502"/>
      <c r="LX25" s="502"/>
      <c r="LY25" s="503"/>
      <c r="LZ25" s="343">
        <f>LZ23-LZ22</f>
        <v>0</v>
      </c>
      <c r="MA25" s="53"/>
      <c r="MB25" s="542" t="s">
        <v>17</v>
      </c>
      <c r="MC25" s="543"/>
      <c r="MD25" s="543"/>
      <c r="ME25" s="543"/>
      <c r="MF25" s="424" t="s">
        <v>7</v>
      </c>
      <c r="MG25" s="501">
        <f>MG23-MG22</f>
        <v>85</v>
      </c>
      <c r="MH25" s="502"/>
      <c r="MI25" s="502"/>
      <c r="MJ25" s="503"/>
      <c r="MK25" s="343">
        <v>0</v>
      </c>
      <c r="ML25" s="501">
        <v>107</v>
      </c>
      <c r="MM25" s="502"/>
      <c r="MN25" s="502"/>
      <c r="MO25" s="503"/>
      <c r="MP25" s="343">
        <v>0</v>
      </c>
      <c r="MQ25" s="501">
        <v>59</v>
      </c>
      <c r="MR25" s="502"/>
      <c r="MS25" s="502"/>
      <c r="MT25" s="503"/>
      <c r="MU25" s="343">
        <v>0</v>
      </c>
      <c r="MV25" s="501">
        <v>29</v>
      </c>
      <c r="MW25" s="502"/>
      <c r="MX25" s="502"/>
      <c r="MY25" s="503"/>
      <c r="MZ25" s="343">
        <v>0</v>
      </c>
      <c r="NA25" s="53"/>
      <c r="NB25" s="542" t="s">
        <v>17</v>
      </c>
      <c r="NC25" s="543"/>
      <c r="ND25" s="543"/>
      <c r="NE25" s="543"/>
      <c r="NF25" s="424" t="s">
        <v>7</v>
      </c>
      <c r="NG25" s="501">
        <v>74</v>
      </c>
      <c r="NH25" s="502"/>
      <c r="NI25" s="502"/>
      <c r="NJ25" s="503"/>
      <c r="NK25" s="343">
        <v>0</v>
      </c>
      <c r="NL25" s="501">
        <f>NL23-NL22</f>
        <v>204.70000000000005</v>
      </c>
      <c r="NM25" s="502"/>
      <c r="NN25" s="502"/>
      <c r="NO25" s="503"/>
      <c r="NP25" s="343">
        <f>NP23-NP22</f>
        <v>0</v>
      </c>
      <c r="NQ25" s="501">
        <v>79</v>
      </c>
      <c r="NR25" s="502"/>
      <c r="NS25" s="502"/>
      <c r="NT25" s="503"/>
      <c r="NU25" s="343">
        <v>0.20000000000004547</v>
      </c>
      <c r="NV25" s="501">
        <v>56</v>
      </c>
      <c r="NW25" s="502"/>
      <c r="NX25" s="502"/>
      <c r="NY25" s="503"/>
      <c r="NZ25" s="343">
        <v>0</v>
      </c>
      <c r="OA25" s="53"/>
      <c r="OB25" s="542" t="s">
        <v>17</v>
      </c>
      <c r="OC25" s="543"/>
      <c r="OD25" s="543"/>
      <c r="OE25" s="543"/>
      <c r="OF25" s="424" t="s">
        <v>7</v>
      </c>
      <c r="OG25" s="501">
        <v>99</v>
      </c>
      <c r="OH25" s="502"/>
      <c r="OI25" s="502"/>
      <c r="OJ25" s="503"/>
      <c r="OK25" s="343">
        <f>OK23-OK22</f>
        <v>24.900000000000091</v>
      </c>
      <c r="OL25" s="501">
        <v>238</v>
      </c>
      <c r="OM25" s="502"/>
      <c r="ON25" s="502"/>
      <c r="OO25" s="503"/>
      <c r="OP25" s="343">
        <v>45.208599999999933</v>
      </c>
      <c r="OQ25" s="501">
        <v>90</v>
      </c>
      <c r="OR25" s="502"/>
      <c r="OS25" s="502"/>
      <c r="OT25" s="503"/>
      <c r="OU25" s="343">
        <v>-0.20000000000004547</v>
      </c>
      <c r="OV25" s="501">
        <v>75</v>
      </c>
      <c r="OW25" s="502"/>
      <c r="OX25" s="502"/>
      <c r="OY25" s="503"/>
      <c r="OZ25" s="343">
        <f>OZ23-OZ22</f>
        <v>0</v>
      </c>
      <c r="PA25" s="53"/>
      <c r="PB25" s="542" t="s">
        <v>17</v>
      </c>
      <c r="PC25" s="543"/>
      <c r="PD25" s="543"/>
      <c r="PE25" s="543"/>
      <c r="PF25" s="424" t="s">
        <v>7</v>
      </c>
      <c r="PG25" s="501">
        <v>76</v>
      </c>
      <c r="PH25" s="502"/>
      <c r="PI25" s="502"/>
      <c r="PJ25" s="503"/>
      <c r="PK25" s="343">
        <f>PK23-PK22</f>
        <v>28</v>
      </c>
      <c r="PL25" s="501">
        <v>90</v>
      </c>
      <c r="PM25" s="502"/>
      <c r="PN25" s="502"/>
      <c r="PO25" s="503"/>
      <c r="PP25" s="343">
        <f>PP23-PP22</f>
        <v>11.900000000000091</v>
      </c>
      <c r="PQ25" s="501">
        <v>202</v>
      </c>
      <c r="PR25" s="502"/>
      <c r="PS25" s="502"/>
      <c r="PT25" s="503"/>
      <c r="PU25" s="343">
        <f>PU23-PU22</f>
        <v>49.200000000000045</v>
      </c>
      <c r="PV25" s="501">
        <v>247</v>
      </c>
      <c r="PW25" s="502"/>
      <c r="PX25" s="502"/>
      <c r="PY25" s="503"/>
      <c r="PZ25" s="343">
        <f>PZ23-PZ22</f>
        <v>122</v>
      </c>
      <c r="QA25" s="53"/>
      <c r="QB25" s="542" t="s">
        <v>17</v>
      </c>
      <c r="QC25" s="543"/>
      <c r="QD25" s="543"/>
      <c r="QE25" s="543"/>
      <c r="QF25" s="424" t="s">
        <v>7</v>
      </c>
      <c r="QG25" s="501">
        <v>46</v>
      </c>
      <c r="QH25" s="502"/>
      <c r="QI25" s="502"/>
      <c r="QJ25" s="503"/>
      <c r="QK25" s="343">
        <f>QK23-QK22</f>
        <v>0</v>
      </c>
      <c r="QL25" s="501">
        <v>1</v>
      </c>
      <c r="QM25" s="502"/>
      <c r="QN25" s="502"/>
      <c r="QO25" s="503"/>
      <c r="QP25" s="343">
        <v>0</v>
      </c>
      <c r="QQ25" s="501">
        <f>QQ23-QQ22</f>
        <v>86.600000000000136</v>
      </c>
      <c r="QR25" s="502"/>
      <c r="QS25" s="502"/>
      <c r="QT25" s="503"/>
      <c r="QU25" s="343">
        <f>QU23-QU22</f>
        <v>0</v>
      </c>
      <c r="QV25" s="501">
        <v>18</v>
      </c>
      <c r="QW25" s="502"/>
      <c r="QX25" s="502"/>
      <c r="QY25" s="503"/>
      <c r="QZ25" s="343">
        <v>0.40000000000009095</v>
      </c>
      <c r="RA25" s="53"/>
      <c r="RB25" s="542" t="s">
        <v>17</v>
      </c>
      <c r="RC25" s="543"/>
      <c r="RD25" s="543"/>
      <c r="RE25" s="543"/>
      <c r="RF25" s="424" t="s">
        <v>7</v>
      </c>
      <c r="RG25" s="501">
        <v>86</v>
      </c>
      <c r="RH25" s="502"/>
      <c r="RI25" s="502"/>
      <c r="RJ25" s="503"/>
      <c r="RK25" s="343">
        <f>RK23-RK22</f>
        <v>51</v>
      </c>
      <c r="RL25" s="501">
        <v>133</v>
      </c>
      <c r="RM25" s="502"/>
      <c r="RN25" s="502"/>
      <c r="RO25" s="503"/>
      <c r="RP25" s="343">
        <f>RP23-RP22</f>
        <v>84</v>
      </c>
      <c r="RQ25" s="501">
        <v>106</v>
      </c>
      <c r="RR25" s="502"/>
      <c r="RS25" s="502"/>
      <c r="RT25" s="503"/>
      <c r="RU25" s="425">
        <f>RU23-RU22</f>
        <v>89</v>
      </c>
      <c r="RV25" s="577">
        <f t="shared" ref="RV25:RY25" si="1">RV23-RV22</f>
        <v>15</v>
      </c>
      <c r="RW25" s="578">
        <f t="shared" si="1"/>
        <v>0</v>
      </c>
      <c r="RX25" s="578">
        <f t="shared" si="1"/>
        <v>0</v>
      </c>
      <c r="RY25" s="579">
        <f t="shared" si="1"/>
        <v>0</v>
      </c>
      <c r="RZ25" s="343">
        <f>RZ23-RZ22</f>
        <v>0</v>
      </c>
      <c r="SA25" s="53"/>
      <c r="SB25" s="542" t="s">
        <v>17</v>
      </c>
      <c r="SC25" s="543"/>
      <c r="SD25" s="543"/>
      <c r="SE25" s="543"/>
      <c r="SF25" s="424" t="s">
        <v>7</v>
      </c>
      <c r="SG25" s="501">
        <v>59</v>
      </c>
      <c r="SH25" s="502"/>
      <c r="SI25" s="502"/>
      <c r="SJ25" s="503"/>
      <c r="SK25" s="343">
        <v>0.40000000000009095</v>
      </c>
      <c r="SL25" s="501">
        <v>15</v>
      </c>
      <c r="SM25" s="502"/>
      <c r="SN25" s="502"/>
      <c r="SO25" s="503"/>
      <c r="SP25" s="343">
        <v>0.40000000000009095</v>
      </c>
      <c r="SQ25" s="501">
        <v>29</v>
      </c>
      <c r="SR25" s="502"/>
      <c r="SS25" s="502"/>
      <c r="ST25" s="503"/>
      <c r="SU25" s="343">
        <v>0.40000000000009095</v>
      </c>
      <c r="SV25" s="501">
        <v>59</v>
      </c>
      <c r="SW25" s="502"/>
      <c r="SX25" s="502"/>
      <c r="SY25" s="503"/>
      <c r="SZ25" s="343">
        <v>-0.39999999999986358</v>
      </c>
      <c r="TA25" s="53"/>
      <c r="TB25" s="542" t="s">
        <v>17</v>
      </c>
      <c r="TC25" s="543"/>
      <c r="TD25" s="543"/>
      <c r="TE25" s="543"/>
      <c r="TF25" s="424" t="s">
        <v>7</v>
      </c>
      <c r="TG25" s="501">
        <v>48</v>
      </c>
      <c r="TH25" s="502"/>
      <c r="TI25" s="502"/>
      <c r="TJ25" s="503"/>
      <c r="TK25" s="343">
        <v>0</v>
      </c>
      <c r="TL25" s="501">
        <f>TL23-TL22</f>
        <v>83</v>
      </c>
      <c r="TM25" s="502"/>
      <c r="TN25" s="502"/>
      <c r="TO25" s="503"/>
      <c r="TP25" s="343">
        <v>0</v>
      </c>
      <c r="TQ25" s="501">
        <f>TQ23-TQ22</f>
        <v>37</v>
      </c>
      <c r="TR25" s="502"/>
      <c r="TS25" s="502"/>
      <c r="TT25" s="503"/>
      <c r="TU25" s="343">
        <v>0.20000000000004547</v>
      </c>
      <c r="TV25" s="501">
        <v>178</v>
      </c>
      <c r="TW25" s="502"/>
      <c r="TX25" s="502"/>
      <c r="TY25" s="503"/>
      <c r="TZ25" s="343">
        <v>124.90000000000009</v>
      </c>
      <c r="UA25" s="53"/>
      <c r="UB25" s="542" t="s">
        <v>17</v>
      </c>
      <c r="UC25" s="543"/>
      <c r="UD25" s="543"/>
      <c r="UE25" s="543"/>
      <c r="UF25" s="424" t="s">
        <v>7</v>
      </c>
      <c r="UG25" s="501">
        <v>81</v>
      </c>
      <c r="UH25" s="502"/>
      <c r="UI25" s="502"/>
      <c r="UJ25" s="503"/>
      <c r="UK25" s="425">
        <v>0.20000000000004547</v>
      </c>
      <c r="UL25" s="501">
        <v>62</v>
      </c>
      <c r="UM25" s="502"/>
      <c r="UN25" s="502"/>
      <c r="UO25" s="503"/>
      <c r="UP25" s="343">
        <f>UP22-UP23</f>
        <v>-0.40000000000009095</v>
      </c>
      <c r="UQ25" s="501">
        <v>37</v>
      </c>
      <c r="UR25" s="502"/>
      <c r="US25" s="502"/>
      <c r="UT25" s="503"/>
      <c r="UU25" s="343">
        <v>0.20000000000004547</v>
      </c>
      <c r="UV25" s="501">
        <v>12</v>
      </c>
      <c r="UW25" s="502"/>
      <c r="UX25" s="502"/>
      <c r="UY25" s="503"/>
      <c r="UZ25" s="343">
        <v>0</v>
      </c>
      <c r="VA25" s="53"/>
      <c r="VB25" s="542" t="s">
        <v>17</v>
      </c>
      <c r="VC25" s="543"/>
      <c r="VD25" s="543"/>
      <c r="VE25" s="543"/>
      <c r="VF25" s="424" t="s">
        <v>7</v>
      </c>
      <c r="VG25" s="501">
        <f>VG23-VG22</f>
        <v>25</v>
      </c>
      <c r="VH25" s="502"/>
      <c r="VI25" s="502"/>
      <c r="VJ25" s="503"/>
      <c r="VK25" s="343">
        <v>0.20000000000004547</v>
      </c>
      <c r="VL25" s="501">
        <v>133</v>
      </c>
      <c r="VM25" s="502"/>
      <c r="VN25" s="502"/>
      <c r="VO25" s="503"/>
      <c r="VP25" s="343">
        <v>-0.39999999999986358</v>
      </c>
      <c r="VQ25" s="501">
        <v>212</v>
      </c>
      <c r="VR25" s="502"/>
      <c r="VS25" s="502"/>
      <c r="VT25" s="503"/>
      <c r="VU25" s="343">
        <v>58.259600000000091</v>
      </c>
      <c r="VV25" s="501">
        <v>380</v>
      </c>
      <c r="VW25" s="502"/>
      <c r="VX25" s="502"/>
      <c r="VY25" s="503"/>
      <c r="VZ25" s="343">
        <v>174</v>
      </c>
      <c r="WA25" s="53"/>
      <c r="WB25" s="542" t="s">
        <v>17</v>
      </c>
      <c r="WC25" s="543"/>
      <c r="WD25" s="543"/>
      <c r="WE25" s="543"/>
      <c r="WF25" s="424" t="s">
        <v>7</v>
      </c>
      <c r="WG25" s="501">
        <v>330</v>
      </c>
      <c r="WH25" s="502"/>
      <c r="WI25" s="502"/>
      <c r="WJ25" s="503"/>
      <c r="WK25" s="343">
        <v>139.17280000000005</v>
      </c>
      <c r="WL25" s="501">
        <v>311</v>
      </c>
      <c r="WM25" s="502"/>
      <c r="WN25" s="502"/>
      <c r="WO25" s="503"/>
      <c r="WP25" s="343">
        <v>113.4864</v>
      </c>
      <c r="WQ25" s="501">
        <v>160</v>
      </c>
      <c r="WR25" s="502"/>
      <c r="WS25" s="502"/>
      <c r="WT25" s="503"/>
      <c r="WU25" s="343">
        <v>99.888000000000147</v>
      </c>
      <c r="WV25" s="501">
        <v>75</v>
      </c>
      <c r="WW25" s="502"/>
      <c r="WX25" s="502"/>
      <c r="WY25" s="503"/>
      <c r="WZ25" s="343">
        <v>0.20000000000004547</v>
      </c>
      <c r="XA25" s="53"/>
      <c r="XB25" s="542" t="s">
        <v>17</v>
      </c>
      <c r="XC25" s="543"/>
      <c r="XD25" s="543"/>
      <c r="XE25" s="543"/>
      <c r="XF25" s="424" t="s">
        <v>7</v>
      </c>
      <c r="XG25" s="501">
        <v>90</v>
      </c>
      <c r="XH25" s="502"/>
      <c r="XI25" s="502"/>
      <c r="XJ25" s="503"/>
      <c r="XK25" s="343">
        <v>0.20000000000004547</v>
      </c>
      <c r="XL25" s="501">
        <v>233</v>
      </c>
      <c r="XM25" s="502"/>
      <c r="XN25" s="502"/>
      <c r="XO25" s="503"/>
      <c r="XP25" s="343">
        <v>120</v>
      </c>
      <c r="XQ25" s="501">
        <v>203</v>
      </c>
      <c r="XR25" s="502"/>
      <c r="XS25" s="502"/>
      <c r="XT25" s="503"/>
      <c r="XU25" s="343">
        <v>77</v>
      </c>
      <c r="XV25" s="501">
        <v>34</v>
      </c>
      <c r="XW25" s="502"/>
      <c r="XX25" s="502"/>
      <c r="XY25" s="503"/>
      <c r="XZ25" s="343">
        <v>-0.39999999999986358</v>
      </c>
      <c r="YA25" s="53"/>
      <c r="YB25" s="542" t="s">
        <v>17</v>
      </c>
      <c r="YC25" s="543"/>
      <c r="YD25" s="543"/>
      <c r="YE25" s="543"/>
      <c r="YF25" s="424" t="s">
        <v>7</v>
      </c>
      <c r="YG25" s="501">
        <v>54</v>
      </c>
      <c r="YH25" s="502"/>
      <c r="YI25" s="502"/>
      <c r="YJ25" s="503"/>
      <c r="YK25" s="343">
        <v>0.40000000000009095</v>
      </c>
      <c r="YL25" s="501">
        <v>142</v>
      </c>
      <c r="YM25" s="502"/>
      <c r="YN25" s="502"/>
      <c r="YO25" s="503"/>
      <c r="YP25" s="343">
        <v>0</v>
      </c>
      <c r="YQ25" s="501">
        <v>97</v>
      </c>
      <c r="YR25" s="502"/>
      <c r="YS25" s="502"/>
      <c r="YT25" s="503"/>
      <c r="YU25" s="343">
        <v>0.40000000000009095</v>
      </c>
      <c r="YV25" s="501">
        <v>73</v>
      </c>
      <c r="YW25" s="502"/>
      <c r="YX25" s="502"/>
      <c r="YY25" s="503"/>
      <c r="YZ25" s="343">
        <v>0.40000000000009095</v>
      </c>
      <c r="ZA25" s="53"/>
      <c r="ZB25" s="542" t="s">
        <v>17</v>
      </c>
      <c r="ZC25" s="543"/>
      <c r="ZD25" s="543"/>
      <c r="ZE25" s="543"/>
      <c r="ZF25" s="424" t="s">
        <v>7</v>
      </c>
      <c r="ZG25" s="501">
        <v>108</v>
      </c>
      <c r="ZH25" s="502"/>
      <c r="ZI25" s="502"/>
      <c r="ZJ25" s="503"/>
      <c r="ZK25" s="343">
        <v>-0.20000000000004547</v>
      </c>
      <c r="ZL25" s="501">
        <v>317</v>
      </c>
      <c r="ZM25" s="502"/>
      <c r="ZN25" s="502"/>
      <c r="ZO25" s="503"/>
      <c r="ZP25" s="343">
        <v>87.1554000000001</v>
      </c>
      <c r="ZQ25" s="501">
        <v>354</v>
      </c>
      <c r="ZR25" s="502"/>
      <c r="ZS25" s="502"/>
      <c r="ZT25" s="503"/>
      <c r="ZU25" s="343">
        <v>117.81620000000021</v>
      </c>
      <c r="ZV25" s="501">
        <v>197</v>
      </c>
      <c r="ZW25" s="502"/>
      <c r="ZX25" s="502"/>
      <c r="ZY25" s="503"/>
      <c r="ZZ25" s="343">
        <v>67.600800000000163</v>
      </c>
      <c r="AAA25" s="53"/>
      <c r="AAB25" s="542" t="s">
        <v>17</v>
      </c>
      <c r="AAC25" s="543"/>
      <c r="AAD25" s="543"/>
      <c r="AAE25" s="543"/>
      <c r="AAF25" s="424" t="s">
        <v>7</v>
      </c>
      <c r="AAG25" s="501">
        <v>221</v>
      </c>
      <c r="AAH25" s="502"/>
      <c r="AAI25" s="502"/>
      <c r="AAJ25" s="503"/>
      <c r="AAK25" s="343">
        <v>24.421199999999999</v>
      </c>
      <c r="AAL25" s="501">
        <v>305</v>
      </c>
      <c r="AAM25" s="502"/>
      <c r="AAN25" s="502"/>
      <c r="AAO25" s="503"/>
      <c r="AAP25" s="343">
        <v>199.45760000000018</v>
      </c>
      <c r="AAQ25" s="501">
        <v>93</v>
      </c>
      <c r="AAR25" s="502"/>
      <c r="AAS25" s="502"/>
      <c r="AAT25" s="503"/>
      <c r="AAU25" s="343">
        <v>0</v>
      </c>
      <c r="AAV25" s="501">
        <v>166</v>
      </c>
      <c r="AAW25" s="502"/>
      <c r="AAX25" s="502"/>
      <c r="AAY25" s="503"/>
      <c r="AAZ25" s="343">
        <v>0.40000000000009095</v>
      </c>
      <c r="ABA25" s="53"/>
      <c r="ABB25" s="542" t="s">
        <v>17</v>
      </c>
      <c r="ABC25" s="543"/>
      <c r="ABD25" s="543"/>
      <c r="ABE25" s="543"/>
      <c r="ABF25" s="424" t="s">
        <v>7</v>
      </c>
      <c r="ABG25" s="501">
        <v>62</v>
      </c>
      <c r="ABH25" s="502"/>
      <c r="ABI25" s="502"/>
      <c r="ABJ25" s="503"/>
      <c r="ABK25" s="343">
        <v>34.874000000000024</v>
      </c>
      <c r="ABL25" s="501">
        <v>121</v>
      </c>
      <c r="ABM25" s="502"/>
      <c r="ABN25" s="502"/>
      <c r="ABO25" s="503"/>
      <c r="ABP25" s="343">
        <v>85.064200000000028</v>
      </c>
      <c r="ABQ25" s="501">
        <v>194</v>
      </c>
      <c r="ABR25" s="502"/>
      <c r="ABS25" s="502"/>
      <c r="ABT25" s="503"/>
      <c r="ABU25" s="343">
        <v>0.40000000000009095</v>
      </c>
      <c r="ABV25" s="501">
        <v>100</v>
      </c>
      <c r="ABW25" s="502"/>
      <c r="ABX25" s="502"/>
      <c r="ABY25" s="503"/>
      <c r="ABZ25" s="343">
        <v>0</v>
      </c>
      <c r="ACA25" s="53"/>
      <c r="ACB25" s="542" t="s">
        <v>17</v>
      </c>
      <c r="ACC25" s="543"/>
      <c r="ACD25" s="543"/>
      <c r="ACE25" s="543"/>
      <c r="ACF25" s="424" t="s">
        <v>7</v>
      </c>
      <c r="ACG25" s="501">
        <v>217</v>
      </c>
      <c r="ACH25" s="502"/>
      <c r="ACI25" s="502"/>
      <c r="ACJ25" s="503"/>
      <c r="ACK25" s="343">
        <f>ACK23-ACK22</f>
        <v>0</v>
      </c>
      <c r="ACL25" s="501">
        <f>ACL23-ACL22</f>
        <v>232.89999999999964</v>
      </c>
      <c r="ACM25" s="502"/>
      <c r="ACN25" s="502"/>
      <c r="ACO25" s="503"/>
      <c r="ACP25" s="343">
        <v>112</v>
      </c>
      <c r="ACQ25" s="501">
        <v>5</v>
      </c>
      <c r="ACR25" s="502"/>
      <c r="ACS25" s="502"/>
      <c r="ACT25" s="503"/>
      <c r="ACU25" s="343">
        <v>-0.1999999999998181</v>
      </c>
      <c r="ACV25" s="501">
        <v>174</v>
      </c>
      <c r="ACW25" s="502"/>
      <c r="ACX25" s="502"/>
      <c r="ACY25" s="503"/>
      <c r="ACZ25" s="343">
        <v>31</v>
      </c>
      <c r="ADA25" s="53"/>
      <c r="ADB25" s="542" t="s">
        <v>17</v>
      </c>
      <c r="ADC25" s="543"/>
      <c r="ADD25" s="543"/>
      <c r="ADE25" s="543"/>
      <c r="ADF25" s="424" t="s">
        <v>7</v>
      </c>
      <c r="ADG25" s="501">
        <v>309</v>
      </c>
      <c r="ADH25" s="502"/>
      <c r="ADI25" s="502"/>
      <c r="ADJ25" s="503"/>
      <c r="ADK25" s="343">
        <v>105.33840000000009</v>
      </c>
      <c r="ADL25" s="501">
        <v>426</v>
      </c>
      <c r="ADM25" s="502"/>
      <c r="ADN25" s="502"/>
      <c r="ADO25" s="503"/>
      <c r="ADP25" s="343">
        <f>ADP23-ADP22</f>
        <v>278.89999999999964</v>
      </c>
      <c r="ADQ25" s="501">
        <v>236</v>
      </c>
      <c r="ADR25" s="502"/>
      <c r="ADS25" s="502"/>
      <c r="ADT25" s="503"/>
      <c r="ADU25" s="343">
        <f>ADU23-ADU22</f>
        <v>195.10000000000014</v>
      </c>
      <c r="ADV25" s="501">
        <v>267</v>
      </c>
      <c r="ADW25" s="502"/>
      <c r="ADX25" s="502"/>
      <c r="ADY25" s="503"/>
      <c r="ADZ25" s="343">
        <v>229.79560000000015</v>
      </c>
      <c r="AEA25" s="53"/>
      <c r="AEB25" s="542" t="s">
        <v>17</v>
      </c>
      <c r="AEC25" s="543"/>
      <c r="AED25" s="543"/>
      <c r="AEE25" s="543"/>
      <c r="AEF25" s="424" t="s">
        <v>7</v>
      </c>
      <c r="AEG25" s="501">
        <v>405</v>
      </c>
      <c r="AEH25" s="502"/>
      <c r="AEI25" s="502"/>
      <c r="AEJ25" s="503"/>
      <c r="AEK25" s="343">
        <f>AEK23-AEK22</f>
        <v>251.09999999999991</v>
      </c>
      <c r="AEL25" s="501">
        <v>401</v>
      </c>
      <c r="AEM25" s="502"/>
      <c r="AEN25" s="502"/>
      <c r="AEO25" s="503"/>
      <c r="AEP25" s="343">
        <f>AEP23-AEP22</f>
        <v>214.89999999999986</v>
      </c>
      <c r="AEQ25" s="501">
        <f>AEQ23-AEQ22</f>
        <v>81.099999999999909</v>
      </c>
      <c r="AER25" s="502"/>
      <c r="AES25" s="502"/>
      <c r="AET25" s="503"/>
      <c r="AEU25" s="343">
        <v>147.16980000000012</v>
      </c>
      <c r="AEV25" s="501">
        <v>648</v>
      </c>
      <c r="AEW25" s="502"/>
      <c r="AEX25" s="502"/>
      <c r="AEY25" s="503"/>
      <c r="AEZ25" s="343">
        <v>453.58160000000021</v>
      </c>
      <c r="AFA25" s="53"/>
      <c r="AFB25" s="542" t="s">
        <v>17</v>
      </c>
      <c r="AFC25" s="543"/>
      <c r="AFD25" s="543"/>
      <c r="AFE25" s="543"/>
      <c r="AFF25" s="424" t="s">
        <v>7</v>
      </c>
      <c r="AFG25" s="501">
        <v>486</v>
      </c>
      <c r="AFH25" s="502"/>
      <c r="AFI25" s="502"/>
      <c r="AFJ25" s="503"/>
      <c r="AFK25" s="343">
        <v>312.77040000000011</v>
      </c>
      <c r="AFL25" s="501">
        <v>504</v>
      </c>
      <c r="AFM25" s="502"/>
      <c r="AFN25" s="502"/>
      <c r="AFO25" s="503"/>
      <c r="AFP25" s="343">
        <v>306.84829999999988</v>
      </c>
      <c r="AFQ25" s="501">
        <v>469</v>
      </c>
      <c r="AFR25" s="502"/>
      <c r="AFS25" s="502"/>
      <c r="AFT25" s="503"/>
      <c r="AFU25" s="343">
        <v>297.30180000000018</v>
      </c>
      <c r="AFV25" s="501">
        <v>9</v>
      </c>
      <c r="AFW25" s="502"/>
      <c r="AFX25" s="502"/>
      <c r="AFY25" s="503"/>
      <c r="AFZ25" s="343">
        <v>-3.3099999999876673E-2</v>
      </c>
      <c r="AGA25" s="53"/>
      <c r="AGB25" s="542" t="s">
        <v>17</v>
      </c>
      <c r="AGC25" s="543"/>
      <c r="AGD25" s="543"/>
      <c r="AGE25" s="543"/>
      <c r="AGF25" s="424" t="s">
        <v>7</v>
      </c>
      <c r="AGG25" s="501">
        <v>547</v>
      </c>
      <c r="AGH25" s="502"/>
      <c r="AGI25" s="502"/>
      <c r="AGJ25" s="503"/>
      <c r="AGK25" s="343">
        <v>329.72450000000026</v>
      </c>
      <c r="AGL25" s="501">
        <v>486</v>
      </c>
      <c r="AGM25" s="502"/>
      <c r="AGN25" s="502"/>
      <c r="AGO25" s="503"/>
      <c r="AGP25" s="343">
        <v>400.52480000000014</v>
      </c>
      <c r="AGQ25" s="501">
        <v>394</v>
      </c>
      <c r="AGR25" s="502"/>
      <c r="AGS25" s="502"/>
      <c r="AGT25" s="503"/>
      <c r="AGU25" s="343">
        <v>239.85820000000012</v>
      </c>
      <c r="AGV25" s="501">
        <v>445</v>
      </c>
      <c r="AGW25" s="502"/>
      <c r="AGX25" s="502"/>
      <c r="AGY25" s="503"/>
      <c r="AGZ25" s="343">
        <f>AGZ23-AGZ22</f>
        <v>298.60000000000014</v>
      </c>
      <c r="AHA25" s="53"/>
      <c r="AHB25" s="542" t="s">
        <v>17</v>
      </c>
      <c r="AHC25" s="543"/>
      <c r="AHD25" s="543"/>
      <c r="AHE25" s="543"/>
      <c r="AHF25" s="424" t="s">
        <v>7</v>
      </c>
      <c r="AHG25" s="501">
        <f>AHG23-AHG22</f>
        <v>468.70000000000005</v>
      </c>
      <c r="AHH25" s="502"/>
      <c r="AHI25" s="502"/>
      <c r="AHJ25" s="503"/>
      <c r="AHK25" s="343">
        <v>367</v>
      </c>
      <c r="AHL25" s="501">
        <v>401</v>
      </c>
      <c r="AHM25" s="502"/>
      <c r="AHN25" s="502"/>
      <c r="AHO25" s="503"/>
      <c r="AHP25" s="343">
        <v>324.7976000000001</v>
      </c>
      <c r="AHQ25" s="501">
        <v>228</v>
      </c>
      <c r="AHR25" s="502"/>
      <c r="AHS25" s="502"/>
      <c r="AHT25" s="503"/>
      <c r="AHU25" s="343">
        <v>174.83820000000014</v>
      </c>
      <c r="AHV25" s="501">
        <v>449</v>
      </c>
      <c r="AHW25" s="502"/>
      <c r="AHX25" s="502"/>
      <c r="AHY25" s="503"/>
      <c r="AHZ25" s="343">
        <v>224.75820000000022</v>
      </c>
      <c r="AIA25" s="53"/>
      <c r="AIB25" s="542" t="s">
        <v>17</v>
      </c>
      <c r="AIC25" s="543"/>
      <c r="AID25" s="543"/>
      <c r="AIE25" s="543"/>
      <c r="AIF25" s="424" t="s">
        <v>7</v>
      </c>
      <c r="AIG25" s="501">
        <v>649</v>
      </c>
      <c r="AIH25" s="502"/>
      <c r="AII25" s="502"/>
      <c r="AIJ25" s="503"/>
      <c r="AIK25" s="343">
        <v>565.4688000000001</v>
      </c>
      <c r="AIL25" s="501">
        <v>298</v>
      </c>
      <c r="AIM25" s="502"/>
      <c r="AIN25" s="502"/>
      <c r="AIO25" s="503"/>
      <c r="AIP25" s="343">
        <v>176</v>
      </c>
      <c r="AIQ25" s="501">
        <v>198</v>
      </c>
      <c r="AIR25" s="502"/>
      <c r="AIS25" s="502"/>
      <c r="AIT25" s="503"/>
      <c r="AIU25" s="343">
        <v>206</v>
      </c>
      <c r="AIV25" s="501">
        <v>18</v>
      </c>
      <c r="AIW25" s="502"/>
      <c r="AIX25" s="502"/>
      <c r="AIY25" s="503"/>
      <c r="AIZ25" s="343">
        <v>-0.39999999999986358</v>
      </c>
      <c r="AJA25" s="53"/>
      <c r="AJB25" s="542" t="s">
        <v>17</v>
      </c>
      <c r="AJC25" s="543"/>
      <c r="AJD25" s="543"/>
      <c r="AJE25" s="543"/>
      <c r="AJF25" s="424" t="s">
        <v>7</v>
      </c>
      <c r="AJG25" s="501">
        <v>50</v>
      </c>
      <c r="AJH25" s="502"/>
      <c r="AJI25" s="502"/>
      <c r="AJJ25" s="503"/>
      <c r="AJK25" s="343">
        <v>157.14120000000003</v>
      </c>
      <c r="AJL25" s="501">
        <v>199</v>
      </c>
      <c r="AJM25" s="502"/>
      <c r="AJN25" s="502"/>
      <c r="AJO25" s="503"/>
      <c r="AJP25" s="343">
        <v>-0.39999999999997726</v>
      </c>
      <c r="AJQ25" s="501">
        <v>328</v>
      </c>
      <c r="AJR25" s="502"/>
      <c r="AJS25" s="502"/>
      <c r="AJT25" s="503"/>
      <c r="AJU25" s="343">
        <v>174</v>
      </c>
      <c r="AJV25" s="501">
        <v>475</v>
      </c>
      <c r="AJW25" s="502"/>
      <c r="AJX25" s="502"/>
      <c r="AJY25" s="503"/>
      <c r="AJZ25" s="343">
        <v>389</v>
      </c>
      <c r="AKA25" s="53"/>
      <c r="AKB25" s="542" t="s">
        <v>17</v>
      </c>
      <c r="AKC25" s="543"/>
      <c r="AKD25" s="543"/>
      <c r="AKE25" s="543"/>
      <c r="AKF25" s="424" t="s">
        <v>7</v>
      </c>
      <c r="AKG25" s="501">
        <v>467</v>
      </c>
      <c r="AKH25" s="502"/>
      <c r="AKI25" s="502"/>
      <c r="AKJ25" s="503"/>
      <c r="AKK25" s="343">
        <v>364.51180000000022</v>
      </c>
      <c r="AKL25" s="501">
        <v>241</v>
      </c>
      <c r="AKM25" s="502"/>
      <c r="AKN25" s="502"/>
      <c r="AKO25" s="503"/>
      <c r="AKP25" s="343">
        <v>0</v>
      </c>
      <c r="AKQ25" s="501">
        <v>248</v>
      </c>
      <c r="AKR25" s="502"/>
      <c r="AKS25" s="502"/>
      <c r="AKT25" s="503"/>
      <c r="AKU25" s="343">
        <v>140.26160000000004</v>
      </c>
      <c r="AKV25" s="501"/>
      <c r="AKW25" s="502"/>
      <c r="AKX25" s="502"/>
      <c r="AKY25" s="503"/>
      <c r="AKZ25" s="343"/>
    </row>
    <row r="26" spans="1:988" ht="28.35" customHeight="1" x14ac:dyDescent="0.4">
      <c r="A26" s="85"/>
      <c r="G26" s="1" t="s">
        <v>727</v>
      </c>
      <c r="H26" s="3"/>
      <c r="I26" s="3"/>
      <c r="J26" s="3"/>
      <c r="K26" s="1"/>
      <c r="L26" s="1"/>
      <c r="M26" s="3"/>
      <c r="N26" s="3"/>
      <c r="O26" s="3"/>
      <c r="P26" s="1"/>
      <c r="Q26" s="1" t="s">
        <v>286</v>
      </c>
      <c r="R26" s="3"/>
      <c r="S26" s="3"/>
      <c r="T26" s="3"/>
      <c r="U26" s="1"/>
      <c r="V26" s="1"/>
      <c r="W26" s="3"/>
      <c r="X26" s="3"/>
      <c r="Y26" s="3"/>
      <c r="Z26" s="1"/>
      <c r="AA26" s="85"/>
      <c r="AG26" s="1" t="s">
        <v>727</v>
      </c>
      <c r="AH26" s="3"/>
      <c r="AI26" s="3"/>
      <c r="AJ26" s="3"/>
      <c r="AK26" s="1"/>
      <c r="AL26" s="1"/>
      <c r="AM26" s="3"/>
      <c r="AN26" s="3"/>
      <c r="AO26" s="3"/>
      <c r="AP26" s="1"/>
      <c r="AQ26" s="1" t="s">
        <v>286</v>
      </c>
      <c r="AR26" s="3"/>
      <c r="AS26" s="3"/>
      <c r="AT26" s="3"/>
      <c r="AU26" s="1"/>
      <c r="AW26" s="3"/>
      <c r="AX26" s="3"/>
      <c r="AY26" s="3"/>
      <c r="AZ26" s="1"/>
      <c r="BA26" s="85"/>
      <c r="BG26" s="1" t="s">
        <v>727</v>
      </c>
      <c r="BH26" s="3"/>
      <c r="BI26" s="3"/>
      <c r="BJ26" s="3"/>
      <c r="BK26" s="1"/>
      <c r="BL26" s="1"/>
      <c r="BM26" s="3"/>
      <c r="BN26" s="3"/>
      <c r="BO26" s="3"/>
      <c r="BP26" s="1"/>
      <c r="BQ26" s="1" t="s">
        <v>286</v>
      </c>
      <c r="BR26" s="3"/>
      <c r="BS26" s="3"/>
      <c r="BT26" s="3"/>
      <c r="BU26" s="1"/>
      <c r="BW26" s="3"/>
      <c r="BX26" s="3"/>
      <c r="BY26" s="3"/>
      <c r="BZ26" s="1"/>
      <c r="CA26" s="85"/>
      <c r="CG26" s="1" t="s">
        <v>727</v>
      </c>
      <c r="CH26" s="3"/>
      <c r="CI26" s="3"/>
      <c r="CJ26" s="3"/>
      <c r="CK26" s="1"/>
      <c r="CL26" s="1"/>
      <c r="CM26" s="3"/>
      <c r="CN26" s="3"/>
      <c r="CO26" s="3"/>
      <c r="CP26" s="1"/>
      <c r="CQ26" s="1" t="s">
        <v>286</v>
      </c>
      <c r="CR26" s="3"/>
      <c r="CS26" s="3"/>
      <c r="CT26" s="3"/>
      <c r="CU26" s="1"/>
      <c r="CV26" s="1"/>
      <c r="CW26" s="3"/>
      <c r="CX26" s="3"/>
      <c r="CY26" s="3"/>
      <c r="CZ26" s="1"/>
      <c r="DA26" s="85"/>
      <c r="DG26" s="1" t="s">
        <v>727</v>
      </c>
      <c r="DH26" s="3"/>
      <c r="DI26" s="3"/>
      <c r="DJ26" s="3"/>
      <c r="DK26" s="1"/>
      <c r="DL26" s="1"/>
      <c r="DM26" s="3"/>
      <c r="DN26" s="3"/>
      <c r="DO26" s="3"/>
      <c r="DP26" s="1"/>
      <c r="DQ26" s="1" t="s">
        <v>286</v>
      </c>
      <c r="DR26" s="3"/>
      <c r="DS26" s="3"/>
      <c r="DT26" s="3"/>
      <c r="DU26" s="1"/>
      <c r="DV26" s="1"/>
      <c r="DW26" s="3"/>
      <c r="DX26" s="3"/>
      <c r="DY26" s="3"/>
      <c r="DZ26" s="1"/>
      <c r="EA26" s="85"/>
      <c r="EG26" s="1" t="s">
        <v>727</v>
      </c>
      <c r="EH26" s="3"/>
      <c r="EI26" s="3"/>
      <c r="EJ26" s="3"/>
      <c r="EK26" s="1"/>
      <c r="EL26" s="1"/>
      <c r="EM26" s="3"/>
      <c r="EN26" s="3"/>
      <c r="EO26" s="3"/>
      <c r="EP26" s="1"/>
      <c r="EQ26" s="1" t="s">
        <v>286</v>
      </c>
      <c r="ER26" s="3"/>
      <c r="ES26" s="3"/>
      <c r="ET26" s="3"/>
      <c r="EU26" s="1"/>
      <c r="EY26" s="3"/>
      <c r="EZ26" s="1"/>
      <c r="FA26" s="85"/>
      <c r="FG26" s="1" t="s">
        <v>727</v>
      </c>
      <c r="FH26" s="3"/>
      <c r="FI26" s="3"/>
      <c r="FJ26" s="3"/>
      <c r="FK26" s="1"/>
      <c r="FL26" s="1"/>
      <c r="FM26" s="3"/>
      <c r="FN26" s="3"/>
      <c r="FO26" s="3"/>
      <c r="FP26" s="1"/>
      <c r="FQ26" s="1" t="s">
        <v>286</v>
      </c>
      <c r="FR26" s="3"/>
      <c r="FS26" s="3"/>
      <c r="FT26" s="3"/>
      <c r="FU26" s="1"/>
      <c r="FV26" s="1"/>
      <c r="FW26" s="3"/>
      <c r="FX26" s="3"/>
      <c r="FY26" s="3"/>
      <c r="FZ26" s="1"/>
      <c r="GA26" s="85"/>
      <c r="GG26" s="1" t="s">
        <v>727</v>
      </c>
      <c r="GH26" s="3"/>
      <c r="GI26" s="3"/>
      <c r="GJ26" s="3"/>
      <c r="GK26" s="1"/>
      <c r="GL26" s="1"/>
      <c r="GM26" s="3"/>
      <c r="GN26" s="3"/>
      <c r="GO26" s="3"/>
      <c r="GP26" s="1"/>
      <c r="GQ26" s="1" t="s">
        <v>286</v>
      </c>
      <c r="GR26" s="3"/>
      <c r="GS26" s="3"/>
      <c r="GT26" s="3"/>
      <c r="GV26" s="1"/>
      <c r="GW26" s="3"/>
      <c r="GX26" s="3"/>
      <c r="GY26" s="3"/>
      <c r="GZ26" s="1"/>
      <c r="HA26" s="85"/>
      <c r="HG26" s="1" t="s">
        <v>727</v>
      </c>
      <c r="HH26" s="3"/>
      <c r="HI26" s="3"/>
      <c r="HJ26" s="3"/>
      <c r="HK26" s="1"/>
      <c r="HL26" s="1"/>
      <c r="HM26" s="3"/>
      <c r="HN26" s="3"/>
      <c r="HO26" s="3"/>
      <c r="HP26" s="1"/>
      <c r="HQ26" s="1" t="s">
        <v>286</v>
      </c>
      <c r="HR26" s="3"/>
      <c r="HS26" s="3"/>
      <c r="HT26" s="3"/>
      <c r="HU26" s="1"/>
      <c r="HV26" s="1"/>
      <c r="HW26" s="3"/>
      <c r="HX26" s="3"/>
      <c r="HY26" s="3"/>
      <c r="HZ26" s="1"/>
      <c r="IA26" s="85"/>
      <c r="IG26" s="1" t="s">
        <v>727</v>
      </c>
      <c r="IH26" s="3"/>
      <c r="II26" s="3"/>
      <c r="IJ26" s="3"/>
      <c r="IK26" s="1"/>
      <c r="IL26" s="1"/>
      <c r="IM26" s="3"/>
      <c r="IN26" s="3"/>
      <c r="IO26" s="3"/>
      <c r="IP26" s="1"/>
      <c r="IQ26" s="1" t="s">
        <v>286</v>
      </c>
      <c r="IR26" s="3"/>
      <c r="IS26" s="3"/>
      <c r="IT26" s="3"/>
      <c r="IU26" s="1"/>
      <c r="IV26" s="1"/>
      <c r="IW26" s="3"/>
      <c r="IX26" s="3"/>
      <c r="IY26" s="3"/>
      <c r="IZ26" s="1"/>
      <c r="JA26" s="85"/>
      <c r="JG26" s="1" t="s">
        <v>727</v>
      </c>
      <c r="JH26" s="3"/>
      <c r="JI26" s="3"/>
      <c r="JJ26" s="3"/>
      <c r="JK26" s="1"/>
      <c r="JL26" s="1"/>
      <c r="JM26" s="3"/>
      <c r="JN26" s="3"/>
      <c r="JO26" s="3"/>
      <c r="JP26" s="1"/>
      <c r="JQ26" s="1" t="s">
        <v>286</v>
      </c>
      <c r="JR26" s="3"/>
      <c r="JS26" s="3"/>
      <c r="JT26" s="3"/>
      <c r="JU26" s="1"/>
      <c r="JV26" s="1"/>
      <c r="JW26" s="3"/>
      <c r="JX26" s="3"/>
      <c r="JY26" s="3"/>
      <c r="JZ26" s="1"/>
      <c r="KA26" s="85"/>
      <c r="KG26" s="1" t="s">
        <v>727</v>
      </c>
      <c r="KH26" s="3"/>
      <c r="KI26" s="3"/>
      <c r="KJ26" s="3"/>
      <c r="KK26" s="1"/>
      <c r="KL26" s="1"/>
      <c r="KM26" s="3"/>
      <c r="KN26" s="3"/>
      <c r="KO26" s="3"/>
      <c r="KP26" s="1"/>
      <c r="KQ26" s="1" t="s">
        <v>286</v>
      </c>
      <c r="KR26" s="3"/>
      <c r="KS26" s="3"/>
      <c r="KT26" s="3"/>
      <c r="KU26" s="1"/>
      <c r="KV26" s="1"/>
      <c r="KW26" s="3"/>
      <c r="KX26" s="3"/>
      <c r="KY26" s="3"/>
      <c r="KZ26" s="1"/>
      <c r="LA26" s="85"/>
      <c r="LG26" s="1" t="s">
        <v>727</v>
      </c>
      <c r="LH26" s="3"/>
      <c r="LI26" s="3"/>
      <c r="LJ26" s="3"/>
      <c r="LK26" s="1"/>
      <c r="LL26" s="1"/>
      <c r="LM26" s="3"/>
      <c r="LN26" s="3"/>
      <c r="LO26" s="3"/>
      <c r="LP26" s="1"/>
      <c r="LQ26" s="1" t="s">
        <v>286</v>
      </c>
      <c r="LR26" s="3"/>
      <c r="LS26" s="3"/>
      <c r="LT26" s="3"/>
      <c r="LU26" s="1"/>
      <c r="LV26" s="1"/>
      <c r="LW26" s="3"/>
      <c r="LX26" s="3"/>
      <c r="LY26" s="3"/>
      <c r="LZ26" s="1"/>
      <c r="MA26" s="85"/>
      <c r="MG26" s="1" t="s">
        <v>727</v>
      </c>
      <c r="MH26" s="3"/>
      <c r="MI26" s="3"/>
      <c r="MJ26" s="3"/>
      <c r="MK26" s="1"/>
      <c r="ML26" s="1"/>
      <c r="MM26" s="3"/>
      <c r="MN26" s="3"/>
      <c r="MO26" s="3"/>
      <c r="MP26" s="1"/>
      <c r="MQ26" s="1" t="s">
        <v>286</v>
      </c>
      <c r="MR26" s="3"/>
      <c r="MS26" s="3"/>
      <c r="MT26" s="3"/>
      <c r="MU26" s="1"/>
      <c r="MV26" s="1"/>
      <c r="MW26" s="3"/>
      <c r="MX26" s="3"/>
      <c r="MY26" s="3"/>
      <c r="MZ26" s="1"/>
      <c r="NA26" s="85"/>
      <c r="NG26" s="1" t="s">
        <v>727</v>
      </c>
      <c r="NH26" s="3"/>
      <c r="NI26" s="3"/>
      <c r="NJ26" s="3"/>
      <c r="NK26" s="1"/>
      <c r="NL26" s="1"/>
      <c r="NM26" s="3"/>
      <c r="NN26" s="3"/>
      <c r="NO26" s="3"/>
      <c r="NP26" s="1"/>
      <c r="NQ26" s="1" t="s">
        <v>286</v>
      </c>
      <c r="NR26" s="3"/>
      <c r="NS26" s="3"/>
      <c r="NT26" s="3"/>
      <c r="NU26" s="1"/>
      <c r="NV26" s="1"/>
      <c r="NW26" s="3"/>
      <c r="NX26" s="3"/>
      <c r="NY26" s="3"/>
      <c r="NZ26" s="1"/>
      <c r="OA26" s="85"/>
      <c r="OG26" s="1" t="s">
        <v>727</v>
      </c>
      <c r="OH26" s="3"/>
      <c r="OI26" s="3"/>
      <c r="OJ26" s="3"/>
      <c r="OK26" s="1"/>
      <c r="OL26" s="1"/>
      <c r="OM26" s="3"/>
      <c r="ON26" s="3"/>
      <c r="OO26" s="3"/>
      <c r="OP26" s="1"/>
      <c r="OQ26" s="1" t="s">
        <v>286</v>
      </c>
      <c r="OR26" s="3"/>
      <c r="OS26" s="3"/>
      <c r="OT26" s="3"/>
      <c r="OU26" s="1"/>
      <c r="OV26" s="1"/>
      <c r="OW26" s="3"/>
      <c r="OX26" s="3"/>
      <c r="OY26" s="3"/>
      <c r="OZ26" s="1"/>
      <c r="PA26" s="85"/>
      <c r="PG26" s="1" t="s">
        <v>727</v>
      </c>
      <c r="PH26" s="3"/>
      <c r="PI26" s="3"/>
      <c r="PJ26" s="3"/>
      <c r="PK26" s="1"/>
      <c r="PL26" s="1"/>
      <c r="PM26" s="3"/>
      <c r="PN26" s="3"/>
      <c r="PO26" s="3"/>
      <c r="PP26" s="1"/>
      <c r="PQ26" s="1" t="s">
        <v>286</v>
      </c>
      <c r="PR26" s="3"/>
      <c r="PS26" s="3"/>
      <c r="PT26" s="3"/>
      <c r="PU26" s="1"/>
      <c r="PV26" s="1"/>
      <c r="PW26" s="3"/>
      <c r="PX26" s="3"/>
      <c r="PY26" s="3"/>
      <c r="PZ26" s="1"/>
      <c r="QA26" s="85"/>
      <c r="QG26" s="1" t="s">
        <v>727</v>
      </c>
      <c r="QH26" s="3"/>
      <c r="QI26" s="3"/>
      <c r="QJ26" s="3"/>
      <c r="QK26" s="1"/>
      <c r="QL26" s="1"/>
      <c r="QM26" s="3"/>
      <c r="QN26" s="3"/>
      <c r="QO26" s="3"/>
      <c r="QP26" s="1"/>
      <c r="QQ26" s="1" t="s">
        <v>286</v>
      </c>
      <c r="QR26" s="3"/>
      <c r="QS26" s="3"/>
      <c r="QT26" s="3"/>
      <c r="QU26" s="1"/>
      <c r="QV26" s="1"/>
      <c r="QW26" s="3"/>
      <c r="QX26" s="3"/>
      <c r="QY26" s="3"/>
      <c r="QZ26" s="1"/>
      <c r="RA26" s="85"/>
      <c r="RG26" s="1" t="s">
        <v>727</v>
      </c>
      <c r="RH26" s="3"/>
      <c r="RI26" s="3"/>
      <c r="RJ26" s="3"/>
      <c r="RK26" s="1"/>
      <c r="RL26" s="1"/>
      <c r="RM26" s="3"/>
      <c r="RN26" s="3"/>
      <c r="RO26" s="3"/>
      <c r="RP26" s="1"/>
      <c r="RQ26" s="1" t="s">
        <v>286</v>
      </c>
      <c r="RR26" s="3"/>
      <c r="RS26" s="3"/>
      <c r="RT26" s="3"/>
      <c r="RU26" s="1"/>
      <c r="RV26" s="1"/>
      <c r="RW26" s="3"/>
      <c r="RX26" s="3"/>
      <c r="RY26" s="3"/>
      <c r="RZ26" s="1"/>
      <c r="SA26" s="85"/>
      <c r="SG26" s="1" t="s">
        <v>727</v>
      </c>
      <c r="SH26" s="3"/>
      <c r="SI26" s="3"/>
      <c r="SJ26" s="3"/>
      <c r="SK26" s="1"/>
      <c r="SL26" s="1"/>
      <c r="SM26" s="3"/>
      <c r="SN26" s="3"/>
      <c r="SO26" s="3"/>
      <c r="SP26" s="1"/>
      <c r="SQ26" s="1" t="s">
        <v>286</v>
      </c>
      <c r="SR26" s="3"/>
      <c r="SS26" s="3"/>
      <c r="ST26" s="3"/>
      <c r="SU26" s="1"/>
      <c r="SV26" s="1"/>
      <c r="SW26" s="3"/>
      <c r="SX26" s="3"/>
      <c r="SY26" s="3"/>
      <c r="SZ26" s="1"/>
      <c r="TA26" s="85"/>
      <c r="TG26" s="1" t="s">
        <v>727</v>
      </c>
      <c r="TH26" s="3"/>
      <c r="TI26" s="3"/>
      <c r="TJ26" s="3"/>
      <c r="TK26" s="1"/>
      <c r="TL26" s="1"/>
      <c r="TM26" s="3"/>
      <c r="TN26" s="3"/>
      <c r="TO26" s="3"/>
      <c r="TP26" s="1"/>
      <c r="TQ26" s="1" t="s">
        <v>286</v>
      </c>
      <c r="TR26" s="3"/>
      <c r="TS26" s="3"/>
      <c r="TT26" s="3"/>
      <c r="TU26" s="1"/>
      <c r="TV26" s="1"/>
      <c r="TW26" s="3"/>
      <c r="TX26" s="3"/>
      <c r="TY26" s="3"/>
      <c r="TZ26" s="1"/>
      <c r="UA26" s="85"/>
      <c r="UG26" s="1" t="s">
        <v>727</v>
      </c>
      <c r="UH26" s="3"/>
      <c r="UI26" s="3"/>
      <c r="UJ26" s="3"/>
      <c r="UK26" s="1"/>
      <c r="UL26" s="1"/>
      <c r="UM26" s="3"/>
      <c r="UN26" s="3"/>
      <c r="UO26" s="3"/>
      <c r="UP26" s="1"/>
      <c r="UQ26" s="1" t="s">
        <v>286</v>
      </c>
      <c r="UR26" s="3"/>
      <c r="US26" s="3"/>
      <c r="UT26" s="3"/>
      <c r="UU26" s="1"/>
      <c r="UV26" s="1"/>
      <c r="UW26" s="3"/>
      <c r="UX26" s="3"/>
      <c r="UY26" s="3"/>
      <c r="UZ26" s="1"/>
      <c r="VA26" s="85"/>
      <c r="VG26" s="1" t="s">
        <v>727</v>
      </c>
      <c r="VH26" s="3"/>
      <c r="VI26" s="3"/>
      <c r="VJ26" s="3"/>
      <c r="VK26" s="1"/>
      <c r="VL26" s="1"/>
      <c r="VM26" s="3"/>
      <c r="VN26" s="3"/>
      <c r="VO26" s="3"/>
      <c r="VP26" s="1"/>
      <c r="VQ26" s="1" t="s">
        <v>286</v>
      </c>
      <c r="VR26" s="3"/>
      <c r="VS26" s="3"/>
      <c r="VT26" s="3"/>
      <c r="VU26" s="1"/>
      <c r="VV26" s="1"/>
      <c r="VW26" s="3"/>
      <c r="VX26" s="3"/>
      <c r="VY26" s="3"/>
      <c r="VZ26" s="1"/>
      <c r="WA26" s="85"/>
      <c r="WG26" s="1" t="s">
        <v>727</v>
      </c>
      <c r="WH26" s="3"/>
      <c r="WI26" s="3"/>
      <c r="WJ26" s="3"/>
      <c r="WK26" s="1"/>
      <c r="WL26" s="1"/>
      <c r="WM26" s="3"/>
      <c r="WN26" s="3"/>
      <c r="WO26" s="3"/>
      <c r="WP26" s="1"/>
      <c r="WQ26" s="1" t="s">
        <v>286</v>
      </c>
      <c r="WR26" s="3"/>
      <c r="WS26" s="3"/>
      <c r="WT26" s="3"/>
      <c r="WU26" s="1"/>
      <c r="WV26" s="1"/>
      <c r="WW26" s="3"/>
      <c r="WX26" s="3"/>
      <c r="WY26" s="3"/>
      <c r="WZ26" s="1"/>
      <c r="XA26" s="85"/>
      <c r="XG26" s="1" t="s">
        <v>727</v>
      </c>
      <c r="XH26" s="3"/>
      <c r="XI26" s="3"/>
      <c r="XJ26" s="3"/>
      <c r="XK26" s="1"/>
      <c r="XL26" s="1"/>
      <c r="XM26" s="3"/>
      <c r="XN26" s="3"/>
      <c r="XO26" s="3"/>
      <c r="XP26" s="1"/>
      <c r="XQ26" s="1" t="s">
        <v>286</v>
      </c>
      <c r="XR26" s="3"/>
      <c r="XS26" s="3"/>
      <c r="XT26" s="3"/>
      <c r="XU26" s="1"/>
      <c r="XV26" s="1"/>
      <c r="XW26" s="3"/>
      <c r="XX26" s="3"/>
      <c r="XY26" s="3"/>
      <c r="XZ26" s="1"/>
      <c r="YA26" s="85"/>
      <c r="YG26" s="1" t="s">
        <v>727</v>
      </c>
      <c r="YH26" s="3"/>
      <c r="YI26" s="3"/>
      <c r="YJ26" s="3"/>
      <c r="YK26" s="1"/>
      <c r="YL26" s="1"/>
      <c r="YM26" s="3"/>
      <c r="YN26" s="3"/>
      <c r="YO26" s="3"/>
      <c r="YP26" s="1"/>
      <c r="YQ26" s="1" t="s">
        <v>286</v>
      </c>
      <c r="YR26" s="3"/>
      <c r="YS26" s="3"/>
      <c r="YT26" s="3"/>
      <c r="YU26" s="1"/>
      <c r="YV26" s="1"/>
      <c r="YW26" s="3"/>
      <c r="YX26" s="3"/>
      <c r="YY26" s="3"/>
      <c r="YZ26" s="1"/>
      <c r="ZA26" s="85"/>
      <c r="ZG26" s="1" t="s">
        <v>727</v>
      </c>
      <c r="ZH26" s="3"/>
      <c r="ZI26" s="3"/>
      <c r="ZJ26" s="3"/>
      <c r="ZK26" s="1"/>
      <c r="ZL26" s="1"/>
      <c r="ZM26" s="3"/>
      <c r="ZN26" s="3"/>
      <c r="ZO26" s="3"/>
      <c r="ZP26" s="1"/>
      <c r="ZQ26" s="1" t="s">
        <v>286</v>
      </c>
      <c r="ZR26" s="3"/>
      <c r="ZS26" s="3"/>
      <c r="ZT26" s="3"/>
      <c r="ZU26" s="1"/>
      <c r="ZV26" s="1"/>
      <c r="ZW26" s="3"/>
      <c r="ZX26" s="3"/>
      <c r="ZY26" s="3"/>
      <c r="ZZ26" s="1"/>
      <c r="AAA26" s="85"/>
      <c r="AAG26" s="1" t="s">
        <v>727</v>
      </c>
      <c r="AAH26" s="3"/>
      <c r="AAI26" s="3"/>
      <c r="AAJ26" s="3"/>
      <c r="AAK26" s="1"/>
      <c r="AAL26" s="1"/>
      <c r="AAM26" s="3"/>
      <c r="AAN26" s="3"/>
      <c r="AAO26" s="3"/>
      <c r="AAP26" s="1"/>
      <c r="AAQ26" s="1" t="s">
        <v>286</v>
      </c>
      <c r="AAR26" s="3"/>
      <c r="AAS26" s="3"/>
      <c r="AAT26" s="3"/>
      <c r="AAU26" s="1"/>
      <c r="AAV26" s="1"/>
      <c r="AAW26" s="3"/>
      <c r="AAX26" s="3"/>
      <c r="AAY26" s="3"/>
      <c r="AAZ26" s="1"/>
      <c r="ABA26" s="85"/>
      <c r="ABG26" s="1" t="s">
        <v>727</v>
      </c>
      <c r="ABH26" s="3"/>
      <c r="ABI26" s="3"/>
      <c r="ABJ26" s="3"/>
      <c r="ABK26" s="1"/>
      <c r="ABL26" s="1"/>
      <c r="ABM26" s="3"/>
      <c r="ABN26" s="3"/>
      <c r="ABO26" s="3"/>
      <c r="ABP26" s="1"/>
      <c r="ABQ26" s="1" t="s">
        <v>286</v>
      </c>
      <c r="ABR26" s="3"/>
      <c r="ABS26" s="3"/>
      <c r="ABT26" s="3"/>
      <c r="ABU26" s="1"/>
      <c r="ABV26" s="1"/>
      <c r="ABW26" s="3"/>
      <c r="ABX26" s="3"/>
      <c r="ABY26" s="3"/>
      <c r="ABZ26" s="1"/>
      <c r="ACA26" s="85"/>
      <c r="ACG26" s="1" t="s">
        <v>727</v>
      </c>
      <c r="ACH26" s="3"/>
      <c r="ACI26" s="3"/>
      <c r="ACJ26" s="3"/>
      <c r="ACK26" s="1"/>
      <c r="ACL26" s="1"/>
      <c r="ACM26" s="3"/>
      <c r="ACN26" s="3"/>
      <c r="ACO26" s="3"/>
      <c r="ACP26" s="1"/>
      <c r="ACQ26" s="1" t="s">
        <v>286</v>
      </c>
      <c r="ACR26" s="3"/>
      <c r="ACS26" s="3"/>
      <c r="ACT26" s="3"/>
      <c r="ACU26" s="1"/>
      <c r="ACV26" s="1"/>
      <c r="ACW26" s="3"/>
      <c r="ACX26" s="3"/>
      <c r="ACY26" s="3"/>
      <c r="ACZ26" s="1"/>
      <c r="ADA26" s="85"/>
      <c r="ADG26" s="1" t="s">
        <v>727</v>
      </c>
      <c r="ADH26" s="3"/>
      <c r="ADI26" s="3"/>
      <c r="ADJ26" s="3"/>
      <c r="ADK26" s="1"/>
      <c r="ADL26" s="1"/>
      <c r="ADM26" s="3"/>
      <c r="ADN26" s="3"/>
      <c r="ADO26" s="3"/>
      <c r="ADP26" s="1"/>
      <c r="ADQ26" s="1" t="s">
        <v>286</v>
      </c>
      <c r="ADR26" s="3"/>
      <c r="ADS26" s="3"/>
      <c r="ADT26" s="3"/>
      <c r="ADU26" s="1"/>
      <c r="ADV26" s="1"/>
      <c r="ADW26" s="3"/>
      <c r="ADX26" s="3"/>
      <c r="ADY26" s="3"/>
      <c r="ADZ26" s="1"/>
      <c r="AEA26" s="85"/>
      <c r="AEG26" s="1" t="s">
        <v>727</v>
      </c>
      <c r="AEH26" s="3"/>
      <c r="AEI26" s="3"/>
      <c r="AEJ26" s="3"/>
      <c r="AEK26" s="1"/>
      <c r="AEL26" s="1"/>
      <c r="AEM26" s="3"/>
      <c r="AEN26" s="3"/>
      <c r="AEO26" s="3"/>
      <c r="AEP26" s="1"/>
      <c r="AEQ26" s="1" t="s">
        <v>286</v>
      </c>
      <c r="AER26" s="3"/>
      <c r="AES26" s="3"/>
      <c r="AET26" s="3"/>
      <c r="AEV26" s="1"/>
      <c r="AEW26" s="3"/>
      <c r="AEX26" s="3"/>
      <c r="AEY26" s="3"/>
      <c r="AFA26" s="85"/>
      <c r="AFG26" s="1" t="s">
        <v>727</v>
      </c>
      <c r="AFH26" s="3"/>
      <c r="AFI26" s="3"/>
      <c r="AFJ26" s="3"/>
      <c r="AFK26" s="1"/>
      <c r="AFL26" s="1"/>
      <c r="AFM26" s="3"/>
      <c r="AFN26" s="3"/>
      <c r="AFO26" s="3"/>
      <c r="AFP26" s="1"/>
      <c r="AFQ26" s="1" t="s">
        <v>286</v>
      </c>
      <c r="AFR26" s="3"/>
      <c r="AFS26" s="3"/>
      <c r="AFT26" s="3"/>
      <c r="AFU26" s="1"/>
      <c r="AFV26" s="1"/>
      <c r="AFW26" s="3"/>
      <c r="AFX26" s="3"/>
      <c r="AFY26" s="3"/>
      <c r="AFZ26" s="1"/>
      <c r="AGA26" s="85"/>
      <c r="AGG26" s="1" t="s">
        <v>727</v>
      </c>
      <c r="AGH26" s="3"/>
      <c r="AGI26" s="3"/>
      <c r="AGJ26" s="3"/>
      <c r="AGK26" s="1"/>
      <c r="AGL26" s="1"/>
      <c r="AGM26" s="3"/>
      <c r="AGN26" s="3"/>
      <c r="AGO26" s="3"/>
      <c r="AGP26" s="1"/>
      <c r="AGQ26" s="1" t="s">
        <v>286</v>
      </c>
      <c r="AGR26" s="3"/>
      <c r="AGS26" s="3"/>
      <c r="AGT26" s="3"/>
      <c r="AGU26" s="1"/>
      <c r="AGV26" s="1"/>
      <c r="AGW26" s="3"/>
      <c r="AGX26" s="3"/>
      <c r="AGY26" s="3"/>
      <c r="AGZ26" s="1"/>
      <c r="AHA26" s="85"/>
      <c r="AHG26" s="1" t="s">
        <v>727</v>
      </c>
      <c r="AHH26" s="3"/>
      <c r="AHI26" s="3"/>
      <c r="AHJ26" s="3"/>
      <c r="AHK26" s="1"/>
      <c r="AHL26" s="1"/>
      <c r="AHM26" s="3"/>
      <c r="AHN26" s="3"/>
      <c r="AHO26" s="3"/>
      <c r="AHP26" s="1"/>
      <c r="AHQ26" s="1" t="s">
        <v>286</v>
      </c>
      <c r="AHR26" s="3"/>
      <c r="AHS26" s="3"/>
      <c r="AHT26" s="3"/>
      <c r="AHU26" s="1"/>
      <c r="AHV26" s="1"/>
      <c r="AHW26" s="3"/>
      <c r="AHX26" s="3"/>
      <c r="AHY26" s="3"/>
      <c r="AHZ26" s="1"/>
      <c r="AIA26" s="85"/>
      <c r="AIG26" s="1" t="s">
        <v>727</v>
      </c>
      <c r="AIH26" s="3"/>
      <c r="AII26" s="3"/>
      <c r="AIJ26" s="3"/>
      <c r="AIK26" s="1"/>
      <c r="AIL26" s="1"/>
      <c r="AIM26" s="3"/>
      <c r="AIN26" s="3"/>
      <c r="AIO26" s="3"/>
      <c r="AIP26" s="1"/>
      <c r="AIQ26" s="1" t="s">
        <v>286</v>
      </c>
      <c r="AIR26" s="3"/>
      <c r="AIS26" s="3"/>
      <c r="AIT26" s="3"/>
      <c r="AIU26" s="1"/>
      <c r="AIW26" s="3"/>
      <c r="AIX26" s="3"/>
      <c r="AIY26" s="3"/>
      <c r="AIZ26" s="1"/>
      <c r="AJA26" s="85"/>
      <c r="AJG26" s="1" t="s">
        <v>727</v>
      </c>
      <c r="AJH26" s="3"/>
      <c r="AJI26" s="3"/>
      <c r="AJJ26" s="3"/>
      <c r="AJK26" s="1"/>
      <c r="AJL26" s="1"/>
      <c r="AJM26" s="3"/>
      <c r="AJN26" s="3"/>
      <c r="AJO26" s="3"/>
      <c r="AJP26" s="1"/>
      <c r="AJQ26" s="1" t="s">
        <v>286</v>
      </c>
      <c r="AJR26" s="3"/>
      <c r="AJS26" s="3"/>
      <c r="AJT26" s="3"/>
      <c r="AJU26" s="1"/>
      <c r="AJV26" s="1"/>
      <c r="AJW26" s="3"/>
      <c r="AJX26" s="3"/>
      <c r="AJY26" s="3"/>
      <c r="AJZ26" s="1"/>
      <c r="AKA26" s="85"/>
      <c r="AKG26" s="1" t="s">
        <v>727</v>
      </c>
      <c r="AKH26" s="3"/>
      <c r="AKI26" s="3"/>
      <c r="AKJ26" s="3"/>
      <c r="AKK26" s="1"/>
      <c r="AKL26" s="1"/>
      <c r="AKM26" s="3"/>
      <c r="AKN26" s="3"/>
      <c r="AKO26" s="3"/>
      <c r="AKP26" s="1"/>
      <c r="AKQ26" s="1" t="s">
        <v>286</v>
      </c>
      <c r="AKR26" s="3"/>
      <c r="AKS26" s="3"/>
      <c r="AKT26" s="3"/>
      <c r="AKU26" s="1"/>
      <c r="AKW26" s="3"/>
      <c r="AKX26" s="3"/>
      <c r="AKY26" s="3"/>
      <c r="AKZ26" s="1"/>
    </row>
    <row r="27" spans="1:988" ht="28.35" customHeight="1" x14ac:dyDescent="0.4">
      <c r="G27" s="2" t="s">
        <v>729</v>
      </c>
      <c r="H27" s="3"/>
      <c r="I27" s="3"/>
      <c r="J27" s="3"/>
      <c r="K27" s="1"/>
      <c r="L27" s="1"/>
      <c r="M27" s="3"/>
      <c r="N27" s="3"/>
      <c r="O27" s="3"/>
      <c r="P27" s="1"/>
      <c r="Q27" s="1" t="s">
        <v>303</v>
      </c>
      <c r="R27" s="3"/>
      <c r="S27" s="3"/>
      <c r="T27" s="3"/>
      <c r="U27" s="1"/>
      <c r="V27" s="1"/>
      <c r="W27" s="3"/>
      <c r="X27" s="3"/>
      <c r="Y27" s="3"/>
      <c r="Z27" s="1"/>
      <c r="AG27" s="2" t="s">
        <v>729</v>
      </c>
      <c r="AH27" s="3"/>
      <c r="AI27" s="3"/>
      <c r="AJ27" s="3"/>
      <c r="AK27" s="1"/>
      <c r="AL27" s="1"/>
      <c r="AM27" s="3"/>
      <c r="AN27" s="3"/>
      <c r="AO27" s="3"/>
      <c r="AP27" s="1"/>
      <c r="AQ27" s="1" t="s">
        <v>303</v>
      </c>
      <c r="AR27" s="3"/>
      <c r="AS27" s="3"/>
      <c r="AT27" s="3"/>
      <c r="AU27" s="1"/>
      <c r="AW27" s="3"/>
      <c r="AX27" s="3"/>
      <c r="AY27" s="3"/>
      <c r="AZ27" s="1"/>
      <c r="BG27" s="2" t="s">
        <v>729</v>
      </c>
      <c r="BH27" s="3"/>
      <c r="BI27" s="3"/>
      <c r="BJ27" s="3"/>
      <c r="BK27" s="1"/>
      <c r="BL27" s="1"/>
      <c r="BM27" s="3"/>
      <c r="BN27" s="3"/>
      <c r="BO27" s="3"/>
      <c r="BP27" s="1"/>
      <c r="BQ27" s="1" t="s">
        <v>303</v>
      </c>
      <c r="BR27" s="3"/>
      <c r="BS27" s="3"/>
      <c r="BT27" s="3"/>
      <c r="BU27" s="1"/>
      <c r="BW27" s="3"/>
      <c r="BX27" s="3"/>
      <c r="BY27" s="3"/>
      <c r="BZ27" s="1"/>
      <c r="CG27" s="2" t="s">
        <v>729</v>
      </c>
      <c r="CH27" s="3"/>
      <c r="CI27" s="3"/>
      <c r="CJ27" s="3"/>
      <c r="CK27" s="1"/>
      <c r="CL27" s="1"/>
      <c r="CM27" s="3"/>
      <c r="CN27" s="3"/>
      <c r="CO27" s="3"/>
      <c r="CP27" s="1"/>
      <c r="CQ27" s="1" t="s">
        <v>303</v>
      </c>
      <c r="CR27" s="3"/>
      <c r="CS27" s="3"/>
      <c r="CT27" s="3"/>
      <c r="CU27" s="1"/>
      <c r="CV27" s="1"/>
      <c r="CW27" s="3"/>
      <c r="CX27" s="3"/>
      <c r="CY27" s="3"/>
      <c r="CZ27" s="1"/>
      <c r="DG27" s="2" t="s">
        <v>729</v>
      </c>
      <c r="DH27" s="3"/>
      <c r="DI27" s="3"/>
      <c r="DJ27" s="3"/>
      <c r="DK27" s="1"/>
      <c r="DL27" s="1"/>
      <c r="DM27" s="3"/>
      <c r="DN27" s="3"/>
      <c r="DO27" s="3"/>
      <c r="DP27" s="1"/>
      <c r="DQ27" s="1" t="s">
        <v>303</v>
      </c>
      <c r="DR27" s="3"/>
      <c r="DS27" s="3"/>
      <c r="DT27" s="3"/>
      <c r="DU27" s="1"/>
      <c r="DV27" s="1"/>
      <c r="DW27" s="3"/>
      <c r="DX27" s="3"/>
      <c r="DY27" s="3"/>
      <c r="DZ27" s="1"/>
      <c r="EG27" s="2" t="s">
        <v>729</v>
      </c>
      <c r="EH27" s="3"/>
      <c r="EI27" s="3"/>
      <c r="EJ27" s="3"/>
      <c r="EK27" s="1"/>
      <c r="EL27" s="1"/>
      <c r="EM27" s="3"/>
      <c r="EN27" s="3"/>
      <c r="EO27" s="3"/>
      <c r="EP27" s="1"/>
      <c r="EQ27" s="1" t="s">
        <v>303</v>
      </c>
      <c r="ER27" s="3"/>
      <c r="ES27" s="3"/>
      <c r="ET27" s="3"/>
      <c r="EU27" s="1"/>
      <c r="EY27" s="3"/>
      <c r="EZ27" s="1"/>
      <c r="FG27" s="2" t="s">
        <v>729</v>
      </c>
      <c r="FH27" s="3"/>
      <c r="FI27" s="3"/>
      <c r="FJ27" s="3"/>
      <c r="FK27" s="1"/>
      <c r="FL27" s="1"/>
      <c r="FM27" s="3"/>
      <c r="FN27" s="3"/>
      <c r="FO27" s="3"/>
      <c r="FP27" s="1"/>
      <c r="FQ27" s="1" t="s">
        <v>303</v>
      </c>
      <c r="FR27" s="3"/>
      <c r="FS27" s="3"/>
      <c r="FT27" s="3"/>
      <c r="FU27" s="1"/>
      <c r="FV27" s="1"/>
      <c r="FW27" s="3"/>
      <c r="FX27" s="3"/>
      <c r="FY27" s="3"/>
      <c r="FZ27" s="1"/>
      <c r="GG27" s="2" t="s">
        <v>729</v>
      </c>
      <c r="GH27" s="3"/>
      <c r="GI27" s="3"/>
      <c r="GJ27" s="3"/>
      <c r="GK27" s="1"/>
      <c r="GL27" s="1"/>
      <c r="GM27" s="3"/>
      <c r="GN27" s="3"/>
      <c r="GO27" s="3"/>
      <c r="GP27" s="1"/>
      <c r="GQ27" s="1" t="s">
        <v>303</v>
      </c>
      <c r="GR27" s="3"/>
      <c r="GS27" s="3"/>
      <c r="GT27" s="3"/>
      <c r="GV27" s="1"/>
      <c r="GW27" s="3"/>
      <c r="GX27" s="3"/>
      <c r="GY27" s="3"/>
      <c r="GZ27" s="1"/>
      <c r="HG27" s="2" t="s">
        <v>729</v>
      </c>
      <c r="HH27" s="3"/>
      <c r="HI27" s="3"/>
      <c r="HJ27" s="3"/>
      <c r="HK27" s="1"/>
      <c r="HL27" s="1"/>
      <c r="HM27" s="3"/>
      <c r="HN27" s="3"/>
      <c r="HO27" s="3"/>
      <c r="HP27" s="1"/>
      <c r="HQ27" s="1" t="s">
        <v>303</v>
      </c>
      <c r="HR27" s="3"/>
      <c r="HS27" s="3"/>
      <c r="HT27" s="3"/>
      <c r="HU27" s="1"/>
      <c r="HV27" s="1"/>
      <c r="HW27" s="3"/>
      <c r="HX27" s="3"/>
      <c r="HY27" s="3"/>
      <c r="HZ27" s="1"/>
      <c r="IG27" s="2" t="s">
        <v>729</v>
      </c>
      <c r="IH27" s="3"/>
      <c r="II27" s="3"/>
      <c r="IJ27" s="3"/>
      <c r="IK27" s="1"/>
      <c r="IL27" s="1"/>
      <c r="IM27" s="3"/>
      <c r="IN27" s="3"/>
      <c r="IO27" s="3"/>
      <c r="IP27" s="1"/>
      <c r="IQ27" s="1" t="s">
        <v>303</v>
      </c>
      <c r="IR27" s="3"/>
      <c r="IS27" s="3"/>
      <c r="IT27" s="3"/>
      <c r="IU27" s="1"/>
      <c r="IV27" s="1"/>
      <c r="IW27" s="3"/>
      <c r="IX27" s="3"/>
      <c r="IY27" s="3"/>
      <c r="IZ27" s="1"/>
      <c r="JG27" s="2" t="s">
        <v>729</v>
      </c>
      <c r="JH27" s="3"/>
      <c r="JI27" s="3"/>
      <c r="JJ27" s="3"/>
      <c r="JK27" s="1"/>
      <c r="JL27" s="1"/>
      <c r="JM27" s="3"/>
      <c r="JN27" s="3"/>
      <c r="JO27" s="3"/>
      <c r="JP27" s="1"/>
      <c r="JQ27" s="1" t="s">
        <v>303</v>
      </c>
      <c r="JR27" s="3"/>
      <c r="JS27" s="3"/>
      <c r="JT27" s="3"/>
      <c r="JU27" s="1"/>
      <c r="JV27" s="1"/>
      <c r="JW27" s="3"/>
      <c r="JX27" s="3"/>
      <c r="JY27" s="3"/>
      <c r="JZ27" s="1"/>
      <c r="KG27" s="2" t="s">
        <v>729</v>
      </c>
      <c r="KH27" s="3"/>
      <c r="KI27" s="3"/>
      <c r="KJ27" s="3"/>
      <c r="KK27" s="1"/>
      <c r="KL27" s="1"/>
      <c r="KM27" s="3"/>
      <c r="KN27" s="3"/>
      <c r="KO27" s="3"/>
      <c r="KP27" s="1"/>
      <c r="KQ27" s="1" t="s">
        <v>303</v>
      </c>
      <c r="KR27" s="3"/>
      <c r="KS27" s="3"/>
      <c r="KT27" s="3"/>
      <c r="KU27" s="1"/>
      <c r="KV27" s="1"/>
      <c r="KW27" s="3"/>
      <c r="KX27" s="3"/>
      <c r="KY27" s="3"/>
      <c r="KZ27" s="1"/>
      <c r="LG27" s="2" t="s">
        <v>729</v>
      </c>
      <c r="LH27" s="3"/>
      <c r="LI27" s="3"/>
      <c r="LJ27" s="3"/>
      <c r="LK27" s="1"/>
      <c r="LL27" s="1"/>
      <c r="LM27" s="3"/>
      <c r="LN27" s="3"/>
      <c r="LO27" s="3"/>
      <c r="LP27" s="1"/>
      <c r="LQ27" s="1" t="s">
        <v>303</v>
      </c>
      <c r="LR27" s="3"/>
      <c r="LS27" s="3"/>
      <c r="LT27" s="3"/>
      <c r="LU27" s="1"/>
      <c r="LV27" s="1"/>
      <c r="LW27" s="3"/>
      <c r="LX27" s="3"/>
      <c r="LY27" s="3"/>
      <c r="LZ27" s="1"/>
      <c r="MG27" s="2" t="s">
        <v>729</v>
      </c>
      <c r="MH27" s="3"/>
      <c r="MI27" s="3"/>
      <c r="MJ27" s="3"/>
      <c r="MK27" s="1"/>
      <c r="ML27" s="1"/>
      <c r="MM27" s="3"/>
      <c r="MN27" s="3"/>
      <c r="MO27" s="3"/>
      <c r="MP27" s="1"/>
      <c r="MQ27" s="1" t="s">
        <v>303</v>
      </c>
      <c r="MR27" s="3"/>
      <c r="MS27" s="3"/>
      <c r="MT27" s="3"/>
      <c r="MU27" s="1"/>
      <c r="MV27" s="1"/>
      <c r="MW27" s="3"/>
      <c r="MX27" s="3"/>
      <c r="MY27" s="3"/>
      <c r="MZ27" s="1"/>
      <c r="NG27" s="2" t="s">
        <v>729</v>
      </c>
      <c r="NH27" s="3"/>
      <c r="NI27" s="3"/>
      <c r="NJ27" s="3"/>
      <c r="NK27" s="1"/>
      <c r="NL27" s="1"/>
      <c r="NM27" s="3"/>
      <c r="NN27" s="3"/>
      <c r="NO27" s="3"/>
      <c r="NP27" s="1"/>
      <c r="NQ27" s="1" t="s">
        <v>303</v>
      </c>
      <c r="NR27" s="3"/>
      <c r="NS27" s="3"/>
      <c r="NT27" s="3"/>
      <c r="NU27" s="1"/>
      <c r="NV27" s="1"/>
      <c r="NW27" s="3"/>
      <c r="NX27" s="3"/>
      <c r="NY27" s="3"/>
      <c r="NZ27" s="1"/>
      <c r="OG27" s="2" t="s">
        <v>729</v>
      </c>
      <c r="OH27" s="3"/>
      <c r="OI27" s="3"/>
      <c r="OJ27" s="3"/>
      <c r="OK27" s="1"/>
      <c r="OL27" s="1"/>
      <c r="OM27" s="3"/>
      <c r="ON27" s="3"/>
      <c r="OO27" s="3"/>
      <c r="OP27" s="1"/>
      <c r="OQ27" s="1" t="s">
        <v>303</v>
      </c>
      <c r="OR27" s="3"/>
      <c r="OS27" s="3"/>
      <c r="OT27" s="3"/>
      <c r="OU27" s="1"/>
      <c r="OV27" s="1"/>
      <c r="OW27" s="3"/>
      <c r="OX27" s="3"/>
      <c r="OY27" s="3"/>
      <c r="OZ27" s="1"/>
      <c r="PG27" s="2" t="s">
        <v>729</v>
      </c>
      <c r="PH27" s="3"/>
      <c r="PI27" s="3"/>
      <c r="PJ27" s="3"/>
      <c r="PK27" s="1"/>
      <c r="PL27" s="1"/>
      <c r="PM27" s="3"/>
      <c r="PN27" s="3"/>
      <c r="PO27" s="3"/>
      <c r="PP27" s="1"/>
      <c r="PQ27" s="1" t="s">
        <v>303</v>
      </c>
      <c r="PR27" s="3"/>
      <c r="PS27" s="3"/>
      <c r="PT27" s="3"/>
      <c r="PU27" s="1"/>
      <c r="PV27" s="1"/>
      <c r="PW27" s="3"/>
      <c r="PX27" s="3"/>
      <c r="PY27" s="3"/>
      <c r="PZ27" s="1"/>
      <c r="QG27" s="2" t="s">
        <v>729</v>
      </c>
      <c r="QH27" s="3"/>
      <c r="QI27" s="3"/>
      <c r="QJ27" s="3"/>
      <c r="QK27" s="1"/>
      <c r="QL27" s="1"/>
      <c r="QM27" s="3"/>
      <c r="QN27" s="3"/>
      <c r="QO27" s="3"/>
      <c r="QP27" s="1"/>
      <c r="QQ27" s="1" t="s">
        <v>303</v>
      </c>
      <c r="QR27" s="3"/>
      <c r="QS27" s="3"/>
      <c r="QT27" s="3"/>
      <c r="QU27" s="1"/>
      <c r="QV27" s="1"/>
      <c r="QW27" s="3"/>
      <c r="QX27" s="3"/>
      <c r="QY27" s="3"/>
      <c r="QZ27" s="1"/>
      <c r="RG27" s="2" t="s">
        <v>729</v>
      </c>
      <c r="RH27" s="3"/>
      <c r="RI27" s="3"/>
      <c r="RJ27" s="3"/>
      <c r="RK27" s="1"/>
      <c r="RM27" s="3"/>
      <c r="RN27" s="3"/>
      <c r="RO27" s="3"/>
      <c r="RP27" s="1"/>
      <c r="RQ27" s="1" t="s">
        <v>303</v>
      </c>
      <c r="RR27" s="3"/>
      <c r="RS27" s="3"/>
      <c r="RT27" s="3"/>
      <c r="RU27" s="1"/>
      <c r="RV27" s="1"/>
      <c r="RW27" s="3"/>
      <c r="RX27" s="3"/>
      <c r="RY27" s="3"/>
      <c r="RZ27" s="1"/>
      <c r="SG27" s="2" t="s">
        <v>729</v>
      </c>
      <c r="SH27" s="3"/>
      <c r="SI27" s="3"/>
      <c r="SJ27" s="3"/>
      <c r="SK27" s="1"/>
      <c r="SM27" s="3"/>
      <c r="SN27" s="3"/>
      <c r="SO27" s="3"/>
      <c r="SP27" s="1"/>
      <c r="SQ27" s="1" t="s">
        <v>303</v>
      </c>
      <c r="SR27" s="3"/>
      <c r="SS27" s="3"/>
      <c r="ST27" s="3"/>
      <c r="SU27" s="1"/>
      <c r="SV27" s="1"/>
      <c r="SW27" s="3"/>
      <c r="SX27" s="3"/>
      <c r="SY27" s="3"/>
      <c r="SZ27" s="1"/>
      <c r="TG27" s="2" t="s">
        <v>729</v>
      </c>
      <c r="TH27" s="3"/>
      <c r="TI27" s="3"/>
      <c r="TJ27" s="3"/>
      <c r="TK27" s="1"/>
      <c r="TM27" s="3"/>
      <c r="TN27" s="3"/>
      <c r="TO27" s="3"/>
      <c r="TP27" s="1"/>
      <c r="TQ27" s="1" t="s">
        <v>303</v>
      </c>
      <c r="TR27" s="3"/>
      <c r="TS27" s="3"/>
      <c r="TT27" s="3"/>
      <c r="TU27" s="1"/>
      <c r="TV27" s="1"/>
      <c r="TW27" s="3"/>
      <c r="TX27" s="3"/>
      <c r="TY27" s="3"/>
      <c r="TZ27" s="1"/>
      <c r="UG27" s="2" t="s">
        <v>729</v>
      </c>
      <c r="UH27" s="3"/>
      <c r="UI27" s="3"/>
      <c r="UJ27" s="3"/>
      <c r="UK27" s="1"/>
      <c r="UM27" s="3"/>
      <c r="UN27" s="3"/>
      <c r="UO27" s="3"/>
      <c r="UP27" s="1"/>
      <c r="UQ27" s="1" t="s">
        <v>303</v>
      </c>
      <c r="UR27" s="3"/>
      <c r="US27" s="3"/>
      <c r="UT27" s="3"/>
      <c r="UU27" s="1"/>
      <c r="UV27" s="1"/>
      <c r="UW27" s="3"/>
      <c r="UX27" s="3"/>
      <c r="UY27" s="3"/>
      <c r="UZ27" s="1"/>
      <c r="VG27" s="2" t="s">
        <v>729</v>
      </c>
      <c r="VH27" s="3"/>
      <c r="VI27" s="3"/>
      <c r="VJ27" s="3"/>
      <c r="VK27" s="1"/>
      <c r="VM27" s="3"/>
      <c r="VN27" s="3"/>
      <c r="VO27" s="3"/>
      <c r="VP27" s="1"/>
      <c r="VQ27" s="1" t="s">
        <v>303</v>
      </c>
      <c r="VR27" s="3"/>
      <c r="VS27" s="3"/>
      <c r="VT27" s="3"/>
      <c r="VU27" s="1"/>
      <c r="VW27" s="3"/>
      <c r="VX27" s="3"/>
      <c r="VY27" s="3"/>
      <c r="VZ27" s="1"/>
      <c r="WG27" s="2" t="s">
        <v>729</v>
      </c>
      <c r="WH27" s="3"/>
      <c r="WI27" s="3"/>
      <c r="WJ27" s="3"/>
      <c r="WK27" s="1"/>
      <c r="WM27" s="3"/>
      <c r="WN27" s="3"/>
      <c r="WO27" s="3"/>
      <c r="WP27" s="1"/>
      <c r="WQ27" s="1" t="s">
        <v>303</v>
      </c>
      <c r="WR27" s="3"/>
      <c r="WS27" s="3"/>
      <c r="WT27" s="3"/>
      <c r="WU27" s="1"/>
      <c r="WW27" s="3"/>
      <c r="WX27" s="3"/>
      <c r="WY27" s="3"/>
      <c r="WZ27" s="1"/>
      <c r="XG27" s="2" t="s">
        <v>729</v>
      </c>
      <c r="XH27" s="3"/>
      <c r="XI27" s="3"/>
      <c r="XJ27" s="3"/>
      <c r="XK27" s="1"/>
      <c r="XM27" s="3"/>
      <c r="XN27" s="3"/>
      <c r="XO27" s="3"/>
      <c r="XP27" s="1"/>
      <c r="XQ27" s="1" t="s">
        <v>303</v>
      </c>
      <c r="XR27" s="3"/>
      <c r="XS27" s="3"/>
      <c r="XT27" s="3"/>
      <c r="XU27" s="1"/>
      <c r="XV27" s="1"/>
      <c r="XW27" s="3"/>
      <c r="XX27" s="3"/>
      <c r="XY27" s="3"/>
      <c r="XZ27" s="1"/>
      <c r="YG27" s="2" t="s">
        <v>729</v>
      </c>
      <c r="YH27" s="3"/>
      <c r="YI27" s="3"/>
      <c r="YJ27" s="3"/>
      <c r="YK27" s="1"/>
      <c r="YM27" s="3"/>
      <c r="YN27" s="3"/>
      <c r="YO27" s="3"/>
      <c r="YP27" s="1"/>
      <c r="YQ27" s="1" t="s">
        <v>303</v>
      </c>
      <c r="YR27" s="3"/>
      <c r="YS27" s="3"/>
      <c r="YT27" s="3"/>
      <c r="YU27" s="1"/>
      <c r="YV27" s="1"/>
      <c r="YW27" s="3"/>
      <c r="YX27" s="3"/>
      <c r="YY27" s="3"/>
      <c r="YZ27" s="1"/>
      <c r="ZG27" s="2" t="s">
        <v>729</v>
      </c>
      <c r="ZH27" s="3"/>
      <c r="ZI27" s="3"/>
      <c r="ZJ27" s="3"/>
      <c r="ZK27" s="1"/>
      <c r="ZM27" s="3"/>
      <c r="ZN27" s="3"/>
      <c r="ZO27" s="3"/>
      <c r="ZP27" s="1"/>
      <c r="ZQ27" s="1" t="s">
        <v>303</v>
      </c>
      <c r="ZR27" s="3"/>
      <c r="ZS27" s="3"/>
      <c r="ZT27" s="3"/>
      <c r="ZU27" s="1"/>
      <c r="ZV27" s="1"/>
      <c r="ZW27" s="3"/>
      <c r="ZX27" s="3"/>
      <c r="ZY27" s="3"/>
      <c r="ZZ27" s="1"/>
      <c r="AAG27" s="2" t="s">
        <v>729</v>
      </c>
      <c r="AAH27" s="3"/>
      <c r="AAI27" s="3"/>
      <c r="AAJ27" s="3"/>
      <c r="AAK27" s="1"/>
      <c r="AAM27" s="3"/>
      <c r="AAN27" s="3"/>
      <c r="AAO27" s="3"/>
      <c r="AAP27" s="1"/>
      <c r="AAQ27" s="1" t="s">
        <v>303</v>
      </c>
      <c r="AAR27" s="3"/>
      <c r="AAS27" s="3"/>
      <c r="AAT27" s="3"/>
      <c r="AAU27" s="1"/>
      <c r="AAV27" s="1"/>
      <c r="AAW27" s="3"/>
      <c r="AAX27" s="3"/>
      <c r="AAY27" s="3"/>
      <c r="AAZ27" s="1"/>
      <c r="ABG27" s="2" t="s">
        <v>729</v>
      </c>
      <c r="ABH27" s="3"/>
      <c r="ABI27" s="3"/>
      <c r="ABJ27" s="3"/>
      <c r="ABK27" s="1"/>
      <c r="ABM27" s="3"/>
      <c r="ABN27" s="3"/>
      <c r="ABO27" s="3"/>
      <c r="ABP27" s="1"/>
      <c r="ABQ27" s="1" t="s">
        <v>303</v>
      </c>
      <c r="ABR27" s="3"/>
      <c r="ABS27" s="3"/>
      <c r="ABT27" s="3"/>
      <c r="ABU27" s="1"/>
      <c r="ABV27" s="1"/>
      <c r="ABW27" s="3"/>
      <c r="ABX27" s="3"/>
      <c r="ABY27" s="3"/>
      <c r="ABZ27" s="1"/>
      <c r="ACG27" s="1" t="s">
        <v>729</v>
      </c>
      <c r="ACH27" s="3"/>
      <c r="ACI27" s="3"/>
      <c r="ACJ27" s="3"/>
      <c r="ACK27" s="1"/>
      <c r="ACM27" s="3"/>
      <c r="ACN27" s="3"/>
      <c r="ACO27" s="3"/>
      <c r="ACP27" s="1"/>
      <c r="ACQ27" s="1" t="s">
        <v>303</v>
      </c>
      <c r="ACR27" s="3"/>
      <c r="ACS27" s="3"/>
      <c r="ACT27" s="3"/>
      <c r="ACU27" s="1"/>
      <c r="ACW27" s="3"/>
      <c r="ACX27" s="3"/>
      <c r="ACY27" s="3"/>
      <c r="ACZ27" s="1"/>
      <c r="ADG27" s="1" t="s">
        <v>729</v>
      </c>
      <c r="ADH27" s="3"/>
      <c r="ADI27" s="3"/>
      <c r="ADJ27" s="3"/>
      <c r="ADK27" s="1"/>
      <c r="ADM27" s="3"/>
      <c r="ADN27" s="3"/>
      <c r="ADO27" s="3"/>
      <c r="ADP27" s="1"/>
      <c r="ADQ27" s="1" t="s">
        <v>303</v>
      </c>
      <c r="ADR27" s="3"/>
      <c r="ADS27" s="3"/>
      <c r="ADT27" s="3"/>
      <c r="ADU27" s="1"/>
      <c r="ADV27" s="1"/>
      <c r="ADW27" s="3"/>
      <c r="ADX27" s="3"/>
      <c r="ADY27" s="3"/>
      <c r="ADZ27" s="1"/>
      <c r="AEG27" s="1" t="s">
        <v>729</v>
      </c>
      <c r="AEH27" s="3"/>
      <c r="AEI27" s="3"/>
      <c r="AEJ27" s="3"/>
      <c r="AEK27" s="1"/>
      <c r="AEM27" s="3"/>
      <c r="AEN27" s="3"/>
      <c r="AEO27" s="3"/>
      <c r="AEP27" s="1"/>
      <c r="AEQ27" s="1" t="s">
        <v>303</v>
      </c>
      <c r="AER27" s="3"/>
      <c r="AES27" s="3"/>
      <c r="AET27" s="3"/>
      <c r="AEV27" s="1"/>
      <c r="AEW27" s="3"/>
      <c r="AEX27" s="3"/>
      <c r="AEY27" s="3"/>
      <c r="AFG27" s="1" t="s">
        <v>729</v>
      </c>
      <c r="AFH27" s="3"/>
      <c r="AFI27" s="3"/>
      <c r="AFJ27" s="3"/>
      <c r="AFK27" s="1"/>
      <c r="AFM27" s="3"/>
      <c r="AFN27" s="3"/>
      <c r="AFO27" s="3"/>
      <c r="AFP27" s="1"/>
      <c r="AFQ27" s="1" t="s">
        <v>303</v>
      </c>
      <c r="AFR27" s="3"/>
      <c r="AFS27" s="3"/>
      <c r="AFT27" s="3"/>
      <c r="AFU27" s="1"/>
      <c r="AFV27" s="1"/>
      <c r="AFW27" s="3"/>
      <c r="AFX27" s="3"/>
      <c r="AFY27" s="3"/>
      <c r="AFZ27" s="1"/>
      <c r="AGG27" s="1" t="s">
        <v>729</v>
      </c>
      <c r="AGH27" s="3"/>
      <c r="AGI27" s="3"/>
      <c r="AGJ27" s="3"/>
      <c r="AGK27" s="1"/>
      <c r="AGM27" s="3"/>
      <c r="AGN27" s="3"/>
      <c r="AGO27" s="3"/>
      <c r="AGP27" s="1"/>
      <c r="AGQ27" s="1" t="s">
        <v>303</v>
      </c>
      <c r="AGR27" s="3"/>
      <c r="AGS27" s="3"/>
      <c r="AGT27" s="3"/>
      <c r="AGU27" s="1"/>
      <c r="AGV27" s="1"/>
      <c r="AGW27" s="3"/>
      <c r="AGX27" s="3"/>
      <c r="AGY27" s="3"/>
      <c r="AGZ27" s="1"/>
      <c r="AHG27" s="2" t="s">
        <v>729</v>
      </c>
      <c r="AHH27" s="3"/>
      <c r="AHI27" s="3"/>
      <c r="AHJ27" s="3"/>
      <c r="AHK27" s="1"/>
      <c r="AHM27" s="3"/>
      <c r="AHN27" s="3"/>
      <c r="AHO27" s="3"/>
      <c r="AHP27" s="1"/>
      <c r="AHQ27" s="1" t="s">
        <v>303</v>
      </c>
      <c r="AHR27" s="3"/>
      <c r="AHS27" s="3"/>
      <c r="AHT27" s="3"/>
      <c r="AHU27" s="1"/>
      <c r="AHW27" s="3"/>
      <c r="AHX27" s="3"/>
      <c r="AHY27" s="3"/>
      <c r="AHZ27" s="1"/>
      <c r="AIG27" s="2" t="s">
        <v>729</v>
      </c>
      <c r="AIH27" s="3"/>
      <c r="AII27" s="3"/>
      <c r="AIJ27" s="3"/>
      <c r="AIK27" s="1"/>
      <c r="AIM27" s="3"/>
      <c r="AIN27" s="3"/>
      <c r="AIO27" s="3"/>
      <c r="AIP27" s="1"/>
      <c r="AIQ27" s="1" t="s">
        <v>303</v>
      </c>
      <c r="AIR27" s="3"/>
      <c r="AIS27" s="3"/>
      <c r="AIT27" s="3"/>
      <c r="AIU27" s="1"/>
      <c r="AIW27" s="3"/>
      <c r="AIX27" s="3"/>
      <c r="AIY27" s="3"/>
      <c r="AIZ27" s="1"/>
      <c r="AJG27" s="2" t="s">
        <v>729</v>
      </c>
      <c r="AJH27" s="3"/>
      <c r="AJI27" s="3"/>
      <c r="AJJ27" s="3"/>
      <c r="AJK27" s="1"/>
      <c r="AJM27" s="3"/>
      <c r="AJN27" s="3"/>
      <c r="AJO27" s="3"/>
      <c r="AJP27" s="1"/>
      <c r="AJQ27" s="1" t="s">
        <v>303</v>
      </c>
      <c r="AJR27" s="3"/>
      <c r="AJS27" s="3"/>
      <c r="AJT27" s="3"/>
      <c r="AJU27" s="1"/>
      <c r="AJV27" s="1"/>
      <c r="AJW27" s="3"/>
      <c r="AJX27" s="3"/>
      <c r="AJY27" s="3"/>
      <c r="AJZ27" s="1"/>
      <c r="AKG27" s="2" t="s">
        <v>729</v>
      </c>
      <c r="AKH27" s="3"/>
      <c r="AKI27" s="3"/>
      <c r="AKJ27" s="3"/>
      <c r="AKK27" s="1"/>
      <c r="AKM27" s="3"/>
      <c r="AKN27" s="3"/>
      <c r="AKO27" s="3"/>
      <c r="AKP27" s="1"/>
      <c r="AKQ27" s="1" t="s">
        <v>303</v>
      </c>
      <c r="AKR27" s="3"/>
      <c r="AKS27" s="3"/>
      <c r="AKT27" s="3"/>
      <c r="AKU27" s="1"/>
      <c r="AKW27" s="3"/>
      <c r="AKX27" s="3"/>
      <c r="AKY27" s="3"/>
      <c r="AKZ27" s="1"/>
    </row>
    <row r="28" spans="1:988" ht="28.35" customHeight="1" x14ac:dyDescent="0.4">
      <c r="G28" s="1" t="s">
        <v>23</v>
      </c>
      <c r="H28" s="3"/>
      <c r="I28" s="3"/>
      <c r="J28" s="3"/>
      <c r="K28" s="1"/>
      <c r="L28" s="1"/>
      <c r="M28" s="3"/>
      <c r="N28" s="3"/>
      <c r="O28" s="3"/>
      <c r="P28" s="1"/>
      <c r="Q28" s="1" t="s">
        <v>288</v>
      </c>
      <c r="R28" s="3"/>
      <c r="S28" s="3"/>
      <c r="T28" s="3"/>
      <c r="U28" s="1"/>
      <c r="V28" s="1"/>
      <c r="W28" s="3"/>
      <c r="X28" s="3"/>
      <c r="Y28" s="3"/>
      <c r="Z28" s="1"/>
      <c r="AG28" s="1" t="s">
        <v>23</v>
      </c>
      <c r="AH28" s="3"/>
      <c r="AI28" s="3"/>
      <c r="AJ28" s="3"/>
      <c r="AK28" s="1"/>
      <c r="AL28" s="1"/>
      <c r="AM28" s="3"/>
      <c r="AN28" s="3"/>
      <c r="AO28" s="3"/>
      <c r="AP28" s="1"/>
      <c r="AQ28" s="1" t="s">
        <v>288</v>
      </c>
      <c r="AR28" s="3"/>
      <c r="AS28" s="3"/>
      <c r="AT28" s="3"/>
      <c r="AU28" s="1"/>
      <c r="AW28" s="3"/>
      <c r="AX28" s="3"/>
      <c r="AY28" s="3"/>
      <c r="AZ28" s="1"/>
      <c r="BG28" s="1" t="s">
        <v>23</v>
      </c>
      <c r="BH28" s="3"/>
      <c r="BI28" s="3"/>
      <c r="BJ28" s="3"/>
      <c r="BK28" s="1"/>
      <c r="BL28" s="1"/>
      <c r="BM28" s="3"/>
      <c r="BN28" s="3"/>
      <c r="BO28" s="3"/>
      <c r="BP28" s="1"/>
      <c r="BQ28" s="1" t="s">
        <v>288</v>
      </c>
      <c r="BR28" s="3"/>
      <c r="BS28" s="3"/>
      <c r="BT28" s="3"/>
      <c r="BU28" s="1"/>
      <c r="BW28" s="3"/>
      <c r="BX28" s="3"/>
      <c r="BY28" s="3"/>
      <c r="BZ28" s="1"/>
      <c r="CG28" s="1" t="s">
        <v>23</v>
      </c>
      <c r="CH28" s="3"/>
      <c r="CI28" s="3"/>
      <c r="CJ28" s="3"/>
      <c r="CK28" s="1"/>
      <c r="CL28" s="1"/>
      <c r="CM28" s="3"/>
      <c r="CN28" s="3"/>
      <c r="CO28" s="3"/>
      <c r="CP28" s="1"/>
      <c r="CQ28" s="1" t="s">
        <v>288</v>
      </c>
      <c r="CR28" s="3"/>
      <c r="CS28" s="3"/>
      <c r="CT28" s="3"/>
      <c r="CU28" s="1"/>
      <c r="CV28" s="1"/>
      <c r="CW28" s="3"/>
      <c r="CX28" s="3"/>
      <c r="CY28" s="3"/>
      <c r="CZ28" s="1"/>
      <c r="DG28" s="1" t="s">
        <v>23</v>
      </c>
      <c r="DH28" s="3"/>
      <c r="DI28" s="3"/>
      <c r="DJ28" s="3"/>
      <c r="DK28" s="1"/>
      <c r="DL28" s="1"/>
      <c r="DM28" s="3"/>
      <c r="DN28" s="3"/>
      <c r="DO28" s="3"/>
      <c r="DP28" s="1"/>
      <c r="DQ28" s="1" t="s">
        <v>288</v>
      </c>
      <c r="DR28" s="3"/>
      <c r="DS28" s="3"/>
      <c r="DT28" s="3"/>
      <c r="DU28" s="1"/>
      <c r="DV28" s="1"/>
      <c r="DW28" s="3"/>
      <c r="DX28" s="3"/>
      <c r="DY28" s="3"/>
      <c r="DZ28" s="1"/>
      <c r="EG28" s="1" t="s">
        <v>23</v>
      </c>
      <c r="EH28" s="3"/>
      <c r="EI28" s="3"/>
      <c r="EJ28" s="3"/>
      <c r="EK28" s="1"/>
      <c r="EL28" s="1"/>
      <c r="EM28" s="3"/>
      <c r="EN28" s="3"/>
      <c r="EO28" s="3"/>
      <c r="EP28" s="1"/>
      <c r="EQ28" s="1" t="s">
        <v>288</v>
      </c>
      <c r="ER28" s="3"/>
      <c r="ES28" s="3"/>
      <c r="ET28" s="3"/>
      <c r="EU28" s="1"/>
      <c r="EY28" s="3"/>
      <c r="EZ28" s="1"/>
      <c r="FG28" s="1" t="s">
        <v>23</v>
      </c>
      <c r="FH28" s="3"/>
      <c r="FI28" s="3"/>
      <c r="FJ28" s="3"/>
      <c r="FK28" s="1"/>
      <c r="FL28" s="1"/>
      <c r="FM28" s="3"/>
      <c r="FN28" s="3"/>
      <c r="FO28" s="3"/>
      <c r="FP28" s="1"/>
      <c r="FQ28" s="1" t="s">
        <v>288</v>
      </c>
      <c r="FR28" s="3"/>
      <c r="FS28" s="3"/>
      <c r="FT28" s="3"/>
      <c r="FU28" s="1"/>
      <c r="FV28" s="1"/>
      <c r="FW28" s="3"/>
      <c r="FX28" s="3"/>
      <c r="FY28" s="3"/>
      <c r="FZ28" s="1"/>
      <c r="GG28" s="1" t="s">
        <v>23</v>
      </c>
      <c r="GH28" s="3"/>
      <c r="GI28" s="3"/>
      <c r="GJ28" s="3"/>
      <c r="GK28" s="1"/>
      <c r="GL28" s="1"/>
      <c r="GM28" s="3"/>
      <c r="GN28" s="3"/>
      <c r="GO28" s="3"/>
      <c r="GP28" s="1"/>
      <c r="GQ28" s="1" t="s">
        <v>288</v>
      </c>
      <c r="GR28" s="3"/>
      <c r="GS28" s="3"/>
      <c r="GT28" s="3"/>
      <c r="GV28" s="1"/>
      <c r="GW28" s="3"/>
      <c r="GX28" s="3"/>
      <c r="GY28" s="3"/>
      <c r="GZ28" s="1"/>
      <c r="HG28" s="1" t="s">
        <v>23</v>
      </c>
      <c r="HH28" s="3"/>
      <c r="HI28" s="3"/>
      <c r="HJ28" s="3"/>
      <c r="HK28" s="1"/>
      <c r="HL28" s="1"/>
      <c r="HM28" s="3"/>
      <c r="HN28" s="3"/>
      <c r="HO28" s="3"/>
      <c r="HP28" s="1"/>
      <c r="HQ28" s="1" t="s">
        <v>288</v>
      </c>
      <c r="HR28" s="3"/>
      <c r="HS28" s="3"/>
      <c r="HT28" s="3"/>
      <c r="HU28" s="1"/>
      <c r="HV28" s="1"/>
      <c r="HW28" s="3"/>
      <c r="HX28" s="3"/>
      <c r="HY28" s="3"/>
      <c r="HZ28" s="1"/>
      <c r="IG28" s="1" t="s">
        <v>23</v>
      </c>
      <c r="IH28" s="3"/>
      <c r="II28" s="3"/>
      <c r="IJ28" s="3"/>
      <c r="IK28" s="1"/>
      <c r="IL28" s="1"/>
      <c r="IM28" s="3"/>
      <c r="IN28" s="3"/>
      <c r="IO28" s="3"/>
      <c r="IP28" s="1"/>
      <c r="IQ28" s="1" t="s">
        <v>288</v>
      </c>
      <c r="IR28" s="3"/>
      <c r="IS28" s="3"/>
      <c r="IT28" s="3"/>
      <c r="IU28" s="1"/>
      <c r="IV28" s="1"/>
      <c r="IW28" s="3"/>
      <c r="IX28" s="3"/>
      <c r="IY28" s="3"/>
      <c r="IZ28" s="1"/>
      <c r="JG28" s="1" t="s">
        <v>23</v>
      </c>
      <c r="JH28" s="3"/>
      <c r="JI28" s="3"/>
      <c r="JJ28" s="3"/>
      <c r="JK28" s="1"/>
      <c r="JL28" s="1"/>
      <c r="JM28" s="3"/>
      <c r="JN28" s="3"/>
      <c r="JO28" s="3"/>
      <c r="JP28" s="1"/>
      <c r="JQ28" s="1" t="s">
        <v>288</v>
      </c>
      <c r="JR28" s="3"/>
      <c r="JS28" s="3"/>
      <c r="JT28" s="3"/>
      <c r="JU28" s="1"/>
      <c r="JV28" s="1"/>
      <c r="JW28" s="3"/>
      <c r="JX28" s="3"/>
      <c r="JY28" s="3"/>
      <c r="JZ28" s="1"/>
      <c r="KG28" s="1" t="s">
        <v>23</v>
      </c>
      <c r="KH28" s="3"/>
      <c r="KI28" s="3"/>
      <c r="KJ28" s="3"/>
      <c r="KK28" s="1"/>
      <c r="KL28" s="1"/>
      <c r="KM28" s="3"/>
      <c r="KN28" s="3"/>
      <c r="KO28" s="3"/>
      <c r="KP28" s="1"/>
      <c r="KQ28" s="1" t="s">
        <v>288</v>
      </c>
      <c r="KR28" s="3"/>
      <c r="KS28" s="3"/>
      <c r="KT28" s="3"/>
      <c r="KU28" s="1"/>
      <c r="KV28" s="1"/>
      <c r="KW28" s="3"/>
      <c r="KX28" s="3"/>
      <c r="KY28" s="3"/>
      <c r="KZ28" s="1"/>
      <c r="LG28" s="1" t="s">
        <v>23</v>
      </c>
      <c r="LH28" s="3"/>
      <c r="LI28" s="3"/>
      <c r="LJ28" s="3"/>
      <c r="LK28" s="1"/>
      <c r="LL28" s="1"/>
      <c r="LM28" s="3"/>
      <c r="LN28" s="3"/>
      <c r="LO28" s="3"/>
      <c r="LP28" s="1"/>
      <c r="LQ28" s="1" t="s">
        <v>288</v>
      </c>
      <c r="LR28" s="3"/>
      <c r="LS28" s="3"/>
      <c r="LT28" s="3"/>
      <c r="LU28" s="1"/>
      <c r="LV28" s="1"/>
      <c r="LW28" s="3"/>
      <c r="LX28" s="3"/>
      <c r="LY28" s="3"/>
      <c r="LZ28" s="1"/>
      <c r="MG28" s="1" t="s">
        <v>23</v>
      </c>
      <c r="MH28" s="3"/>
      <c r="MI28" s="3"/>
      <c r="MJ28" s="3"/>
      <c r="MK28" s="1"/>
      <c r="ML28" s="1"/>
      <c r="MM28" s="3"/>
      <c r="MN28" s="3"/>
      <c r="MO28" s="3"/>
      <c r="MP28" s="1"/>
      <c r="MQ28" s="1" t="s">
        <v>288</v>
      </c>
      <c r="MR28" s="3"/>
      <c r="MS28" s="3"/>
      <c r="MT28" s="3"/>
      <c r="MU28" s="1"/>
      <c r="MV28" s="1"/>
      <c r="MW28" s="3"/>
      <c r="MX28" s="3"/>
      <c r="MY28" s="3"/>
      <c r="MZ28" s="1"/>
      <c r="NG28" s="1" t="s">
        <v>23</v>
      </c>
      <c r="NH28" s="3"/>
      <c r="NI28" s="3"/>
      <c r="NJ28" s="3"/>
      <c r="NK28" s="1"/>
      <c r="NL28" s="1"/>
      <c r="NM28" s="3"/>
      <c r="NN28" s="3"/>
      <c r="NO28" s="3"/>
      <c r="NP28" s="1"/>
      <c r="NQ28" s="1" t="s">
        <v>288</v>
      </c>
      <c r="NR28" s="3"/>
      <c r="NS28" s="3"/>
      <c r="NT28" s="3"/>
      <c r="NU28" s="1"/>
      <c r="NV28" s="1"/>
      <c r="NW28" s="3"/>
      <c r="NX28" s="3"/>
      <c r="NY28" s="3"/>
      <c r="NZ28" s="1"/>
      <c r="OG28" s="1" t="s">
        <v>23</v>
      </c>
      <c r="OH28" s="3"/>
      <c r="OI28" s="3"/>
      <c r="OJ28" s="3"/>
      <c r="OK28" s="1"/>
      <c r="OL28" s="1"/>
      <c r="OM28" s="3"/>
      <c r="ON28" s="3"/>
      <c r="OO28" s="3"/>
      <c r="OP28" s="1"/>
      <c r="OQ28" s="1" t="s">
        <v>288</v>
      </c>
      <c r="OR28" s="3"/>
      <c r="OS28" s="3"/>
      <c r="OT28" s="3"/>
      <c r="OU28" s="1"/>
      <c r="OV28" s="1"/>
      <c r="OW28" s="3"/>
      <c r="OX28" s="3"/>
      <c r="OY28" s="3"/>
      <c r="OZ28" s="1"/>
      <c r="PG28" s="1" t="s">
        <v>23</v>
      </c>
      <c r="PH28" s="3"/>
      <c r="PI28" s="3"/>
      <c r="PJ28" s="3"/>
      <c r="PK28" s="1"/>
      <c r="PL28" s="1"/>
      <c r="PM28" s="3"/>
      <c r="PN28" s="3"/>
      <c r="PO28" s="3"/>
      <c r="PP28" s="1"/>
      <c r="PQ28" s="1" t="s">
        <v>288</v>
      </c>
      <c r="PR28" s="3"/>
      <c r="PS28" s="3"/>
      <c r="PT28" s="3"/>
      <c r="PU28" s="1"/>
      <c r="PV28" s="1"/>
      <c r="PW28" s="3"/>
      <c r="PX28" s="3"/>
      <c r="PY28" s="3"/>
      <c r="PZ28" s="1"/>
      <c r="QG28" s="1" t="s">
        <v>23</v>
      </c>
      <c r="QH28" s="3"/>
      <c r="QI28" s="3"/>
      <c r="QJ28" s="3"/>
      <c r="QK28" s="1"/>
      <c r="QL28" s="1"/>
      <c r="QM28" s="3"/>
      <c r="QN28" s="3"/>
      <c r="QO28" s="3"/>
      <c r="QP28" s="1"/>
      <c r="QQ28" s="1" t="s">
        <v>288</v>
      </c>
      <c r="QR28" s="3"/>
      <c r="QS28" s="3"/>
      <c r="QT28" s="3"/>
      <c r="QU28" s="1"/>
      <c r="QV28" s="1"/>
      <c r="QW28" s="3"/>
      <c r="QX28" s="3"/>
      <c r="QY28" s="3"/>
      <c r="QZ28" s="1"/>
      <c r="RG28" s="1" t="s">
        <v>23</v>
      </c>
      <c r="RH28" s="3"/>
      <c r="RI28" s="3"/>
      <c r="RJ28" s="3"/>
      <c r="RK28" s="1"/>
      <c r="RL28" s="1"/>
      <c r="RM28" s="3"/>
      <c r="RN28" s="3"/>
      <c r="RO28" s="3"/>
      <c r="RP28" s="1"/>
      <c r="RQ28" s="1" t="s">
        <v>288</v>
      </c>
      <c r="RR28" s="3"/>
      <c r="RS28" s="3"/>
      <c r="RT28" s="3"/>
      <c r="RU28" s="1"/>
      <c r="RV28" s="1"/>
      <c r="RW28" s="3"/>
      <c r="RX28" s="3"/>
      <c r="RY28" s="3"/>
      <c r="RZ28" s="1"/>
      <c r="SG28" s="1" t="s">
        <v>23</v>
      </c>
      <c r="SH28" s="3"/>
      <c r="SI28" s="3"/>
      <c r="SJ28" s="3"/>
      <c r="SK28" s="1"/>
      <c r="SL28" s="1"/>
      <c r="SM28" s="3"/>
      <c r="SN28" s="3"/>
      <c r="SO28" s="3"/>
      <c r="SP28" s="1"/>
      <c r="SQ28" s="1" t="s">
        <v>288</v>
      </c>
      <c r="SR28" s="3"/>
      <c r="SS28" s="3"/>
      <c r="ST28" s="3"/>
      <c r="SU28" s="1"/>
      <c r="SV28" s="1"/>
      <c r="SW28" s="3"/>
      <c r="SX28" s="3"/>
      <c r="SY28" s="3"/>
      <c r="SZ28" s="1"/>
      <c r="TG28" s="1" t="s">
        <v>23</v>
      </c>
      <c r="TH28" s="3"/>
      <c r="TI28" s="3"/>
      <c r="TJ28" s="3"/>
      <c r="TK28" s="1"/>
      <c r="TL28" s="1"/>
      <c r="TM28" s="3"/>
      <c r="TN28" s="3"/>
      <c r="TO28" s="3"/>
      <c r="TP28" s="1"/>
      <c r="TQ28" s="1" t="s">
        <v>288</v>
      </c>
      <c r="TR28" s="3"/>
      <c r="TS28" s="3"/>
      <c r="TT28" s="3"/>
      <c r="TU28" s="1"/>
      <c r="TV28" s="1"/>
      <c r="TW28" s="3"/>
      <c r="TX28" s="3"/>
      <c r="TY28" s="3"/>
      <c r="TZ28" s="1"/>
      <c r="UG28" s="1" t="s">
        <v>23</v>
      </c>
      <c r="UH28" s="3"/>
      <c r="UI28" s="3"/>
      <c r="UJ28" s="3"/>
      <c r="UK28" s="1"/>
      <c r="UL28" s="1"/>
      <c r="UM28" s="3"/>
      <c r="UN28" s="3"/>
      <c r="UO28" s="3"/>
      <c r="UP28" s="1"/>
      <c r="UQ28" s="1"/>
      <c r="UR28" s="3"/>
      <c r="US28" s="3"/>
      <c r="UT28" s="3"/>
      <c r="UU28" s="1"/>
      <c r="UV28" s="1"/>
      <c r="UW28" s="3"/>
      <c r="UX28" s="3"/>
      <c r="UY28" s="3"/>
      <c r="UZ28" s="1"/>
      <c r="VG28" s="1" t="s">
        <v>23</v>
      </c>
      <c r="VH28" s="3"/>
      <c r="VI28" s="3"/>
      <c r="VJ28" s="3"/>
      <c r="VK28" s="1"/>
      <c r="VL28" s="1"/>
      <c r="VM28" s="3"/>
      <c r="VN28" s="3"/>
      <c r="VO28" s="3"/>
      <c r="VP28" s="1"/>
      <c r="VQ28" s="1"/>
      <c r="VR28" s="3"/>
      <c r="VS28" s="3"/>
      <c r="VT28" s="3"/>
      <c r="VU28" s="1"/>
      <c r="VV28" s="1"/>
      <c r="VW28" s="3"/>
      <c r="VX28" s="3"/>
      <c r="VY28" s="3"/>
      <c r="VZ28" s="1"/>
      <c r="WG28" s="1" t="s">
        <v>23</v>
      </c>
      <c r="WH28" s="3"/>
      <c r="WI28" s="3"/>
      <c r="WJ28" s="3"/>
      <c r="WK28" s="1"/>
      <c r="WL28" s="1"/>
      <c r="WM28" s="3"/>
      <c r="WN28" s="3"/>
      <c r="WO28" s="3"/>
      <c r="WP28" s="1"/>
      <c r="WQ28" s="1"/>
      <c r="WR28" s="3"/>
      <c r="WS28" s="3"/>
      <c r="WT28" s="3"/>
      <c r="WU28" s="1"/>
      <c r="WV28" s="1"/>
      <c r="WW28" s="3"/>
      <c r="WX28" s="3"/>
      <c r="WY28" s="3"/>
      <c r="WZ28" s="1"/>
      <c r="XG28" s="1" t="s">
        <v>23</v>
      </c>
      <c r="XH28" s="3"/>
      <c r="XI28" s="3"/>
      <c r="XJ28" s="3"/>
      <c r="XK28" s="1"/>
      <c r="XL28" s="1"/>
      <c r="XM28" s="3"/>
      <c r="XN28" s="3"/>
      <c r="XO28" s="3"/>
      <c r="XP28" s="1"/>
      <c r="XQ28" s="1"/>
      <c r="XR28" s="3"/>
      <c r="XS28" s="3"/>
      <c r="XT28" s="3"/>
      <c r="XU28" s="1"/>
      <c r="XV28" s="1"/>
      <c r="XW28" s="3"/>
      <c r="XX28" s="3"/>
      <c r="XY28" s="3"/>
      <c r="XZ28" s="1"/>
      <c r="YG28" s="1" t="s">
        <v>23</v>
      </c>
      <c r="YH28" s="3"/>
      <c r="YI28" s="3"/>
      <c r="YJ28" s="3"/>
      <c r="YK28" s="1"/>
      <c r="YL28" s="1"/>
      <c r="YM28" s="3"/>
      <c r="YN28" s="3"/>
      <c r="YO28" s="3"/>
      <c r="YP28" s="1"/>
      <c r="YQ28" s="1"/>
      <c r="YR28" s="3"/>
      <c r="YS28" s="3"/>
      <c r="YT28" s="3"/>
      <c r="YU28" s="1"/>
      <c r="YV28" s="1"/>
      <c r="YW28" s="3"/>
      <c r="YX28" s="3"/>
      <c r="YY28" s="3"/>
      <c r="YZ28" s="1"/>
      <c r="ZG28" s="1" t="s">
        <v>23</v>
      </c>
      <c r="ZH28" s="3"/>
      <c r="ZI28" s="3"/>
      <c r="ZJ28" s="3"/>
      <c r="ZK28" s="1"/>
      <c r="ZL28" s="1"/>
      <c r="ZM28" s="3"/>
      <c r="ZN28" s="3"/>
      <c r="ZO28" s="3"/>
      <c r="ZP28" s="1"/>
      <c r="ZQ28" s="1"/>
      <c r="ZR28" s="3"/>
      <c r="ZS28" s="3"/>
      <c r="ZT28" s="3"/>
      <c r="ZU28" s="1"/>
      <c r="ZV28" s="1"/>
      <c r="ZW28" s="3"/>
      <c r="ZX28" s="3"/>
      <c r="ZY28" s="3"/>
      <c r="ZZ28" s="1"/>
      <c r="AAG28" s="1" t="s">
        <v>23</v>
      </c>
      <c r="AAH28" s="3"/>
      <c r="AAI28" s="3"/>
      <c r="AAJ28" s="3"/>
      <c r="AAK28" s="1"/>
      <c r="AAL28" s="1"/>
      <c r="AAM28" s="3"/>
      <c r="AAN28" s="3"/>
      <c r="AAO28" s="3"/>
      <c r="AAP28" s="1"/>
      <c r="AAQ28" s="1"/>
      <c r="AAR28" s="3"/>
      <c r="AAS28" s="3"/>
      <c r="AAT28" s="3"/>
      <c r="AAU28" s="1"/>
      <c r="AAV28" s="1"/>
      <c r="AAW28" s="3"/>
      <c r="AAX28" s="3"/>
      <c r="AAY28" s="3"/>
      <c r="AAZ28" s="1"/>
      <c r="ABG28" s="1" t="s">
        <v>23</v>
      </c>
      <c r="ABH28" s="3"/>
      <c r="ABI28" s="3"/>
      <c r="ABJ28" s="3"/>
      <c r="ABK28" s="1"/>
      <c r="ABL28" s="1"/>
      <c r="ABM28" s="3"/>
      <c r="ABN28" s="3"/>
      <c r="ABO28" s="3"/>
      <c r="ABP28" s="1"/>
      <c r="ABQ28" s="1"/>
      <c r="ABR28" s="3"/>
      <c r="ABS28" s="3"/>
      <c r="ABT28" s="3"/>
      <c r="ABU28" s="1"/>
      <c r="ABV28" s="1"/>
      <c r="ABW28" s="3"/>
      <c r="ABX28" s="3"/>
      <c r="ABY28" s="3"/>
      <c r="ABZ28" s="1"/>
      <c r="ACG28" s="1" t="s">
        <v>23</v>
      </c>
      <c r="ACH28" s="3"/>
      <c r="ACI28" s="3"/>
      <c r="ACJ28" s="3"/>
      <c r="ACK28" s="1"/>
      <c r="ACL28" s="1"/>
      <c r="ACM28" s="3"/>
      <c r="ACN28" s="3"/>
      <c r="ACO28" s="3"/>
      <c r="ACP28" s="1"/>
      <c r="ACQ28" s="1"/>
      <c r="ACR28" s="3"/>
      <c r="ACS28" s="3"/>
      <c r="ACT28" s="3"/>
      <c r="ACU28" s="1"/>
      <c r="ACV28" s="1"/>
      <c r="ACW28" s="3"/>
      <c r="ACX28" s="3"/>
      <c r="ACY28" s="3"/>
      <c r="ACZ28" s="1"/>
      <c r="ADG28" s="1" t="s">
        <v>23</v>
      </c>
      <c r="ADH28" s="3"/>
      <c r="ADI28" s="3"/>
      <c r="ADJ28" s="3"/>
      <c r="ADK28" s="1"/>
      <c r="ADL28" s="1"/>
      <c r="ADM28" s="3"/>
      <c r="ADN28" s="3"/>
      <c r="ADO28" s="3"/>
      <c r="ADP28" s="1"/>
      <c r="ADQ28" s="1"/>
      <c r="ADR28" s="3"/>
      <c r="ADS28" s="3"/>
      <c r="ADT28" s="3"/>
      <c r="ADU28" s="1"/>
      <c r="ADV28" s="1"/>
      <c r="ADW28" s="3"/>
      <c r="ADX28" s="3"/>
      <c r="ADY28" s="3"/>
      <c r="ADZ28" s="1"/>
      <c r="AEG28" s="1" t="s">
        <v>23</v>
      </c>
      <c r="AEH28" s="3"/>
      <c r="AEI28" s="3"/>
      <c r="AEJ28" s="3"/>
      <c r="AEK28" s="1"/>
      <c r="AEL28" s="1"/>
      <c r="AEM28" s="3"/>
      <c r="AEN28" s="3"/>
      <c r="AEO28" s="3"/>
      <c r="AEP28" s="1"/>
      <c r="AEQ28" s="1"/>
      <c r="AER28" s="3"/>
      <c r="AES28" s="3"/>
      <c r="AET28" s="3"/>
      <c r="AEU28" s="1"/>
      <c r="AEV28" s="1"/>
      <c r="AEW28" s="3"/>
      <c r="AEX28" s="3"/>
      <c r="AEY28" s="3"/>
      <c r="AEZ28" s="1"/>
      <c r="AFG28" s="1" t="s">
        <v>23</v>
      </c>
      <c r="AFH28" s="3"/>
      <c r="AFI28" s="3"/>
      <c r="AFJ28" s="3"/>
      <c r="AFK28" s="1"/>
      <c r="AFL28" s="1"/>
      <c r="AFM28" s="3"/>
      <c r="AFN28" s="3"/>
      <c r="AFO28" s="3"/>
      <c r="AFP28" s="1"/>
      <c r="AFQ28" s="1"/>
      <c r="AFR28" s="3"/>
      <c r="AFS28" s="3"/>
      <c r="AFT28" s="3"/>
      <c r="AFU28" s="1"/>
      <c r="AFV28" s="1"/>
      <c r="AFW28" s="3"/>
      <c r="AFX28" s="3"/>
      <c r="AFY28" s="3"/>
      <c r="AFZ28" s="1"/>
      <c r="AGG28" s="1" t="s">
        <v>23</v>
      </c>
      <c r="AGH28" s="3"/>
      <c r="AGI28" s="3"/>
      <c r="AGJ28" s="3"/>
      <c r="AGK28" s="1"/>
      <c r="AGL28" s="1"/>
      <c r="AGM28" s="3"/>
      <c r="AGN28" s="3"/>
      <c r="AGO28" s="3"/>
      <c r="AGP28" s="1"/>
      <c r="AGQ28" s="1"/>
      <c r="AGR28" s="3"/>
      <c r="AGS28" s="3"/>
      <c r="AGT28" s="3"/>
      <c r="AGU28" s="1"/>
      <c r="AGV28" s="1"/>
      <c r="AGW28" s="3"/>
      <c r="AGX28" s="3"/>
      <c r="AGY28" s="3"/>
      <c r="AGZ28" s="1"/>
      <c r="AHG28" s="1" t="s">
        <v>23</v>
      </c>
      <c r="AHH28" s="3"/>
      <c r="AHI28" s="3"/>
      <c r="AHJ28" s="3"/>
      <c r="AHK28" s="1"/>
      <c r="AHL28" s="1"/>
      <c r="AHM28" s="3"/>
      <c r="AHN28" s="3"/>
      <c r="AHO28" s="3"/>
      <c r="AHP28" s="1"/>
      <c r="AHQ28" s="1"/>
      <c r="AHR28" s="3"/>
      <c r="AHS28" s="3"/>
      <c r="AHT28" s="3"/>
      <c r="AHU28" s="1"/>
      <c r="AHV28" s="1"/>
      <c r="AHW28" s="3"/>
      <c r="AHX28" s="3"/>
      <c r="AHY28" s="3"/>
      <c r="AHZ28" s="1"/>
      <c r="AIG28" s="1" t="s">
        <v>23</v>
      </c>
      <c r="AIH28" s="3"/>
      <c r="AII28" s="3"/>
      <c r="AIJ28" s="3"/>
      <c r="AIK28" s="1"/>
      <c r="AIL28" s="1"/>
      <c r="AIM28" s="3"/>
      <c r="AIN28" s="3"/>
      <c r="AIO28" s="3"/>
      <c r="AIP28" s="1"/>
      <c r="AIQ28" s="1"/>
      <c r="AIR28" s="3"/>
      <c r="AIS28" s="3"/>
      <c r="AIT28" s="3"/>
      <c r="AIU28" s="1"/>
      <c r="AIV28" s="1"/>
      <c r="AIW28" s="3"/>
      <c r="AIX28" s="3"/>
      <c r="AIY28" s="3"/>
      <c r="AIZ28" s="1"/>
      <c r="AJG28" s="1" t="s">
        <v>23</v>
      </c>
      <c r="AJH28" s="3"/>
      <c r="AJI28" s="3"/>
      <c r="AJJ28" s="3"/>
      <c r="AJK28" s="1"/>
      <c r="AJL28" s="1"/>
      <c r="AJM28" s="3"/>
      <c r="AJN28" s="3"/>
      <c r="AJO28" s="3"/>
      <c r="AJP28" s="1"/>
      <c r="AJQ28" s="1"/>
      <c r="AJR28" s="3"/>
      <c r="AJS28" s="3"/>
      <c r="AJT28" s="3"/>
      <c r="AJU28" s="1"/>
      <c r="AJV28" s="1"/>
      <c r="AJW28" s="3"/>
      <c r="AJX28" s="3"/>
      <c r="AJY28" s="3"/>
      <c r="AJZ28" s="1"/>
      <c r="AKG28" s="1" t="s">
        <v>23</v>
      </c>
      <c r="AKH28" s="3"/>
      <c r="AKI28" s="3"/>
      <c r="AKJ28" s="3"/>
      <c r="AKK28" s="1"/>
      <c r="AKL28" s="1"/>
      <c r="AKM28" s="3"/>
      <c r="AKN28" s="3"/>
      <c r="AKO28" s="3"/>
      <c r="AKP28" s="1"/>
      <c r="AKQ28" s="1"/>
      <c r="AKR28" s="3"/>
      <c r="AKS28" s="3"/>
      <c r="AKT28" s="3"/>
      <c r="AKU28" s="1"/>
      <c r="AKV28" s="1"/>
      <c r="AKW28" s="3"/>
      <c r="AKX28" s="3"/>
      <c r="AKY28" s="3"/>
      <c r="AKZ28" s="1"/>
    </row>
    <row r="29" spans="1:988" ht="28.35" customHeight="1" x14ac:dyDescent="0.4">
      <c r="G29" s="1" t="s">
        <v>24</v>
      </c>
      <c r="H29" s="3"/>
      <c r="I29" s="3"/>
      <c r="J29" s="3"/>
      <c r="K29" s="1"/>
      <c r="L29" s="1"/>
      <c r="M29" s="3"/>
      <c r="N29" s="3"/>
      <c r="O29" s="3"/>
      <c r="P29" s="1"/>
      <c r="Q29" s="1" t="s">
        <v>289</v>
      </c>
      <c r="R29" s="3"/>
      <c r="S29" s="3"/>
      <c r="T29" s="3"/>
      <c r="U29" s="1"/>
      <c r="V29" s="1"/>
      <c r="W29" s="3"/>
      <c r="X29" s="3"/>
      <c r="Y29" s="3"/>
      <c r="Z29" s="1"/>
      <c r="AG29" s="1" t="s">
        <v>24</v>
      </c>
      <c r="AH29" s="3"/>
      <c r="AI29" s="3"/>
      <c r="AJ29" s="3"/>
      <c r="AK29" s="1"/>
      <c r="AL29" s="1"/>
      <c r="AM29" s="3"/>
      <c r="AN29" s="3"/>
      <c r="AO29" s="3"/>
      <c r="AP29" s="1"/>
      <c r="AQ29" s="1" t="s">
        <v>289</v>
      </c>
      <c r="AR29" s="3"/>
      <c r="AS29" s="3"/>
      <c r="AT29" s="3"/>
      <c r="AU29" s="1"/>
      <c r="AW29" s="3"/>
      <c r="AX29" s="3"/>
      <c r="AY29" s="3"/>
      <c r="AZ29" s="1"/>
      <c r="BG29" s="1" t="s">
        <v>24</v>
      </c>
      <c r="BH29" s="3"/>
      <c r="BI29" s="3"/>
      <c r="BJ29" s="3"/>
      <c r="BK29" s="1"/>
      <c r="BL29" s="1"/>
      <c r="BM29" s="3"/>
      <c r="BN29" s="3"/>
      <c r="BO29" s="3"/>
      <c r="BP29" s="1"/>
      <c r="BQ29" s="1" t="s">
        <v>289</v>
      </c>
      <c r="BR29" s="3"/>
      <c r="BS29" s="3"/>
      <c r="BT29" s="3"/>
      <c r="BU29" s="1"/>
      <c r="BW29" s="3"/>
      <c r="BX29" s="3"/>
      <c r="BY29" s="3"/>
      <c r="BZ29" s="1"/>
      <c r="CG29" s="1" t="s">
        <v>24</v>
      </c>
      <c r="CH29" s="3"/>
      <c r="CI29" s="3"/>
      <c r="CJ29" s="3"/>
      <c r="CK29" s="1"/>
      <c r="CL29" s="1"/>
      <c r="CM29" s="3"/>
      <c r="CN29" s="3"/>
      <c r="CO29" s="3"/>
      <c r="CP29" s="1"/>
      <c r="CQ29" s="1" t="s">
        <v>289</v>
      </c>
      <c r="CR29" s="3"/>
      <c r="CS29" s="3"/>
      <c r="CT29" s="3"/>
      <c r="CU29" s="1"/>
      <c r="CV29" s="1"/>
      <c r="CW29" s="3"/>
      <c r="CX29" s="3"/>
      <c r="CY29" s="3"/>
      <c r="CZ29" s="1"/>
      <c r="DG29" s="1" t="s">
        <v>24</v>
      </c>
      <c r="DH29" s="3"/>
      <c r="DI29" s="3"/>
      <c r="DJ29" s="3"/>
      <c r="DK29" s="1"/>
      <c r="DL29" s="1"/>
      <c r="DM29" s="3"/>
      <c r="DN29" s="3"/>
      <c r="DO29" s="3"/>
      <c r="DP29" s="1"/>
      <c r="DQ29" s="1" t="s">
        <v>289</v>
      </c>
      <c r="DR29" s="3"/>
      <c r="DS29" s="3"/>
      <c r="DT29" s="3"/>
      <c r="DU29" s="1"/>
      <c r="DV29" s="1"/>
      <c r="DW29" s="3"/>
      <c r="DX29" s="3"/>
      <c r="DY29" s="3"/>
      <c r="DZ29" s="1"/>
      <c r="EG29" s="1" t="s">
        <v>24</v>
      </c>
      <c r="EH29" s="3"/>
      <c r="EI29" s="3"/>
      <c r="EJ29" s="3"/>
      <c r="EK29" s="1"/>
      <c r="EL29" s="1"/>
      <c r="EM29" s="3"/>
      <c r="EN29" s="3"/>
      <c r="EO29" s="3"/>
      <c r="EP29" s="1"/>
      <c r="EQ29" s="1" t="s">
        <v>289</v>
      </c>
      <c r="ER29" s="3"/>
      <c r="ES29" s="3"/>
      <c r="ET29" s="3"/>
      <c r="EU29" s="1"/>
      <c r="EY29" s="3"/>
      <c r="EZ29" s="1"/>
      <c r="FG29" s="1" t="s">
        <v>24</v>
      </c>
      <c r="FH29" s="3"/>
      <c r="FI29" s="3"/>
      <c r="FJ29" s="3"/>
      <c r="FK29" s="1"/>
      <c r="FL29" s="1"/>
      <c r="FM29" s="3"/>
      <c r="FN29" s="3"/>
      <c r="FO29" s="3"/>
      <c r="FP29" s="1"/>
      <c r="FQ29" s="1" t="s">
        <v>289</v>
      </c>
      <c r="FR29" s="3"/>
      <c r="FS29" s="3"/>
      <c r="FT29" s="3"/>
      <c r="FU29" s="1"/>
      <c r="FV29" s="1"/>
      <c r="FW29" s="3"/>
      <c r="FX29" s="3"/>
      <c r="FY29" s="3"/>
      <c r="FZ29" s="1"/>
      <c r="GG29" s="1" t="s">
        <v>24</v>
      </c>
      <c r="GH29" s="3"/>
      <c r="GI29" s="3"/>
      <c r="GJ29" s="3"/>
      <c r="GK29" s="1"/>
      <c r="GL29" s="1"/>
      <c r="GM29" s="3"/>
      <c r="GN29" s="3"/>
      <c r="GO29" s="3"/>
      <c r="GP29" s="1"/>
      <c r="GQ29" s="1" t="s">
        <v>289</v>
      </c>
      <c r="GR29" s="3"/>
      <c r="GS29" s="3"/>
      <c r="GT29" s="3"/>
      <c r="GV29" s="1"/>
      <c r="GW29" s="3"/>
      <c r="GX29" s="3"/>
      <c r="GY29" s="3"/>
      <c r="GZ29" s="1"/>
      <c r="HG29" s="1" t="s">
        <v>24</v>
      </c>
      <c r="HH29" s="3"/>
      <c r="HI29" s="3"/>
      <c r="HJ29" s="3"/>
      <c r="HK29" s="1"/>
      <c r="HL29" s="1"/>
      <c r="HM29" s="3"/>
      <c r="HN29" s="3"/>
      <c r="HO29" s="3"/>
      <c r="HP29" s="1"/>
      <c r="HQ29" s="1" t="s">
        <v>289</v>
      </c>
      <c r="HR29" s="3"/>
      <c r="HS29" s="3"/>
      <c r="HT29" s="3"/>
      <c r="HU29" s="1"/>
      <c r="HV29" s="1"/>
      <c r="HW29" s="3"/>
      <c r="HX29" s="3"/>
      <c r="HY29" s="3"/>
      <c r="HZ29" s="1"/>
      <c r="IG29" s="1" t="s">
        <v>24</v>
      </c>
      <c r="IH29" s="3"/>
      <c r="II29" s="3"/>
      <c r="IJ29" s="3"/>
      <c r="IK29" s="1"/>
      <c r="IL29" s="1"/>
      <c r="IM29" s="3"/>
      <c r="IN29" s="3"/>
      <c r="IO29" s="3"/>
      <c r="IP29" s="1"/>
      <c r="IQ29" s="1" t="s">
        <v>289</v>
      </c>
      <c r="IR29" s="3"/>
      <c r="IS29" s="3"/>
      <c r="IT29" s="3"/>
      <c r="IU29" s="1"/>
      <c r="IV29" s="1"/>
      <c r="IW29" s="3"/>
      <c r="IX29" s="3"/>
      <c r="IY29" s="3"/>
      <c r="IZ29" s="1"/>
      <c r="JG29" s="1" t="s">
        <v>24</v>
      </c>
      <c r="JH29" s="3"/>
      <c r="JI29" s="3"/>
      <c r="JJ29" s="3"/>
      <c r="JK29" s="1"/>
      <c r="JL29" s="1"/>
      <c r="JM29" s="3"/>
      <c r="JN29" s="3"/>
      <c r="JO29" s="3"/>
      <c r="JP29" s="1"/>
      <c r="JQ29" s="1" t="s">
        <v>289</v>
      </c>
      <c r="JR29" s="3"/>
      <c r="JS29" s="3"/>
      <c r="JT29" s="3"/>
      <c r="JU29" s="1"/>
      <c r="JV29" s="1"/>
      <c r="JW29" s="3"/>
      <c r="JX29" s="3"/>
      <c r="JY29" s="3"/>
      <c r="JZ29" s="1"/>
      <c r="KG29" s="1" t="s">
        <v>24</v>
      </c>
      <c r="KH29" s="3"/>
      <c r="KI29" s="3"/>
      <c r="KJ29" s="3"/>
      <c r="KK29" s="1"/>
      <c r="KL29" s="1"/>
      <c r="KM29" s="3"/>
      <c r="KN29" s="3"/>
      <c r="KO29" s="3"/>
      <c r="KP29" s="1"/>
      <c r="KQ29" s="1" t="s">
        <v>289</v>
      </c>
      <c r="KR29" s="3"/>
      <c r="KS29" s="3"/>
      <c r="KT29" s="3"/>
      <c r="KU29" s="1"/>
      <c r="KV29" s="1"/>
      <c r="KW29" s="3"/>
      <c r="KX29" s="3"/>
      <c r="KY29" s="3"/>
      <c r="KZ29" s="1"/>
      <c r="LG29" s="1" t="s">
        <v>24</v>
      </c>
      <c r="LH29" s="3"/>
      <c r="LI29" s="3"/>
      <c r="LJ29" s="3"/>
      <c r="LK29" s="1"/>
      <c r="LL29" s="1"/>
      <c r="LM29" s="3"/>
      <c r="LN29" s="3"/>
      <c r="LO29" s="3"/>
      <c r="LP29" s="1"/>
      <c r="LQ29" s="1" t="s">
        <v>289</v>
      </c>
      <c r="LR29" s="3"/>
      <c r="LS29" s="3"/>
      <c r="LT29" s="3"/>
      <c r="LU29" s="1"/>
      <c r="LV29" s="1"/>
      <c r="LW29" s="3"/>
      <c r="LX29" s="3"/>
      <c r="LY29" s="3"/>
      <c r="LZ29" s="1"/>
      <c r="MG29" s="1" t="s">
        <v>24</v>
      </c>
      <c r="MH29" s="3"/>
      <c r="MI29" s="3"/>
      <c r="MJ29" s="3"/>
      <c r="MK29" s="1"/>
      <c r="ML29" s="1"/>
      <c r="MM29" s="3"/>
      <c r="MN29" s="3"/>
      <c r="MO29" s="3"/>
      <c r="MP29" s="1"/>
      <c r="MQ29" s="1" t="s">
        <v>289</v>
      </c>
      <c r="MR29" s="3"/>
      <c r="MS29" s="3"/>
      <c r="MT29" s="3"/>
      <c r="MU29" s="1"/>
      <c r="MV29" s="1"/>
      <c r="MW29" s="3"/>
      <c r="MX29" s="3"/>
      <c r="MY29" s="3"/>
      <c r="MZ29" s="1"/>
      <c r="NG29" s="1" t="s">
        <v>24</v>
      </c>
      <c r="NH29" s="3"/>
      <c r="NI29" s="3"/>
      <c r="NJ29" s="3"/>
      <c r="NK29" s="1"/>
      <c r="NL29" s="1"/>
      <c r="NM29" s="3"/>
      <c r="NN29" s="3"/>
      <c r="NO29" s="3"/>
      <c r="NP29" s="1"/>
      <c r="NQ29" s="1" t="s">
        <v>289</v>
      </c>
      <c r="NR29" s="3"/>
      <c r="NS29" s="3"/>
      <c r="NT29" s="3"/>
      <c r="NU29" s="1"/>
      <c r="NV29" s="1"/>
      <c r="NW29" s="3"/>
      <c r="NX29" s="3"/>
      <c r="NY29" s="3"/>
      <c r="NZ29" s="1"/>
      <c r="OG29" s="1" t="s">
        <v>24</v>
      </c>
      <c r="OH29" s="3"/>
      <c r="OI29" s="3"/>
      <c r="OJ29" s="3"/>
      <c r="OK29" s="1"/>
      <c r="OL29" s="1"/>
      <c r="OM29" s="3"/>
      <c r="ON29" s="3"/>
      <c r="OO29" s="3"/>
      <c r="OP29" s="1"/>
      <c r="OQ29" s="1" t="s">
        <v>289</v>
      </c>
      <c r="OR29" s="3"/>
      <c r="OS29" s="3"/>
      <c r="OT29" s="3"/>
      <c r="OU29" s="1"/>
      <c r="OV29" s="1"/>
      <c r="OW29" s="3"/>
      <c r="OX29" s="3"/>
      <c r="OY29" s="3"/>
      <c r="OZ29" s="1"/>
      <c r="PG29" s="1" t="s">
        <v>24</v>
      </c>
      <c r="PH29" s="3"/>
      <c r="PI29" s="3"/>
      <c r="PJ29" s="3"/>
      <c r="PK29" s="1"/>
      <c r="PL29" s="1"/>
      <c r="PM29" s="3"/>
      <c r="PN29" s="3"/>
      <c r="PO29" s="3"/>
      <c r="PP29" s="1"/>
      <c r="PQ29" s="1" t="s">
        <v>289</v>
      </c>
      <c r="PR29" s="3"/>
      <c r="PS29" s="3"/>
      <c r="PT29" s="3"/>
      <c r="PU29" s="1"/>
      <c r="PV29" s="1"/>
      <c r="PW29" s="3"/>
      <c r="PX29" s="3"/>
      <c r="PY29" s="3"/>
      <c r="PZ29" s="1"/>
      <c r="QG29" s="1" t="s">
        <v>24</v>
      </c>
      <c r="QH29" s="3"/>
      <c r="QI29" s="3"/>
      <c r="QJ29" s="3"/>
      <c r="QK29" s="1"/>
      <c r="QL29" s="1"/>
      <c r="QM29" s="3"/>
      <c r="QN29" s="3"/>
      <c r="QO29" s="3"/>
      <c r="QP29" s="1"/>
      <c r="QQ29" s="1" t="s">
        <v>289</v>
      </c>
      <c r="QR29" s="3"/>
      <c r="QS29" s="3"/>
      <c r="QT29" s="3"/>
      <c r="QU29" s="1"/>
      <c r="QV29" s="1"/>
      <c r="QW29" s="3"/>
      <c r="QX29" s="3"/>
      <c r="QY29" s="3"/>
      <c r="QZ29" s="1"/>
      <c r="RG29" s="1" t="s">
        <v>24</v>
      </c>
      <c r="RH29" s="3"/>
      <c r="RI29" s="3"/>
      <c r="RJ29" s="3"/>
      <c r="RK29" s="1"/>
      <c r="RL29" s="1"/>
      <c r="RM29" s="3"/>
      <c r="RN29" s="3"/>
      <c r="RO29" s="3"/>
      <c r="RP29" s="1"/>
      <c r="RQ29" s="1" t="s">
        <v>289</v>
      </c>
      <c r="RR29" s="3"/>
      <c r="RS29" s="3"/>
      <c r="RT29" s="3"/>
      <c r="RU29" s="1"/>
      <c r="RV29" s="1"/>
      <c r="RW29" s="3"/>
      <c r="RX29" s="3"/>
      <c r="RY29" s="3"/>
      <c r="RZ29" s="1"/>
      <c r="SG29" s="1" t="s">
        <v>24</v>
      </c>
      <c r="SH29" s="3"/>
      <c r="SI29" s="3"/>
      <c r="SJ29" s="3"/>
      <c r="SK29" s="1"/>
      <c r="SL29" s="1"/>
      <c r="SM29" s="3"/>
      <c r="SN29" s="3"/>
      <c r="SO29" s="3"/>
      <c r="SP29" s="1"/>
      <c r="SQ29" s="1" t="s">
        <v>289</v>
      </c>
      <c r="SR29" s="3"/>
      <c r="SS29" s="3"/>
      <c r="ST29" s="3"/>
      <c r="SU29" s="1"/>
      <c r="SV29" s="1"/>
      <c r="SW29" s="3"/>
      <c r="SX29" s="3"/>
      <c r="SY29" s="3"/>
      <c r="SZ29" s="1"/>
      <c r="TG29" s="1" t="s">
        <v>24</v>
      </c>
      <c r="TH29" s="3"/>
      <c r="TI29" s="3"/>
      <c r="TJ29" s="3"/>
      <c r="TK29" s="1"/>
      <c r="TL29" s="1"/>
      <c r="TM29" s="3"/>
      <c r="TN29" s="3"/>
      <c r="TO29" s="3"/>
      <c r="TP29" s="1"/>
      <c r="TQ29" s="1" t="s">
        <v>289</v>
      </c>
      <c r="TR29" s="3"/>
      <c r="TS29" s="3"/>
      <c r="TT29" s="3"/>
      <c r="TU29" s="1"/>
      <c r="TV29" s="1"/>
      <c r="TW29" s="3"/>
      <c r="TX29" s="3"/>
      <c r="TY29" s="3"/>
      <c r="TZ29" s="1"/>
      <c r="UG29" s="1" t="s">
        <v>24</v>
      </c>
      <c r="UH29" s="3"/>
      <c r="UI29" s="3"/>
      <c r="UJ29" s="3"/>
      <c r="UK29" s="1"/>
      <c r="UL29" s="1"/>
      <c r="UM29" s="3"/>
      <c r="UN29" s="3"/>
      <c r="UO29" s="3"/>
      <c r="UP29" s="1"/>
      <c r="UQ29" s="1"/>
      <c r="UR29" s="3"/>
      <c r="US29" s="3"/>
      <c r="UT29" s="3"/>
      <c r="UU29" s="1"/>
      <c r="UV29" s="1"/>
      <c r="UW29" s="3"/>
      <c r="UX29" s="3"/>
      <c r="UY29" s="3"/>
      <c r="UZ29" s="1"/>
      <c r="VG29" s="1" t="s">
        <v>24</v>
      </c>
      <c r="VH29" s="3"/>
      <c r="VI29" s="3"/>
      <c r="VJ29" s="3"/>
      <c r="VK29" s="1"/>
      <c r="VL29" s="1"/>
      <c r="VM29" s="3"/>
      <c r="VN29" s="3"/>
      <c r="VO29" s="3"/>
      <c r="VP29" s="1"/>
      <c r="VQ29" s="1"/>
      <c r="VR29" s="3"/>
      <c r="VS29" s="3"/>
      <c r="VT29" s="3"/>
      <c r="VU29" s="1"/>
      <c r="VV29" s="1"/>
      <c r="VW29" s="3"/>
      <c r="VX29" s="3"/>
      <c r="VY29" s="3"/>
      <c r="VZ29" s="1"/>
      <c r="WG29" s="1" t="s">
        <v>24</v>
      </c>
      <c r="WH29" s="3"/>
      <c r="WI29" s="3"/>
      <c r="WJ29" s="3"/>
      <c r="WK29" s="1"/>
      <c r="WL29" s="1"/>
      <c r="WM29" s="3"/>
      <c r="WN29" s="3"/>
      <c r="WO29" s="3"/>
      <c r="WP29" s="1"/>
      <c r="WQ29" s="1"/>
      <c r="WR29" s="3"/>
      <c r="WS29" s="3"/>
      <c r="WT29" s="3"/>
      <c r="WU29" s="1"/>
      <c r="WV29" s="1"/>
      <c r="WW29" s="3"/>
      <c r="WX29" s="3"/>
      <c r="WY29" s="3"/>
      <c r="WZ29" s="1"/>
      <c r="XG29" s="1" t="s">
        <v>24</v>
      </c>
      <c r="XH29" s="3"/>
      <c r="XI29" s="3"/>
      <c r="XJ29" s="3"/>
      <c r="XK29" s="1"/>
      <c r="XL29" s="1"/>
      <c r="XM29" s="3"/>
      <c r="XN29" s="3"/>
      <c r="XO29" s="3"/>
      <c r="XP29" s="1"/>
      <c r="XQ29" s="1"/>
      <c r="XR29" s="3"/>
      <c r="XS29" s="3"/>
      <c r="XT29" s="3"/>
      <c r="XU29" s="1"/>
      <c r="XV29" s="1"/>
      <c r="XW29" s="3"/>
      <c r="XX29" s="3"/>
      <c r="XY29" s="3"/>
      <c r="XZ29" s="1"/>
      <c r="YG29" s="1" t="s">
        <v>24</v>
      </c>
      <c r="YH29" s="3"/>
      <c r="YI29" s="3"/>
      <c r="YJ29" s="3"/>
      <c r="YK29" s="1"/>
      <c r="YL29" s="1"/>
      <c r="YM29" s="3"/>
      <c r="YN29" s="3"/>
      <c r="YO29" s="3"/>
      <c r="YP29" s="1"/>
      <c r="YQ29" s="1"/>
      <c r="YR29" s="3"/>
      <c r="YS29" s="3"/>
      <c r="YT29" s="3"/>
      <c r="YU29" s="1"/>
      <c r="YV29" s="1"/>
      <c r="YW29" s="3"/>
      <c r="YX29" s="3"/>
      <c r="YY29" s="3"/>
      <c r="YZ29" s="1"/>
      <c r="ZG29" s="1" t="s">
        <v>24</v>
      </c>
      <c r="ZH29" s="3"/>
      <c r="ZI29" s="3"/>
      <c r="ZJ29" s="3"/>
      <c r="ZK29" s="1"/>
      <c r="ZL29" s="1"/>
      <c r="ZM29" s="3"/>
      <c r="ZN29" s="3"/>
      <c r="ZO29" s="3"/>
      <c r="ZP29" s="1"/>
      <c r="ZQ29" s="1"/>
      <c r="ZR29" s="3"/>
      <c r="ZS29" s="3"/>
      <c r="ZT29" s="3"/>
      <c r="ZU29" s="1"/>
      <c r="ZV29" s="1"/>
      <c r="ZW29" s="3"/>
      <c r="ZX29" s="3"/>
      <c r="ZY29" s="3"/>
      <c r="ZZ29" s="1"/>
      <c r="AAG29" s="1" t="s">
        <v>24</v>
      </c>
      <c r="AAH29" s="3"/>
      <c r="AAI29" s="3"/>
      <c r="AAJ29" s="3"/>
      <c r="AAK29" s="1"/>
      <c r="AAL29" s="1"/>
      <c r="AAM29" s="3"/>
      <c r="AAN29" s="3"/>
      <c r="AAO29" s="3"/>
      <c r="AAP29" s="1"/>
      <c r="AAQ29" s="1"/>
      <c r="AAR29" s="3"/>
      <c r="AAS29" s="3"/>
      <c r="AAT29" s="3"/>
      <c r="AAU29" s="1"/>
      <c r="AAV29" s="1"/>
      <c r="AAW29" s="3"/>
      <c r="AAX29" s="3"/>
      <c r="AAY29" s="3"/>
      <c r="AAZ29" s="1"/>
      <c r="ABG29" s="1" t="s">
        <v>24</v>
      </c>
      <c r="ABH29" s="3"/>
      <c r="ABI29" s="3"/>
      <c r="ABJ29" s="3"/>
      <c r="ABK29" s="1"/>
      <c r="ABL29" s="1"/>
      <c r="ABM29" s="3"/>
      <c r="ABN29" s="3"/>
      <c r="ABO29" s="3"/>
      <c r="ABP29" s="1"/>
      <c r="ABQ29" s="1"/>
      <c r="ABR29" s="3"/>
      <c r="ABS29" s="3"/>
      <c r="ABT29" s="3"/>
      <c r="ABU29" s="1"/>
      <c r="ABV29" s="1"/>
      <c r="ABW29" s="3"/>
      <c r="ABX29" s="3"/>
      <c r="ABY29" s="3"/>
      <c r="ABZ29" s="1"/>
      <c r="ACG29" s="1" t="s">
        <v>24</v>
      </c>
      <c r="ACH29" s="3"/>
      <c r="ACI29" s="3"/>
      <c r="ACJ29" s="3"/>
      <c r="ACK29" s="1"/>
      <c r="ACL29" s="1"/>
      <c r="ACM29" s="3"/>
      <c r="ACN29" s="3"/>
      <c r="ACO29" s="3"/>
      <c r="ACP29" s="1"/>
      <c r="ACQ29" s="1"/>
      <c r="ACR29" s="3"/>
      <c r="ACS29" s="3"/>
      <c r="ACT29" s="3"/>
      <c r="ACU29" s="1"/>
      <c r="ACV29" s="1"/>
      <c r="ACW29" s="3"/>
      <c r="ACX29" s="3"/>
      <c r="ACY29" s="3"/>
      <c r="ACZ29" s="1"/>
      <c r="ADG29" s="1" t="s">
        <v>24</v>
      </c>
      <c r="ADH29" s="3"/>
      <c r="ADI29" s="3"/>
      <c r="ADJ29" s="3"/>
      <c r="ADK29" s="1"/>
      <c r="ADL29" s="1"/>
      <c r="ADM29" s="3"/>
      <c r="ADN29" s="3"/>
      <c r="ADO29" s="3"/>
      <c r="ADP29" s="1"/>
      <c r="ADQ29" s="1"/>
      <c r="ADR29" s="3"/>
      <c r="ADS29" s="3"/>
      <c r="ADT29" s="3"/>
      <c r="ADU29" s="1"/>
      <c r="ADV29" s="1"/>
      <c r="ADW29" s="3"/>
      <c r="ADX29" s="3"/>
      <c r="ADY29" s="3"/>
      <c r="ADZ29" s="1"/>
      <c r="AEG29" s="1" t="s">
        <v>24</v>
      </c>
      <c r="AEH29" s="3"/>
      <c r="AEI29" s="3"/>
      <c r="AEJ29" s="3"/>
      <c r="AEK29" s="1"/>
      <c r="AEL29" s="1"/>
      <c r="AEM29" s="3"/>
      <c r="AEN29" s="3"/>
      <c r="AEO29" s="3"/>
      <c r="AEP29" s="1"/>
      <c r="AEQ29" s="1"/>
      <c r="AER29" s="3"/>
      <c r="AES29" s="3"/>
      <c r="AET29" s="3"/>
      <c r="AEU29" s="1"/>
      <c r="AEV29" s="1"/>
      <c r="AEW29" s="3"/>
      <c r="AEX29" s="3"/>
      <c r="AEY29" s="3"/>
      <c r="AEZ29" s="1"/>
      <c r="AFG29" s="1" t="s">
        <v>24</v>
      </c>
      <c r="AFH29" s="3"/>
      <c r="AFI29" s="3"/>
      <c r="AFJ29" s="3"/>
      <c r="AFK29" s="1"/>
      <c r="AFL29" s="1"/>
      <c r="AFM29" s="3"/>
      <c r="AFN29" s="3"/>
      <c r="AFO29" s="3"/>
      <c r="AFP29" s="1"/>
      <c r="AFQ29" s="1"/>
      <c r="AFR29" s="3"/>
      <c r="AFS29" s="3"/>
      <c r="AFT29" s="3"/>
      <c r="AFU29" s="1"/>
      <c r="AFV29" s="1"/>
      <c r="AFW29" s="3"/>
      <c r="AFX29" s="3"/>
      <c r="AFY29" s="3"/>
      <c r="AFZ29" s="1"/>
      <c r="AGG29" s="1" t="s">
        <v>24</v>
      </c>
      <c r="AGH29" s="3"/>
      <c r="AGI29" s="3"/>
      <c r="AGJ29" s="3"/>
      <c r="AGK29" s="1"/>
      <c r="AGL29" s="1"/>
      <c r="AGM29" s="3"/>
      <c r="AGN29" s="3"/>
      <c r="AGO29" s="3"/>
      <c r="AGP29" s="1"/>
      <c r="AGQ29" s="1"/>
      <c r="AGR29" s="3"/>
      <c r="AGS29" s="3"/>
      <c r="AGT29" s="3"/>
      <c r="AGU29" s="1"/>
      <c r="AGV29" s="1"/>
      <c r="AGW29" s="3"/>
      <c r="AGX29" s="3"/>
      <c r="AGY29" s="3"/>
      <c r="AGZ29" s="1"/>
      <c r="AHG29" s="1" t="s">
        <v>24</v>
      </c>
      <c r="AHH29" s="3"/>
      <c r="AHI29" s="3"/>
      <c r="AHJ29" s="3"/>
      <c r="AHK29" s="1"/>
      <c r="AHL29" s="1"/>
      <c r="AHM29" s="3"/>
      <c r="AHN29" s="3"/>
      <c r="AHO29" s="3"/>
      <c r="AHP29" s="1"/>
      <c r="AHQ29" s="1"/>
      <c r="AHR29" s="3"/>
      <c r="AHS29" s="3"/>
      <c r="AHT29" s="3"/>
      <c r="AHU29" s="1"/>
      <c r="AHV29" s="1"/>
      <c r="AHW29" s="3"/>
      <c r="AHX29" s="3"/>
      <c r="AHY29" s="3"/>
      <c r="AHZ29" s="1"/>
      <c r="AIG29" s="1" t="s">
        <v>24</v>
      </c>
      <c r="AIH29" s="3"/>
      <c r="AII29" s="3"/>
      <c r="AIJ29" s="3"/>
      <c r="AIK29" s="1"/>
      <c r="AIL29" s="1"/>
      <c r="AIM29" s="3"/>
      <c r="AIN29" s="3"/>
      <c r="AIO29" s="3"/>
      <c r="AIP29" s="1"/>
      <c r="AIQ29" s="1"/>
      <c r="AIR29" s="3"/>
      <c r="AIS29" s="3"/>
      <c r="AIT29" s="3"/>
      <c r="AIU29" s="1"/>
      <c r="AIV29" s="1"/>
      <c r="AIW29" s="3"/>
      <c r="AIX29" s="3"/>
      <c r="AIY29" s="3"/>
      <c r="AIZ29" s="1"/>
      <c r="AJG29" s="1" t="s">
        <v>24</v>
      </c>
      <c r="AJH29" s="3"/>
      <c r="AJI29" s="3"/>
      <c r="AJJ29" s="3"/>
      <c r="AJK29" s="1"/>
      <c r="AJL29" s="1"/>
      <c r="AJM29" s="3"/>
      <c r="AJN29" s="3"/>
      <c r="AJO29" s="3"/>
      <c r="AJP29" s="1"/>
      <c r="AJQ29" s="1"/>
      <c r="AJR29" s="3"/>
      <c r="AJS29" s="3"/>
      <c r="AJT29" s="3"/>
      <c r="AJU29" s="1"/>
      <c r="AJV29" s="1"/>
      <c r="AJW29" s="3"/>
      <c r="AJX29" s="3"/>
      <c r="AJY29" s="3"/>
      <c r="AJZ29" s="1"/>
      <c r="AKG29" s="1" t="s">
        <v>24</v>
      </c>
      <c r="AKH29" s="3"/>
      <c r="AKI29" s="3"/>
      <c r="AKJ29" s="3"/>
      <c r="AKK29" s="1"/>
      <c r="AKL29" s="1"/>
      <c r="AKM29" s="3"/>
      <c r="AKN29" s="3"/>
      <c r="AKO29" s="3"/>
      <c r="AKP29" s="1"/>
      <c r="AKQ29" s="1"/>
      <c r="AKR29" s="3"/>
      <c r="AKS29" s="3"/>
      <c r="AKT29" s="3"/>
      <c r="AKU29" s="1"/>
      <c r="AKV29" s="1"/>
      <c r="AKW29" s="3"/>
      <c r="AKX29" s="3"/>
      <c r="AKY29" s="3"/>
      <c r="AKZ29" s="1"/>
    </row>
    <row r="30" spans="1:988" ht="28.35" customHeight="1" x14ac:dyDescent="0.4">
      <c r="G30" s="1" t="s">
        <v>25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G30" s="1" t="s">
        <v>25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W30" s="3"/>
      <c r="AX30" s="3"/>
      <c r="AY30" s="3"/>
      <c r="AZ30" s="3"/>
      <c r="BG30" s="1" t="s">
        <v>25</v>
      </c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W30" s="3"/>
      <c r="BX30" s="3"/>
      <c r="BY30" s="3"/>
      <c r="BZ30" s="3"/>
      <c r="CG30" s="1" t="s">
        <v>25</v>
      </c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G30" s="1" t="s">
        <v>25</v>
      </c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G30" s="1" t="s">
        <v>25</v>
      </c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Y30" s="3"/>
      <c r="EZ30" s="3"/>
      <c r="FG30" s="1" t="s">
        <v>25</v>
      </c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G30" s="1" t="s">
        <v>25</v>
      </c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V30" s="3"/>
      <c r="GW30" s="3"/>
      <c r="GX30" s="3"/>
      <c r="GY30" s="3"/>
      <c r="GZ30" s="3"/>
      <c r="HG30" s="1" t="s">
        <v>25</v>
      </c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G30" s="1" t="s">
        <v>25</v>
      </c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G30" s="1" t="s">
        <v>25</v>
      </c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G30" s="1" t="s">
        <v>25</v>
      </c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G30" s="1" t="s">
        <v>25</v>
      </c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G30" s="1" t="s">
        <v>25</v>
      </c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G30" s="1" t="s">
        <v>25</v>
      </c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G30" s="1" t="s">
        <v>25</v>
      </c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G30" s="1" t="s">
        <v>25</v>
      </c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G30" s="1" t="s">
        <v>25</v>
      </c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G30" s="1" t="s">
        <v>25</v>
      </c>
      <c r="RH30" s="3"/>
      <c r="RI30" s="3"/>
      <c r="RJ30" s="3"/>
      <c r="RK30" s="3"/>
      <c r="RL30" s="1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G30" s="1" t="s">
        <v>25</v>
      </c>
      <c r="SH30" s="3"/>
      <c r="SI30" s="3"/>
      <c r="SJ30" s="3"/>
      <c r="SK30" s="3"/>
      <c r="SL30" s="1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G30" s="1" t="s">
        <v>25</v>
      </c>
      <c r="TH30" s="3"/>
      <c r="TI30" s="3"/>
      <c r="TJ30" s="3"/>
      <c r="TK30" s="3"/>
      <c r="TL30" s="1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G30" s="1" t="s">
        <v>25</v>
      </c>
      <c r="UH30" s="3"/>
      <c r="UI30" s="3"/>
      <c r="UJ30" s="3"/>
      <c r="UK30" s="3"/>
      <c r="UL30" s="1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G30" s="1" t="s">
        <v>25</v>
      </c>
      <c r="VH30" s="3"/>
      <c r="VI30" s="3"/>
      <c r="VJ30" s="3"/>
      <c r="VK30" s="3"/>
      <c r="VL30" s="1"/>
      <c r="VM30" s="3"/>
      <c r="VN30" s="3"/>
      <c r="VO30" s="3"/>
      <c r="VP30" s="3"/>
      <c r="VQ30" s="1"/>
      <c r="VR30" s="3"/>
      <c r="VS30" s="3"/>
      <c r="VT30" s="3"/>
      <c r="VU30" s="3"/>
      <c r="VV30" s="1"/>
      <c r="VW30" s="3"/>
      <c r="VX30" s="3"/>
      <c r="VY30" s="3"/>
      <c r="VZ30" s="3"/>
      <c r="WG30" s="1" t="s">
        <v>25</v>
      </c>
      <c r="WH30" s="3"/>
      <c r="WI30" s="3"/>
      <c r="WJ30" s="3"/>
      <c r="WK30" s="3"/>
      <c r="WL30" s="1"/>
      <c r="WM30" s="3"/>
      <c r="WN30" s="3"/>
      <c r="WO30" s="3"/>
      <c r="WP30" s="3"/>
      <c r="WQ30" s="1"/>
      <c r="WR30" s="3"/>
      <c r="WS30" s="3"/>
      <c r="WT30" s="3"/>
      <c r="WU30" s="3"/>
      <c r="WV30" s="1"/>
      <c r="WW30" s="3"/>
      <c r="WX30" s="3"/>
      <c r="WY30" s="3"/>
      <c r="WZ30" s="3"/>
      <c r="XG30" s="1" t="s">
        <v>25</v>
      </c>
      <c r="XH30" s="3"/>
      <c r="XI30" s="3"/>
      <c r="XJ30" s="3"/>
      <c r="XK30" s="3"/>
      <c r="XL30" s="1"/>
      <c r="XM30" s="3"/>
      <c r="XN30" s="3"/>
      <c r="XO30" s="3"/>
      <c r="XP30" s="3"/>
      <c r="XQ30" s="1"/>
      <c r="XR30" s="3"/>
      <c r="XS30" s="3"/>
      <c r="XT30" s="3"/>
      <c r="XU30" s="1"/>
      <c r="XV30" s="1"/>
      <c r="XW30" s="3"/>
      <c r="XX30" s="3"/>
      <c r="XY30" s="3"/>
      <c r="XZ30" s="1"/>
      <c r="YG30" s="1" t="s">
        <v>25</v>
      </c>
      <c r="YH30" s="3"/>
      <c r="YI30" s="3"/>
      <c r="YJ30" s="3"/>
      <c r="YK30" s="3"/>
      <c r="YL30" s="1"/>
      <c r="YM30" s="3"/>
      <c r="YN30" s="3"/>
      <c r="YO30" s="3"/>
      <c r="YP30" s="3"/>
      <c r="YQ30" s="1"/>
      <c r="YR30" s="3"/>
      <c r="YS30" s="3"/>
      <c r="YT30" s="3"/>
      <c r="YU30" s="1"/>
      <c r="YV30" s="1"/>
      <c r="YW30" s="3"/>
      <c r="YX30" s="3"/>
      <c r="YY30" s="3"/>
      <c r="YZ30" s="1"/>
      <c r="ZG30" s="1" t="s">
        <v>25</v>
      </c>
      <c r="ZH30" s="3"/>
      <c r="ZI30" s="3"/>
      <c r="ZJ30" s="3"/>
      <c r="ZK30" s="3"/>
      <c r="ZL30" s="1"/>
      <c r="ZM30" s="3"/>
      <c r="ZN30" s="3"/>
      <c r="ZO30" s="3"/>
      <c r="ZP30" s="3"/>
      <c r="ZQ30" s="1"/>
      <c r="ZR30" s="3"/>
      <c r="ZS30" s="3"/>
      <c r="ZT30" s="3"/>
      <c r="ZU30" s="1"/>
      <c r="ZV30" s="1"/>
      <c r="ZW30" s="3"/>
      <c r="ZX30" s="3"/>
      <c r="ZY30" s="3"/>
      <c r="ZZ30" s="1"/>
      <c r="AAG30" s="1" t="s">
        <v>25</v>
      </c>
      <c r="AAH30" s="3"/>
      <c r="AAI30" s="3"/>
      <c r="AAJ30" s="3"/>
      <c r="AAK30" s="3"/>
      <c r="AAL30" s="1"/>
      <c r="AAM30" s="3"/>
      <c r="AAN30" s="3"/>
      <c r="AAO30" s="3"/>
      <c r="AAP30" s="3"/>
      <c r="AAQ30" s="1"/>
      <c r="AAR30" s="3"/>
      <c r="AAS30" s="3"/>
      <c r="AAT30" s="3"/>
      <c r="AAU30" s="1"/>
      <c r="AAV30" s="1"/>
      <c r="AAW30" s="3"/>
      <c r="AAX30" s="3"/>
      <c r="AAY30" s="3"/>
      <c r="AAZ30" s="1"/>
      <c r="ABG30" s="1" t="s">
        <v>25</v>
      </c>
      <c r="ABH30" s="3"/>
      <c r="ABI30" s="3"/>
      <c r="ABJ30" s="3"/>
      <c r="ABK30" s="3"/>
      <c r="ABL30" s="1"/>
      <c r="ABM30" s="3"/>
      <c r="ABN30" s="3"/>
      <c r="ABO30" s="3"/>
      <c r="ABP30" s="3"/>
      <c r="ABQ30" s="1"/>
      <c r="ABR30" s="3"/>
      <c r="ABS30" s="3"/>
      <c r="ABT30" s="3"/>
      <c r="ABU30" s="3"/>
      <c r="ABV30" s="1"/>
      <c r="ABW30" s="3"/>
      <c r="ABX30" s="3"/>
      <c r="ABY30" s="3"/>
      <c r="ABZ30" s="1"/>
      <c r="ACG30" s="1" t="s">
        <v>25</v>
      </c>
      <c r="ACH30" s="3"/>
      <c r="ACI30" s="3"/>
      <c r="ACJ30" s="3"/>
      <c r="ACK30" s="3"/>
      <c r="ACL30" s="1"/>
      <c r="ACM30" s="3"/>
      <c r="ACN30" s="3"/>
      <c r="ACO30" s="3"/>
      <c r="ACP30" s="3"/>
      <c r="ACQ30" s="1"/>
      <c r="ACR30" s="3"/>
      <c r="ACS30" s="3"/>
      <c r="ACT30" s="3"/>
      <c r="ACU30" s="1"/>
      <c r="ACV30" s="1"/>
      <c r="ACW30" s="3"/>
      <c r="ACX30" s="3"/>
      <c r="ACY30" s="3"/>
      <c r="ACZ30" s="3"/>
      <c r="ADG30" s="1" t="s">
        <v>25</v>
      </c>
      <c r="ADH30" s="3"/>
      <c r="ADI30" s="3"/>
      <c r="ADJ30" s="3"/>
      <c r="ADK30" s="3"/>
      <c r="ADL30" s="1"/>
      <c r="ADM30" s="3"/>
      <c r="ADN30" s="3"/>
      <c r="ADO30" s="3"/>
      <c r="ADP30" s="3"/>
      <c r="ADQ30" s="1"/>
      <c r="ADR30" s="3"/>
      <c r="ADS30" s="3"/>
      <c r="ADT30" s="3"/>
      <c r="ADU30" s="3"/>
      <c r="ADV30" s="1"/>
      <c r="ADW30" s="3"/>
      <c r="ADX30" s="3"/>
      <c r="ADY30" s="3"/>
      <c r="ADZ30" s="1"/>
      <c r="AEG30" s="1" t="s">
        <v>25</v>
      </c>
      <c r="AEH30" s="3"/>
      <c r="AEI30" s="3"/>
      <c r="AEJ30" s="3"/>
      <c r="AEK30" s="3"/>
      <c r="AEL30" s="1"/>
      <c r="AEM30" s="3"/>
      <c r="AEN30" s="3"/>
      <c r="AEO30" s="3"/>
      <c r="AEP30" s="3"/>
      <c r="AEQ30" s="1"/>
      <c r="AER30" s="3"/>
      <c r="AES30" s="3"/>
      <c r="AET30" s="3"/>
      <c r="AEU30" s="3"/>
      <c r="AEV30" s="1"/>
      <c r="AEW30" s="3"/>
      <c r="AEX30" s="3"/>
      <c r="AEY30" s="3"/>
      <c r="AEZ30" s="3"/>
      <c r="AFG30" s="1" t="s">
        <v>25</v>
      </c>
      <c r="AFH30" s="3"/>
      <c r="AFI30" s="3"/>
      <c r="AFJ30" s="3"/>
      <c r="AFK30" s="3"/>
      <c r="AFL30" s="1"/>
      <c r="AFM30" s="3"/>
      <c r="AFN30" s="3"/>
      <c r="AFO30" s="3"/>
      <c r="AFP30" s="3"/>
      <c r="AFQ30" s="1"/>
      <c r="AFR30" s="3"/>
      <c r="AFS30" s="3"/>
      <c r="AFT30" s="3"/>
      <c r="AFU30" s="3"/>
      <c r="AFV30" s="1"/>
      <c r="AFW30" s="3"/>
      <c r="AFX30" s="3"/>
      <c r="AFY30" s="3"/>
      <c r="AFZ30" s="3"/>
      <c r="AGG30" s="1" t="s">
        <v>25</v>
      </c>
      <c r="AGH30" s="3"/>
      <c r="AGI30" s="3"/>
      <c r="AGJ30" s="3"/>
      <c r="AGK30" s="3"/>
      <c r="AGL30" s="1"/>
      <c r="AGM30" s="3"/>
      <c r="AGN30" s="3"/>
      <c r="AGO30" s="3"/>
      <c r="AGP30" s="3"/>
      <c r="AGQ30" s="1"/>
      <c r="AGR30" s="3"/>
      <c r="AGS30" s="3"/>
      <c r="AGT30" s="3"/>
      <c r="AGU30" s="3"/>
      <c r="AGV30" s="1"/>
      <c r="AGW30" s="3"/>
      <c r="AGX30" s="3"/>
      <c r="AGY30" s="3"/>
      <c r="AGZ30" s="3"/>
      <c r="AHG30" s="1" t="s">
        <v>25</v>
      </c>
      <c r="AHH30" s="3"/>
      <c r="AHI30" s="3"/>
      <c r="AHJ30" s="3"/>
      <c r="AHK30" s="3"/>
      <c r="AHL30" s="1"/>
      <c r="AHM30" s="3"/>
      <c r="AHN30" s="3"/>
      <c r="AHO30" s="3"/>
      <c r="AHP30" s="3"/>
      <c r="AHQ30" s="1"/>
      <c r="AHR30" s="3"/>
      <c r="AHS30" s="3"/>
      <c r="AHT30" s="3"/>
      <c r="AHU30" s="3"/>
      <c r="AHV30" s="1"/>
      <c r="AHW30" s="3"/>
      <c r="AHX30" s="3"/>
      <c r="AHY30" s="3"/>
      <c r="AHZ30" s="3"/>
      <c r="AIG30" s="1" t="s">
        <v>25</v>
      </c>
      <c r="AIH30" s="3"/>
      <c r="AII30" s="3"/>
      <c r="AIJ30" s="3"/>
      <c r="AIK30" s="3"/>
      <c r="AIL30" s="1"/>
      <c r="AIM30" s="3"/>
      <c r="AIN30" s="3"/>
      <c r="AIO30" s="3"/>
      <c r="AIP30" s="3"/>
      <c r="AIQ30" s="1"/>
      <c r="AIR30" s="3"/>
      <c r="AIS30" s="3"/>
      <c r="AIT30" s="3"/>
      <c r="AIU30" s="3"/>
      <c r="AIV30" s="1"/>
      <c r="AIW30" s="3"/>
      <c r="AIX30" s="3"/>
      <c r="AIY30" s="3"/>
      <c r="AIZ30" s="3"/>
      <c r="AJG30" s="1" t="s">
        <v>25</v>
      </c>
      <c r="AJH30" s="3"/>
      <c r="AJI30" s="3"/>
      <c r="AJJ30" s="3"/>
      <c r="AJK30" s="3"/>
      <c r="AJL30" s="1"/>
      <c r="AJM30" s="3"/>
      <c r="AJN30" s="3"/>
      <c r="AJO30" s="3"/>
      <c r="AJP30" s="3"/>
      <c r="AJQ30" s="1"/>
      <c r="AJR30" s="3"/>
      <c r="AJS30" s="3"/>
      <c r="AJT30" s="3"/>
      <c r="AJU30" s="3"/>
      <c r="AJV30" s="1"/>
      <c r="AJW30" s="3"/>
      <c r="AJX30" s="3"/>
      <c r="AJY30" s="3"/>
      <c r="AJZ30" s="3"/>
      <c r="AKG30" s="1" t="s">
        <v>25</v>
      </c>
      <c r="AKH30" s="3"/>
      <c r="AKI30" s="3"/>
      <c r="AKJ30" s="3"/>
      <c r="AKK30" s="3"/>
      <c r="AKL30" s="1"/>
      <c r="AKM30" s="3"/>
      <c r="AKN30" s="3"/>
      <c r="AKO30" s="3"/>
      <c r="AKP30" s="3"/>
      <c r="AKQ30" s="1"/>
      <c r="AKR30" s="3"/>
      <c r="AKS30" s="3"/>
      <c r="AKT30" s="3"/>
      <c r="AKU30" s="3"/>
      <c r="AKV30" s="1"/>
      <c r="AKW30" s="3"/>
      <c r="AKX30" s="3"/>
      <c r="AKY30" s="3"/>
      <c r="AKZ30" s="3"/>
    </row>
    <row r="31" spans="1:988" ht="28.35" customHeight="1" x14ac:dyDescent="0.4">
      <c r="G31" s="1" t="s">
        <v>26</v>
      </c>
      <c r="H31" s="3"/>
      <c r="I31" s="3"/>
      <c r="J31" s="3"/>
      <c r="L31" s="3"/>
      <c r="M31" s="3"/>
      <c r="N31" s="3"/>
      <c r="O31" s="3"/>
      <c r="Q31" s="2" t="s">
        <v>744</v>
      </c>
      <c r="R31" s="3"/>
      <c r="S31" s="3"/>
      <c r="T31" s="3"/>
      <c r="W31" s="3"/>
      <c r="X31" s="3"/>
      <c r="Y31" s="3"/>
      <c r="AG31" s="1" t="s">
        <v>26</v>
      </c>
      <c r="AH31" s="3"/>
      <c r="AI31" s="3"/>
      <c r="AJ31" s="3"/>
      <c r="AL31" s="3"/>
      <c r="AM31" s="3"/>
      <c r="AN31" s="3"/>
      <c r="AO31" s="3"/>
      <c r="AQ31" s="2" t="s">
        <v>795</v>
      </c>
      <c r="AR31" s="3"/>
      <c r="AS31" s="3"/>
      <c r="AT31" s="3"/>
      <c r="AW31" s="3"/>
      <c r="AX31" s="3"/>
      <c r="AY31" s="3"/>
      <c r="BG31" s="1" t="s">
        <v>26</v>
      </c>
      <c r="BH31" s="3"/>
      <c r="BI31" s="3"/>
      <c r="BJ31" s="3"/>
      <c r="BL31" s="3"/>
      <c r="BM31" s="3"/>
      <c r="BN31" s="3"/>
      <c r="BO31" s="3"/>
      <c r="BQ31" s="2" t="s">
        <v>795</v>
      </c>
      <c r="BR31" s="3"/>
      <c r="BS31" s="3"/>
      <c r="BT31" s="3"/>
      <c r="BW31" s="3"/>
      <c r="BX31" s="3"/>
      <c r="BY31" s="3"/>
      <c r="CG31" s="1" t="s">
        <v>26</v>
      </c>
      <c r="CH31" s="3"/>
      <c r="CI31" s="3"/>
      <c r="CJ31" s="3"/>
      <c r="CL31" s="3"/>
      <c r="CM31" s="3"/>
      <c r="CN31" s="3"/>
      <c r="CO31" s="3"/>
      <c r="CQ31" s="2" t="s">
        <v>795</v>
      </c>
      <c r="CR31" s="3"/>
      <c r="CS31" s="3"/>
      <c r="CT31" s="3"/>
      <c r="CW31" s="3"/>
      <c r="CX31" s="3"/>
      <c r="CY31" s="3"/>
      <c r="DG31" s="1" t="s">
        <v>26</v>
      </c>
      <c r="DH31" s="3"/>
      <c r="DI31" s="3"/>
      <c r="DJ31" s="3"/>
      <c r="DL31" s="3"/>
      <c r="DM31" s="3"/>
      <c r="DN31" s="3"/>
      <c r="DO31" s="3"/>
      <c r="DQ31" s="2" t="s">
        <v>794</v>
      </c>
      <c r="DR31" s="3"/>
      <c r="DS31" s="3"/>
      <c r="DT31" s="3"/>
      <c r="DW31" s="3"/>
      <c r="DX31" s="3"/>
      <c r="DY31" s="3"/>
      <c r="EG31" s="1" t="s">
        <v>26</v>
      </c>
      <c r="EH31" s="3"/>
      <c r="EI31" s="3"/>
      <c r="EJ31" s="3"/>
      <c r="EL31" s="3"/>
      <c r="EM31" s="3"/>
      <c r="EN31" s="3"/>
      <c r="EO31" s="3"/>
      <c r="EQ31" s="2" t="s">
        <v>794</v>
      </c>
      <c r="ER31" s="3"/>
      <c r="ES31" s="3"/>
      <c r="ET31" s="3"/>
      <c r="EY31" s="3"/>
      <c r="FG31" s="1" t="s">
        <v>26</v>
      </c>
      <c r="FH31" s="3"/>
      <c r="FI31" s="3"/>
      <c r="FJ31" s="3"/>
      <c r="FL31" s="3"/>
      <c r="FM31" s="3"/>
      <c r="FN31" s="3"/>
      <c r="FO31" s="3"/>
      <c r="FQ31" s="2" t="s">
        <v>794</v>
      </c>
      <c r="FR31" s="3"/>
      <c r="FS31" s="3"/>
      <c r="FT31" s="3"/>
      <c r="FW31" s="3"/>
      <c r="FX31" s="3"/>
      <c r="FY31" s="3"/>
      <c r="GG31" s="1" t="s">
        <v>26</v>
      </c>
      <c r="GH31" s="3"/>
      <c r="GI31" s="3"/>
      <c r="GJ31" s="3"/>
      <c r="GL31" s="3"/>
      <c r="GM31" s="3"/>
      <c r="GN31" s="3"/>
      <c r="GO31" s="3"/>
      <c r="GQ31" s="2" t="s">
        <v>794</v>
      </c>
      <c r="GR31" s="3"/>
      <c r="GS31" s="3"/>
      <c r="GT31" s="3"/>
      <c r="GW31" s="3"/>
      <c r="GX31" s="3"/>
      <c r="GY31" s="3"/>
      <c r="HG31" s="1" t="s">
        <v>26</v>
      </c>
      <c r="HH31" s="3"/>
      <c r="HI31" s="3"/>
      <c r="HJ31" s="3"/>
      <c r="HL31" s="3"/>
      <c r="HM31" s="3"/>
      <c r="HN31" s="3"/>
      <c r="HO31" s="3"/>
      <c r="HQ31" s="2" t="s">
        <v>794</v>
      </c>
      <c r="HR31" s="3"/>
      <c r="HS31" s="3"/>
      <c r="HT31" s="3"/>
      <c r="HW31" s="3"/>
      <c r="HX31" s="3"/>
      <c r="HY31" s="3"/>
      <c r="IG31" s="1" t="s">
        <v>26</v>
      </c>
      <c r="IH31" s="3"/>
      <c r="II31" s="3"/>
      <c r="IJ31" s="3"/>
      <c r="IL31" s="3"/>
      <c r="IM31" s="3"/>
      <c r="IN31" s="3"/>
      <c r="IO31" s="3"/>
      <c r="IQ31" s="2" t="s">
        <v>793</v>
      </c>
      <c r="IR31" s="3"/>
      <c r="IS31" s="3"/>
      <c r="IT31" s="3"/>
      <c r="IW31" s="3"/>
      <c r="IX31" s="3"/>
      <c r="IY31" s="3"/>
      <c r="JG31" s="1" t="s">
        <v>26</v>
      </c>
      <c r="JH31" s="3"/>
      <c r="JI31" s="3"/>
      <c r="JJ31" s="3"/>
      <c r="JL31" s="3"/>
      <c r="JM31" s="3"/>
      <c r="JN31" s="3"/>
      <c r="JO31" s="3"/>
      <c r="JQ31" s="2" t="s">
        <v>792</v>
      </c>
      <c r="JR31" s="3"/>
      <c r="JS31" s="3"/>
      <c r="JT31" s="3"/>
      <c r="JW31" s="3"/>
      <c r="JX31" s="3"/>
      <c r="JY31" s="3"/>
      <c r="KG31" s="1" t="s">
        <v>26</v>
      </c>
      <c r="KH31" s="3"/>
      <c r="KI31" s="3"/>
      <c r="KJ31" s="3"/>
      <c r="KL31" s="3"/>
      <c r="KM31" s="3"/>
      <c r="KN31" s="3"/>
      <c r="KO31" s="3"/>
      <c r="KQ31" s="2" t="s">
        <v>792</v>
      </c>
      <c r="KR31" s="3"/>
      <c r="KS31" s="3"/>
      <c r="KT31" s="3"/>
      <c r="KW31" s="3"/>
      <c r="KX31" s="3"/>
      <c r="KY31" s="3"/>
      <c r="LG31" s="1" t="s">
        <v>26</v>
      </c>
      <c r="LH31" s="3"/>
      <c r="LI31" s="3"/>
      <c r="LJ31" s="3"/>
      <c r="LL31" s="3"/>
      <c r="LM31" s="3"/>
      <c r="LN31" s="3"/>
      <c r="LO31" s="3"/>
      <c r="LQ31" s="2" t="s">
        <v>791</v>
      </c>
      <c r="LR31" s="3"/>
      <c r="LS31" s="3"/>
      <c r="LT31" s="3"/>
      <c r="LW31" s="3"/>
      <c r="LX31" s="3"/>
      <c r="LY31" s="3"/>
      <c r="MG31" s="1" t="s">
        <v>26</v>
      </c>
      <c r="MH31" s="3"/>
      <c r="MI31" s="3"/>
      <c r="MJ31" s="3"/>
      <c r="ML31" s="3"/>
      <c r="MM31" s="3"/>
      <c r="MN31" s="3"/>
      <c r="MO31" s="3"/>
      <c r="MQ31" s="2" t="s">
        <v>791</v>
      </c>
      <c r="MR31" s="3"/>
      <c r="MS31" s="3"/>
      <c r="MT31" s="3"/>
      <c r="MW31" s="3"/>
      <c r="MX31" s="3"/>
      <c r="MY31" s="3"/>
      <c r="NG31" s="1" t="s">
        <v>26</v>
      </c>
      <c r="NH31" s="3"/>
      <c r="NI31" s="3"/>
      <c r="NJ31" s="3"/>
      <c r="NL31" s="3"/>
      <c r="NM31" s="3"/>
      <c r="NN31" s="3"/>
      <c r="NO31" s="3"/>
      <c r="NQ31" s="2" t="s">
        <v>791</v>
      </c>
      <c r="NR31" s="3"/>
      <c r="NS31" s="3"/>
      <c r="NT31" s="3"/>
      <c r="NW31" s="3"/>
      <c r="NX31" s="3"/>
      <c r="NY31" s="3"/>
      <c r="OG31" s="1" t="s">
        <v>26</v>
      </c>
      <c r="OH31" s="3"/>
      <c r="OI31" s="3"/>
      <c r="OJ31" s="3"/>
      <c r="OL31" s="3"/>
      <c r="OM31" s="3"/>
      <c r="ON31" s="3"/>
      <c r="OO31" s="3"/>
      <c r="OQ31" s="2" t="s">
        <v>790</v>
      </c>
      <c r="OR31" s="3"/>
      <c r="OS31" s="3"/>
      <c r="OT31" s="3"/>
      <c r="OW31" s="3"/>
      <c r="OX31" s="3"/>
      <c r="OY31" s="3"/>
      <c r="PG31" s="1" t="s">
        <v>26</v>
      </c>
      <c r="PH31" s="3"/>
      <c r="PI31" s="3"/>
      <c r="PJ31" s="3"/>
      <c r="PL31" s="3"/>
      <c r="PM31" s="3"/>
      <c r="PN31" s="3"/>
      <c r="PO31" s="3"/>
      <c r="PQ31" s="2" t="s">
        <v>790</v>
      </c>
      <c r="PR31" s="3"/>
      <c r="PS31" s="3"/>
      <c r="PT31" s="3"/>
      <c r="PW31" s="3"/>
      <c r="PX31" s="3"/>
      <c r="PY31" s="3"/>
      <c r="QG31" s="1" t="s">
        <v>26</v>
      </c>
      <c r="QH31" s="3"/>
      <c r="QI31" s="3"/>
      <c r="QJ31" s="3"/>
      <c r="QL31" s="3"/>
      <c r="QM31" s="3"/>
      <c r="QN31" s="3"/>
      <c r="QO31" s="3"/>
      <c r="QQ31" s="1" t="s">
        <v>790</v>
      </c>
      <c r="QR31" s="3"/>
      <c r="QS31" s="3"/>
      <c r="QT31" s="3"/>
      <c r="QW31" s="3"/>
      <c r="QX31" s="3"/>
      <c r="QY31" s="3"/>
      <c r="RG31" s="1" t="s">
        <v>26</v>
      </c>
      <c r="RH31" s="3"/>
      <c r="RI31" s="3"/>
      <c r="RJ31" s="3"/>
      <c r="RL31" s="1"/>
      <c r="RM31" s="3"/>
      <c r="RN31" s="3"/>
      <c r="RO31" s="3"/>
      <c r="RQ31" s="1" t="s">
        <v>790</v>
      </c>
      <c r="RR31" s="3"/>
      <c r="RS31" s="3"/>
      <c r="RT31" s="3"/>
      <c r="RV31" s="1"/>
      <c r="RW31" s="3"/>
      <c r="RX31" s="3"/>
      <c r="RY31" s="3"/>
      <c r="RZ31" s="1"/>
      <c r="SG31" s="1" t="s">
        <v>26</v>
      </c>
      <c r="SH31" s="3"/>
      <c r="SI31" s="3"/>
      <c r="SJ31" s="3"/>
      <c r="SL31" s="1"/>
      <c r="SM31" s="3"/>
      <c r="SN31" s="3"/>
      <c r="SO31" s="3"/>
      <c r="SQ31" s="1" t="s">
        <v>790</v>
      </c>
      <c r="SR31" s="3"/>
      <c r="SS31" s="3"/>
      <c r="ST31" s="3"/>
      <c r="SV31" s="1"/>
      <c r="SW31" s="3"/>
      <c r="SX31" s="3"/>
      <c r="SY31" s="3"/>
      <c r="SZ31" s="1"/>
      <c r="TG31" s="1" t="s">
        <v>26</v>
      </c>
      <c r="TH31" s="3"/>
      <c r="TI31" s="3"/>
      <c r="TJ31" s="3"/>
      <c r="TL31" s="1"/>
      <c r="TM31" s="3"/>
      <c r="TN31" s="3"/>
      <c r="TO31" s="3"/>
      <c r="TQ31" s="1" t="s">
        <v>789</v>
      </c>
      <c r="TR31" s="3"/>
      <c r="TS31" s="3"/>
      <c r="TT31" s="3"/>
      <c r="TV31" s="1"/>
      <c r="TW31" s="3"/>
      <c r="TX31" s="3"/>
      <c r="TY31" s="3"/>
      <c r="UG31" s="1" t="s">
        <v>26</v>
      </c>
      <c r="UH31" s="3"/>
      <c r="UI31" s="3"/>
      <c r="UJ31" s="3"/>
      <c r="UL31" s="1"/>
      <c r="UM31" s="3"/>
      <c r="UN31" s="3"/>
      <c r="UO31" s="3"/>
      <c r="UQ31" s="1"/>
      <c r="UR31" s="3"/>
      <c r="US31" s="3"/>
      <c r="UT31" s="3"/>
      <c r="UV31" s="1"/>
      <c r="UW31" s="3"/>
      <c r="UX31" s="3"/>
      <c r="UY31" s="3"/>
      <c r="VG31" s="1" t="s">
        <v>26</v>
      </c>
      <c r="VH31" s="3"/>
      <c r="VI31" s="3"/>
      <c r="VJ31" s="3"/>
      <c r="VL31" s="1"/>
      <c r="VM31" s="3"/>
      <c r="VN31" s="3"/>
      <c r="VO31" s="3"/>
      <c r="VQ31" s="1"/>
      <c r="VR31" s="3"/>
      <c r="VS31" s="3"/>
      <c r="VT31" s="3"/>
      <c r="VV31" s="1"/>
      <c r="VW31" s="3"/>
      <c r="VX31" s="3"/>
      <c r="VY31" s="3"/>
      <c r="WG31" s="1" t="s">
        <v>26</v>
      </c>
      <c r="WH31" s="3"/>
      <c r="WI31" s="3"/>
      <c r="WJ31" s="3"/>
      <c r="WL31" s="1"/>
      <c r="WM31" s="3"/>
      <c r="WN31" s="3"/>
      <c r="WO31" s="3"/>
      <c r="WQ31" s="1"/>
      <c r="WR31" s="3"/>
      <c r="WS31" s="3"/>
      <c r="WT31" s="3"/>
      <c r="WV31" s="1"/>
      <c r="WW31" s="3"/>
      <c r="WX31" s="3"/>
      <c r="WY31" s="3"/>
      <c r="XG31" s="1" t="s">
        <v>26</v>
      </c>
      <c r="XH31" s="3"/>
      <c r="XI31" s="3"/>
      <c r="XJ31" s="3"/>
      <c r="XL31" s="1"/>
      <c r="XM31" s="3"/>
      <c r="XN31" s="3"/>
      <c r="XO31" s="3"/>
      <c r="XQ31" s="1"/>
      <c r="XR31" s="3"/>
      <c r="XS31" s="3"/>
      <c r="XT31" s="3"/>
      <c r="XU31" s="1"/>
      <c r="XV31" s="1"/>
      <c r="XW31" s="3"/>
      <c r="XX31" s="3"/>
      <c r="XY31" s="3"/>
      <c r="XZ31" s="1"/>
      <c r="YG31" s="1" t="s">
        <v>26</v>
      </c>
      <c r="YH31" s="3"/>
      <c r="YI31" s="3"/>
      <c r="YJ31" s="3"/>
      <c r="YL31" s="1"/>
      <c r="YM31" s="3"/>
      <c r="YN31" s="3"/>
      <c r="YO31" s="3"/>
      <c r="YQ31" s="1"/>
      <c r="YR31" s="3"/>
      <c r="YS31" s="3"/>
      <c r="YT31" s="3"/>
      <c r="YU31" s="1"/>
      <c r="YV31" s="1"/>
      <c r="YW31" s="3"/>
      <c r="YX31" s="3"/>
      <c r="YY31" s="3"/>
      <c r="YZ31" s="1"/>
      <c r="ZG31" s="1" t="s">
        <v>26</v>
      </c>
      <c r="ZH31" s="3"/>
      <c r="ZI31" s="3"/>
      <c r="ZJ31" s="3"/>
      <c r="ZL31" s="1"/>
      <c r="ZM31" s="3"/>
      <c r="ZN31" s="3"/>
      <c r="ZO31" s="3"/>
      <c r="ZQ31" s="1"/>
      <c r="ZR31" s="3"/>
      <c r="ZS31" s="3"/>
      <c r="ZT31" s="3"/>
      <c r="ZU31" s="1"/>
      <c r="ZV31" s="1"/>
      <c r="ZW31" s="3"/>
      <c r="ZX31" s="3"/>
      <c r="ZY31" s="3"/>
      <c r="ZZ31" s="1"/>
      <c r="AAG31" s="1" t="s">
        <v>26</v>
      </c>
      <c r="AAH31" s="3"/>
      <c r="AAI31" s="3"/>
      <c r="AAJ31" s="3"/>
      <c r="AAL31" s="1"/>
      <c r="AAM31" s="3"/>
      <c r="AAN31" s="3"/>
      <c r="AAO31" s="3"/>
      <c r="AAQ31" s="1"/>
      <c r="AAR31" s="3"/>
      <c r="AAS31" s="3"/>
      <c r="AAT31" s="3"/>
      <c r="AAU31" s="1"/>
      <c r="AAV31" s="1"/>
      <c r="AAW31" s="3"/>
      <c r="AAX31" s="3"/>
      <c r="AAY31" s="3"/>
      <c r="AAZ31" s="1"/>
      <c r="ABG31" s="1" t="s">
        <v>26</v>
      </c>
      <c r="ABH31" s="3"/>
      <c r="ABI31" s="3"/>
      <c r="ABJ31" s="3"/>
      <c r="ABL31" s="1"/>
      <c r="ABM31" s="3"/>
      <c r="ABN31" s="3"/>
      <c r="ABO31" s="3"/>
      <c r="ABQ31" s="1"/>
      <c r="ABR31" s="3"/>
      <c r="ABS31" s="3"/>
      <c r="ABT31" s="3"/>
      <c r="ABV31" s="1"/>
      <c r="ABW31" s="3"/>
      <c r="ABX31" s="3"/>
      <c r="ABY31" s="3"/>
      <c r="ABZ31" s="1"/>
      <c r="ACG31" s="1" t="s">
        <v>26</v>
      </c>
      <c r="ACH31" s="3"/>
      <c r="ACI31" s="3"/>
      <c r="ACJ31" s="3"/>
      <c r="ACL31" s="1"/>
      <c r="ACM31" s="3"/>
      <c r="ACN31" s="3"/>
      <c r="ACO31" s="3"/>
      <c r="ACQ31" s="1"/>
      <c r="ACR31" s="3"/>
      <c r="ACS31" s="3"/>
      <c r="ACT31" s="3"/>
      <c r="ACU31" s="1"/>
      <c r="ACV31" s="1"/>
      <c r="ACW31" s="3"/>
      <c r="ACX31" s="3"/>
      <c r="ACY31" s="3"/>
      <c r="ADG31" s="1" t="s">
        <v>26</v>
      </c>
      <c r="ADH31" s="3"/>
      <c r="ADI31" s="3"/>
      <c r="ADJ31" s="3"/>
      <c r="ADL31" s="1"/>
      <c r="ADM31" s="3"/>
      <c r="ADN31" s="3"/>
      <c r="ADO31" s="3"/>
      <c r="ADQ31" s="1"/>
      <c r="ADR31" s="3"/>
      <c r="ADS31" s="3"/>
      <c r="ADT31" s="3"/>
      <c r="ADV31" s="1"/>
      <c r="ADW31" s="3"/>
      <c r="ADX31" s="3"/>
      <c r="ADY31" s="3"/>
      <c r="ADZ31" s="1"/>
      <c r="AEG31" s="1" t="s">
        <v>26</v>
      </c>
      <c r="AEH31" s="3"/>
      <c r="AEI31" s="3"/>
      <c r="AEJ31" s="3"/>
      <c r="AEL31" s="1"/>
      <c r="AEM31" s="3"/>
      <c r="AEN31" s="3"/>
      <c r="AEO31" s="3"/>
      <c r="AEQ31" s="1"/>
      <c r="AER31" s="3"/>
      <c r="AES31" s="3"/>
      <c r="AET31" s="3"/>
      <c r="AEV31" s="1"/>
      <c r="AEW31" s="3"/>
      <c r="AEX31" s="3"/>
      <c r="AEY31" s="3"/>
      <c r="AFG31" s="1" t="s">
        <v>26</v>
      </c>
      <c r="AFH31" s="3"/>
      <c r="AFI31" s="3"/>
      <c r="AFJ31" s="3"/>
      <c r="AFL31" s="1"/>
      <c r="AFM31" s="3"/>
      <c r="AFN31" s="3"/>
      <c r="AFO31" s="3"/>
      <c r="AFQ31" s="1"/>
      <c r="AFR31" s="3"/>
      <c r="AFS31" s="3"/>
      <c r="AFT31" s="3"/>
      <c r="AFV31" s="1"/>
      <c r="AFW31" s="3"/>
      <c r="AFX31" s="3"/>
      <c r="AFY31" s="3"/>
      <c r="AGG31" s="1" t="s">
        <v>26</v>
      </c>
      <c r="AGH31" s="3"/>
      <c r="AGI31" s="3"/>
      <c r="AGJ31" s="3"/>
      <c r="AGL31" s="1"/>
      <c r="AGM31" s="3"/>
      <c r="AGN31" s="3"/>
      <c r="AGO31" s="3"/>
      <c r="AGQ31" s="1"/>
      <c r="AGR31" s="3"/>
      <c r="AGS31" s="3"/>
      <c r="AGT31" s="3"/>
      <c r="AGV31" s="1"/>
      <c r="AGW31" s="3"/>
      <c r="AGX31" s="3"/>
      <c r="AGY31" s="3"/>
      <c r="AHG31" s="1" t="s">
        <v>26</v>
      </c>
      <c r="AHH31" s="3"/>
      <c r="AHI31" s="3"/>
      <c r="AHJ31" s="3"/>
      <c r="AHL31" s="1"/>
      <c r="AHM31" s="3"/>
      <c r="AHN31" s="3"/>
      <c r="AHO31" s="3"/>
      <c r="AHQ31" s="1"/>
      <c r="AHR31" s="3"/>
      <c r="AHS31" s="3"/>
      <c r="AHT31" s="3"/>
      <c r="AHV31" s="1"/>
      <c r="AHW31" s="3"/>
      <c r="AHX31" s="3"/>
      <c r="AHY31" s="3"/>
      <c r="AIG31" s="1" t="s">
        <v>26</v>
      </c>
      <c r="AIH31" s="3"/>
      <c r="AII31" s="3"/>
      <c r="AIJ31" s="3"/>
      <c r="AIL31" s="1"/>
      <c r="AIM31" s="3"/>
      <c r="AIN31" s="3"/>
      <c r="AIO31" s="3"/>
      <c r="AIQ31" s="1"/>
      <c r="AIR31" s="3"/>
      <c r="AIS31" s="3"/>
      <c r="AIT31" s="3"/>
      <c r="AIV31" s="1"/>
      <c r="AIW31" s="3"/>
      <c r="AIX31" s="3"/>
      <c r="AIY31" s="3"/>
      <c r="AJG31" s="1" t="s">
        <v>26</v>
      </c>
      <c r="AJH31" s="3"/>
      <c r="AJI31" s="3"/>
      <c r="AJJ31" s="3"/>
      <c r="AJL31" s="1"/>
      <c r="AJM31" s="3"/>
      <c r="AJN31" s="3"/>
      <c r="AJO31" s="3"/>
      <c r="AJQ31" s="1"/>
      <c r="AJR31" s="3"/>
      <c r="AJS31" s="3"/>
      <c r="AJT31" s="3"/>
      <c r="AJV31" s="1"/>
      <c r="AJW31" s="3"/>
      <c r="AJX31" s="3"/>
      <c r="AJY31" s="3"/>
      <c r="AKG31" s="1" t="s">
        <v>26</v>
      </c>
      <c r="AKH31" s="3"/>
      <c r="AKI31" s="3"/>
      <c r="AKJ31" s="3"/>
      <c r="AKL31" s="1"/>
      <c r="AKM31" s="3"/>
      <c r="AKN31" s="3"/>
      <c r="AKO31" s="3"/>
      <c r="AKQ31" s="1"/>
      <c r="AKR31" s="3"/>
      <c r="AKS31" s="3"/>
      <c r="AKT31" s="3"/>
      <c r="AKV31" s="1"/>
      <c r="AKW31" s="3"/>
      <c r="AKX31" s="3"/>
      <c r="AKY31" s="3"/>
    </row>
    <row r="32" spans="1:988" ht="28.35" customHeight="1" x14ac:dyDescent="0.4">
      <c r="G32" s="1" t="s">
        <v>290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G32" s="1" t="s">
        <v>290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G32" s="1" t="s">
        <v>290</v>
      </c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G32" s="1" t="s">
        <v>290</v>
      </c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G32" s="1" t="s">
        <v>290</v>
      </c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G32" s="1" t="s">
        <v>290</v>
      </c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G32" s="1" t="s">
        <v>290</v>
      </c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G32" s="1" t="s">
        <v>290</v>
      </c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V32" s="3"/>
      <c r="GW32" s="3"/>
      <c r="GX32" s="3"/>
      <c r="GY32" s="3"/>
      <c r="GZ32" s="3"/>
      <c r="HG32" s="1" t="s">
        <v>290</v>
      </c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G32" s="1" t="s">
        <v>290</v>
      </c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G32" s="1" t="s">
        <v>290</v>
      </c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G32" s="1" t="s">
        <v>290</v>
      </c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G32" s="1" t="s">
        <v>290</v>
      </c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G32" s="1" t="s">
        <v>290</v>
      </c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G32" s="1" t="s">
        <v>290</v>
      </c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G32" s="1" t="s">
        <v>290</v>
      </c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G32" s="1" t="s">
        <v>290</v>
      </c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G32" s="1" t="s">
        <v>290</v>
      </c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G32" s="1" t="s">
        <v>290</v>
      </c>
      <c r="RH32" s="3"/>
      <c r="RI32" s="3"/>
      <c r="RJ32" s="3"/>
      <c r="RK32" s="3"/>
      <c r="RL32" s="1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G32" s="1" t="s">
        <v>290</v>
      </c>
      <c r="SH32" s="3"/>
      <c r="SI32" s="3"/>
      <c r="SJ32" s="3"/>
      <c r="SK32" s="3"/>
      <c r="SL32" s="1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G32" s="1" t="s">
        <v>290</v>
      </c>
      <c r="TH32" s="3"/>
      <c r="TI32" s="3"/>
      <c r="TJ32" s="3"/>
      <c r="TK32" s="3"/>
      <c r="TL32" s="1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G32" s="1" t="s">
        <v>290</v>
      </c>
      <c r="UH32" s="3"/>
      <c r="UI32" s="3"/>
      <c r="UJ32" s="3"/>
      <c r="UK32" s="3"/>
      <c r="UL32" s="1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G32" s="1" t="s">
        <v>290</v>
      </c>
      <c r="VH32" s="3"/>
      <c r="VI32" s="3"/>
      <c r="VJ32" s="3"/>
      <c r="VK32" s="3"/>
      <c r="VL32" s="1"/>
      <c r="VM32" s="3"/>
      <c r="VN32" s="3"/>
      <c r="VO32" s="3"/>
      <c r="VP32" s="3"/>
      <c r="VQ32" s="1"/>
      <c r="VR32" s="3"/>
      <c r="VS32" s="3"/>
      <c r="VT32" s="3"/>
      <c r="VU32" s="3"/>
      <c r="VV32" s="1"/>
      <c r="VW32" s="3"/>
      <c r="VX32" s="3"/>
      <c r="VY32" s="3"/>
      <c r="VZ32" s="3"/>
      <c r="WG32" s="1" t="s">
        <v>290</v>
      </c>
      <c r="WH32" s="3"/>
      <c r="WI32" s="3"/>
      <c r="WJ32" s="3"/>
      <c r="WK32" s="3"/>
      <c r="WL32" s="1"/>
      <c r="WM32" s="3"/>
      <c r="WN32" s="3"/>
      <c r="WO32" s="3"/>
      <c r="WP32" s="3"/>
      <c r="WQ32" s="1"/>
      <c r="WR32" s="3"/>
      <c r="WS32" s="3"/>
      <c r="WT32" s="3"/>
      <c r="WU32" s="3"/>
      <c r="WV32" s="1"/>
      <c r="WW32" s="3"/>
      <c r="WX32" s="3"/>
      <c r="WY32" s="3"/>
      <c r="WZ32" s="3"/>
      <c r="XG32" s="1" t="s">
        <v>290</v>
      </c>
      <c r="XH32" s="3"/>
      <c r="XI32" s="3"/>
      <c r="XJ32" s="3"/>
      <c r="XK32" s="3"/>
      <c r="XL32" s="1"/>
      <c r="XM32" s="3"/>
      <c r="XN32" s="3"/>
      <c r="XO32" s="3"/>
      <c r="XP32" s="3"/>
      <c r="XQ32" s="1"/>
      <c r="XR32" s="3"/>
      <c r="XS32" s="3"/>
      <c r="XT32" s="3"/>
      <c r="XU32" s="1"/>
      <c r="XV32" s="1"/>
      <c r="XW32" s="3"/>
      <c r="XX32" s="3"/>
      <c r="XY32" s="3"/>
      <c r="XZ32" s="1"/>
      <c r="YG32" s="1" t="s">
        <v>290</v>
      </c>
      <c r="YH32" s="3"/>
      <c r="YI32" s="3"/>
      <c r="YJ32" s="3"/>
      <c r="YK32" s="3"/>
      <c r="YL32" s="1"/>
      <c r="YM32" s="3"/>
      <c r="YN32" s="3"/>
      <c r="YO32" s="3"/>
      <c r="YP32" s="3"/>
      <c r="YQ32" s="1"/>
      <c r="YR32" s="3"/>
      <c r="YS32" s="3"/>
      <c r="YT32" s="3"/>
      <c r="YU32" s="1"/>
      <c r="YV32" s="1"/>
      <c r="YW32" s="3"/>
      <c r="YX32" s="3"/>
      <c r="YY32" s="3"/>
      <c r="YZ32" s="1"/>
      <c r="ZG32" s="1" t="s">
        <v>290</v>
      </c>
      <c r="ZH32" s="3"/>
      <c r="ZI32" s="3"/>
      <c r="ZJ32" s="3"/>
      <c r="ZK32" s="3"/>
      <c r="ZL32" s="1"/>
      <c r="ZM32" s="3"/>
      <c r="ZN32" s="3"/>
      <c r="ZO32" s="3"/>
      <c r="ZP32" s="3"/>
      <c r="ZQ32" s="1"/>
      <c r="ZR32" s="3"/>
      <c r="ZS32" s="3"/>
      <c r="ZT32" s="3"/>
      <c r="ZU32" s="1"/>
      <c r="ZV32" s="1"/>
      <c r="ZW32" s="3"/>
      <c r="ZX32" s="3"/>
      <c r="ZY32" s="3"/>
      <c r="ZZ32" s="1"/>
      <c r="AAG32" s="1" t="s">
        <v>290</v>
      </c>
      <c r="AAH32" s="3"/>
      <c r="AAI32" s="3"/>
      <c r="AAJ32" s="3"/>
      <c r="AAK32" s="3"/>
      <c r="AAL32" s="1"/>
      <c r="AAM32" s="3"/>
      <c r="AAN32" s="3"/>
      <c r="AAO32" s="3"/>
      <c r="AAP32" s="3"/>
      <c r="AAQ32" s="1"/>
      <c r="AAR32" s="3"/>
      <c r="AAS32" s="3"/>
      <c r="AAT32" s="3"/>
      <c r="AAU32" s="1"/>
      <c r="AAV32" s="1"/>
      <c r="AAW32" s="3"/>
      <c r="AAX32" s="3"/>
      <c r="AAY32" s="3"/>
      <c r="AAZ32" s="1"/>
      <c r="ABG32" s="1" t="s">
        <v>290</v>
      </c>
      <c r="ABH32" s="3"/>
      <c r="ABI32" s="3"/>
      <c r="ABJ32" s="3"/>
      <c r="ABK32" s="3"/>
      <c r="ABL32" s="1"/>
      <c r="ABM32" s="3"/>
      <c r="ABN32" s="3"/>
      <c r="ABO32" s="3"/>
      <c r="ABP32" s="3"/>
      <c r="ABQ32" s="1"/>
      <c r="ABR32" s="3"/>
      <c r="ABS32" s="3"/>
      <c r="ABT32" s="3"/>
      <c r="ABU32" s="3"/>
      <c r="ABV32" s="1"/>
      <c r="ABW32" s="3"/>
      <c r="ABX32" s="3"/>
      <c r="ABY32" s="3"/>
      <c r="ABZ32" s="1"/>
      <c r="ACG32" s="1" t="s">
        <v>290</v>
      </c>
      <c r="ACH32" s="3"/>
      <c r="ACI32" s="3"/>
      <c r="ACJ32" s="3"/>
      <c r="ACK32" s="3"/>
      <c r="ACL32" s="1"/>
      <c r="ACM32" s="3"/>
      <c r="ACN32" s="3"/>
      <c r="ACO32" s="3"/>
      <c r="ACP32" s="3"/>
      <c r="ACQ32" s="1"/>
      <c r="ACR32" s="3"/>
      <c r="ACS32" s="3"/>
      <c r="ACT32" s="3"/>
      <c r="ACU32" s="1"/>
      <c r="ACV32" s="1"/>
      <c r="ACW32" s="3"/>
      <c r="ACX32" s="3"/>
      <c r="ACY32" s="3"/>
      <c r="ACZ32" s="3"/>
      <c r="ADG32" s="1" t="s">
        <v>290</v>
      </c>
      <c r="ADH32" s="3"/>
      <c r="ADI32" s="3"/>
      <c r="ADJ32" s="3"/>
      <c r="ADK32" s="3"/>
      <c r="ADL32" s="1"/>
      <c r="ADM32" s="3"/>
      <c r="ADN32" s="3"/>
      <c r="ADO32" s="3"/>
      <c r="ADP32" s="3"/>
      <c r="ADQ32" s="1"/>
      <c r="ADR32" s="3"/>
      <c r="ADS32" s="3"/>
      <c r="ADT32" s="3"/>
      <c r="ADU32" s="3"/>
      <c r="ADV32" s="1"/>
      <c r="ADW32" s="3"/>
      <c r="ADX32" s="3"/>
      <c r="ADY32" s="3"/>
      <c r="ADZ32" s="1"/>
      <c r="AEG32" s="1" t="s">
        <v>290</v>
      </c>
      <c r="AEH32" s="3"/>
      <c r="AEI32" s="3"/>
      <c r="AEJ32" s="3"/>
      <c r="AEK32" s="3"/>
      <c r="AEL32" s="1"/>
      <c r="AEM32" s="3"/>
      <c r="AEN32" s="3"/>
      <c r="AEO32" s="3"/>
      <c r="AEP32" s="3"/>
      <c r="AEQ32" s="1"/>
      <c r="AER32" s="3"/>
      <c r="AES32" s="3"/>
      <c r="AET32" s="3"/>
      <c r="AEU32" s="3"/>
      <c r="AEV32" s="1"/>
      <c r="AEW32" s="3"/>
      <c r="AEX32" s="3"/>
      <c r="AEY32" s="3"/>
      <c r="AEZ32" s="3"/>
      <c r="AFG32" s="1" t="s">
        <v>290</v>
      </c>
      <c r="AFH32" s="3"/>
      <c r="AFI32" s="3"/>
      <c r="AFJ32" s="3"/>
      <c r="AFK32" s="3"/>
      <c r="AFL32" s="1"/>
      <c r="AFM32" s="3"/>
      <c r="AFN32" s="3"/>
      <c r="AFO32" s="3"/>
      <c r="AFP32" s="3"/>
      <c r="AFQ32" s="1"/>
      <c r="AFR32" s="3"/>
      <c r="AFS32" s="3"/>
      <c r="AFT32" s="3"/>
      <c r="AFU32" s="3"/>
      <c r="AFV32" s="1"/>
      <c r="AFW32" s="3"/>
      <c r="AFX32" s="3"/>
      <c r="AFY32" s="3"/>
      <c r="AFZ32" s="3"/>
      <c r="AGG32" s="1" t="s">
        <v>290</v>
      </c>
      <c r="AGH32" s="3"/>
      <c r="AGI32" s="3"/>
      <c r="AGJ32" s="3"/>
      <c r="AGK32" s="3"/>
      <c r="AGL32" s="1"/>
      <c r="AGM32" s="3"/>
      <c r="AGN32" s="3"/>
      <c r="AGO32" s="3"/>
      <c r="AGP32" s="3"/>
      <c r="AGQ32" s="1"/>
      <c r="AGR32" s="3"/>
      <c r="AGS32" s="3"/>
      <c r="AGT32" s="3"/>
      <c r="AGU32" s="3"/>
      <c r="AGV32" s="1"/>
      <c r="AGW32" s="3"/>
      <c r="AGX32" s="3"/>
      <c r="AGY32" s="3"/>
      <c r="AGZ32" s="3"/>
      <c r="AHG32" s="1" t="s">
        <v>290</v>
      </c>
      <c r="AHH32" s="3"/>
      <c r="AHI32" s="3"/>
      <c r="AHJ32" s="3"/>
      <c r="AHK32" s="3"/>
      <c r="AHL32" s="1"/>
      <c r="AHM32" s="3"/>
      <c r="AHN32" s="3"/>
      <c r="AHO32" s="3"/>
      <c r="AHP32" s="3"/>
      <c r="AHQ32" s="1"/>
      <c r="AHR32" s="3"/>
      <c r="AHS32" s="3"/>
      <c r="AHT32" s="3"/>
      <c r="AHU32" s="3"/>
      <c r="AHV32" s="1"/>
      <c r="AHW32" s="3"/>
      <c r="AHX32" s="3"/>
      <c r="AHY32" s="3"/>
      <c r="AHZ32" s="3"/>
      <c r="AIG32" s="1" t="s">
        <v>290</v>
      </c>
      <c r="AIH32" s="3"/>
      <c r="AII32" s="3"/>
      <c r="AIJ32" s="3"/>
      <c r="AIK32" s="3"/>
      <c r="AIL32" s="1"/>
      <c r="AIM32" s="3"/>
      <c r="AIN32" s="3"/>
      <c r="AIO32" s="3"/>
      <c r="AIP32" s="3"/>
      <c r="AIQ32" s="1"/>
      <c r="AIR32" s="3"/>
      <c r="AIS32" s="3"/>
      <c r="AIT32" s="3"/>
      <c r="AIU32" s="3"/>
      <c r="AIV32" s="1"/>
      <c r="AIW32" s="3"/>
      <c r="AIX32" s="3"/>
      <c r="AIY32" s="3"/>
      <c r="AIZ32" s="3"/>
      <c r="AJG32" s="1" t="s">
        <v>290</v>
      </c>
      <c r="AJH32" s="3"/>
      <c r="AJI32" s="3"/>
      <c r="AJJ32" s="3"/>
      <c r="AJK32" s="3"/>
      <c r="AJL32" s="1"/>
      <c r="AJM32" s="3"/>
      <c r="AJN32" s="3"/>
      <c r="AJO32" s="3"/>
      <c r="AJP32" s="3"/>
      <c r="AJQ32" s="1"/>
      <c r="AJR32" s="3"/>
      <c r="AJS32" s="3"/>
      <c r="AJT32" s="3"/>
      <c r="AJU32" s="3"/>
      <c r="AJV32" s="1"/>
      <c r="AJW32" s="3"/>
      <c r="AJX32" s="3"/>
      <c r="AJY32" s="3"/>
      <c r="AJZ32" s="3"/>
      <c r="AKG32" s="1" t="s">
        <v>290</v>
      </c>
      <c r="AKH32" s="3"/>
      <c r="AKI32" s="3"/>
      <c r="AKJ32" s="3"/>
      <c r="AKK32" s="3"/>
      <c r="AKL32" s="1"/>
      <c r="AKM32" s="3"/>
      <c r="AKN32" s="3"/>
      <c r="AKO32" s="3"/>
      <c r="AKP32" s="3"/>
      <c r="AKQ32" s="1"/>
      <c r="AKR32" s="3"/>
      <c r="AKS32" s="3"/>
      <c r="AKT32" s="3"/>
      <c r="AKU32" s="3"/>
      <c r="AKV32" s="1"/>
      <c r="AKW32" s="3"/>
      <c r="AKX32" s="3"/>
      <c r="AKY32" s="3"/>
      <c r="AKZ32" s="3"/>
    </row>
    <row r="33" spans="2:988" ht="28.35" customHeight="1" x14ac:dyDescent="0.4">
      <c r="G33" s="1" t="s">
        <v>515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G33" s="1" t="s">
        <v>515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G33" s="1" t="s">
        <v>515</v>
      </c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G33" s="1" t="s">
        <v>515</v>
      </c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G33" s="1" t="s">
        <v>515</v>
      </c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G33" s="1" t="s">
        <v>515</v>
      </c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G33" s="1" t="s">
        <v>515</v>
      </c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G33" s="1" t="s">
        <v>515</v>
      </c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G33" s="1" t="s">
        <v>515</v>
      </c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G33" s="1" t="s">
        <v>515</v>
      </c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G33" s="1" t="s">
        <v>515</v>
      </c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G33" s="1" t="s">
        <v>515</v>
      </c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G33" s="1" t="s">
        <v>515</v>
      </c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G33" s="1" t="s">
        <v>515</v>
      </c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G33" s="1" t="s">
        <v>515</v>
      </c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G33" s="1" t="s">
        <v>515</v>
      </c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G33" s="1" t="s">
        <v>515</v>
      </c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G33" s="1" t="s">
        <v>515</v>
      </c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G33" s="1" t="s">
        <v>515</v>
      </c>
      <c r="RH33" s="3"/>
      <c r="RI33" s="3"/>
      <c r="RJ33" s="3"/>
      <c r="RK33" s="3"/>
      <c r="RL33" s="1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G33" s="1" t="s">
        <v>515</v>
      </c>
      <c r="SH33" s="3"/>
      <c r="SI33" s="3"/>
      <c r="SJ33" s="3"/>
      <c r="SK33" s="3"/>
      <c r="SL33" s="1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G33" s="1" t="s">
        <v>515</v>
      </c>
      <c r="TH33" s="3"/>
      <c r="TI33" s="3"/>
      <c r="TJ33" s="3"/>
      <c r="TK33" s="3"/>
      <c r="TL33" s="1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G33" s="2" t="s">
        <v>796</v>
      </c>
      <c r="UH33" s="3"/>
      <c r="UI33" s="3"/>
      <c r="UJ33" s="3"/>
      <c r="UK33" s="3"/>
      <c r="UL33" s="1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H33" s="3"/>
      <c r="VI33" s="3"/>
      <c r="VJ33" s="3"/>
      <c r="VK33" s="3"/>
      <c r="VL33" s="1"/>
      <c r="VM33" s="3"/>
      <c r="VN33" s="3"/>
      <c r="VO33" s="3"/>
      <c r="VP33" s="3"/>
      <c r="VQ33" s="1"/>
      <c r="VR33" s="3"/>
      <c r="VS33" s="3"/>
      <c r="VT33" s="3"/>
      <c r="VU33" s="3"/>
      <c r="VV33" s="1"/>
      <c r="VW33" s="3"/>
      <c r="VX33" s="3"/>
      <c r="VY33" s="3"/>
      <c r="VZ33" s="3"/>
      <c r="WH33" s="3"/>
      <c r="WI33" s="3"/>
      <c r="WJ33" s="3"/>
      <c r="WK33" s="3"/>
      <c r="WL33" s="1"/>
      <c r="WM33" s="3"/>
      <c r="WN33" s="3"/>
      <c r="WO33" s="3"/>
      <c r="WP33" s="3"/>
      <c r="WQ33" s="1"/>
      <c r="WR33" s="3"/>
      <c r="WS33" s="3"/>
      <c r="WT33" s="3"/>
      <c r="WU33" s="3"/>
      <c r="WV33" s="1"/>
      <c r="WW33" s="3"/>
      <c r="WX33" s="3"/>
      <c r="WY33" s="3"/>
      <c r="WZ33" s="3"/>
      <c r="XH33" s="3"/>
      <c r="XI33" s="3"/>
      <c r="XJ33" s="3"/>
      <c r="XK33" s="3"/>
      <c r="XL33" s="1"/>
      <c r="XM33" s="3"/>
      <c r="XN33" s="3"/>
      <c r="XO33" s="3"/>
      <c r="XP33" s="3"/>
      <c r="XQ33" s="1"/>
      <c r="XR33" s="3"/>
      <c r="XS33" s="3"/>
      <c r="XT33" s="3"/>
      <c r="XU33" s="3"/>
      <c r="XV33" s="1"/>
      <c r="XW33" s="3"/>
      <c r="XX33" s="3"/>
      <c r="XY33" s="3"/>
      <c r="XZ33" s="3"/>
      <c r="YH33" s="3"/>
      <c r="YI33" s="3"/>
      <c r="YJ33" s="3"/>
      <c r="YK33" s="3"/>
      <c r="YL33" s="1"/>
      <c r="YM33" s="3"/>
      <c r="YN33" s="3"/>
      <c r="YO33" s="3"/>
      <c r="YP33" s="3"/>
      <c r="YQ33" s="1"/>
      <c r="YR33" s="3"/>
      <c r="YS33" s="3"/>
      <c r="YT33" s="3"/>
      <c r="YU33" s="3"/>
      <c r="YV33" s="1"/>
      <c r="YW33" s="3"/>
      <c r="YX33" s="3"/>
      <c r="YY33" s="3"/>
      <c r="YZ33" s="3"/>
      <c r="ZH33" s="3"/>
      <c r="ZI33" s="3"/>
      <c r="ZJ33" s="3"/>
      <c r="ZK33" s="3"/>
      <c r="ZL33" s="1"/>
      <c r="ZM33" s="3"/>
      <c r="ZN33" s="3"/>
      <c r="ZO33" s="3"/>
      <c r="ZP33" s="3"/>
      <c r="ZQ33" s="1"/>
      <c r="ZR33" s="3"/>
      <c r="ZS33" s="3"/>
      <c r="ZT33" s="3"/>
      <c r="ZU33" s="3"/>
      <c r="ZV33" s="1"/>
      <c r="ZW33" s="3"/>
      <c r="ZX33" s="3"/>
      <c r="ZY33" s="3"/>
      <c r="ZZ33" s="3"/>
      <c r="AAH33" s="3"/>
      <c r="AAI33" s="3"/>
      <c r="AAJ33" s="3"/>
      <c r="AAK33" s="3"/>
      <c r="AAL33" s="1"/>
      <c r="AAM33" s="3"/>
      <c r="AAN33" s="3"/>
      <c r="AAO33" s="3"/>
      <c r="AAP33" s="3"/>
      <c r="AAQ33" s="1"/>
      <c r="AAR33" s="3"/>
      <c r="AAS33" s="3"/>
      <c r="AAT33" s="3"/>
      <c r="AAU33" s="3"/>
      <c r="AAV33" s="1"/>
      <c r="AAW33" s="3"/>
      <c r="AAX33" s="3"/>
      <c r="AAY33" s="3"/>
      <c r="AAZ33" s="3"/>
      <c r="ABH33" s="3"/>
      <c r="ABI33" s="3"/>
      <c r="ABJ33" s="3"/>
      <c r="ABK33" s="3"/>
      <c r="ABL33" s="1"/>
      <c r="ABM33" s="3"/>
      <c r="ABN33" s="3"/>
      <c r="ABO33" s="3"/>
      <c r="ABP33" s="3"/>
      <c r="ABQ33" s="1"/>
      <c r="ABR33" s="3"/>
      <c r="ABS33" s="3"/>
      <c r="ABT33" s="3"/>
      <c r="ABU33" s="3"/>
      <c r="ABV33" s="1"/>
      <c r="ABW33" s="3"/>
      <c r="ABX33" s="3"/>
      <c r="ABY33" s="3"/>
      <c r="ABZ33" s="3"/>
      <c r="ACG33" s="1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G33" s="1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G33" s="1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G33" s="1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G33" s="1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G33" s="1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G33" s="1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G33" s="3"/>
      <c r="AJH33" s="3"/>
      <c r="AJI33" s="3"/>
      <c r="AJJ33" s="3"/>
      <c r="AJK33" s="3"/>
      <c r="AJL33" s="1"/>
      <c r="AJM33" s="3"/>
      <c r="AJN33" s="3"/>
      <c r="AJO33" s="3"/>
      <c r="AJP33" s="3"/>
      <c r="AJQ33" s="1"/>
      <c r="AJR33" s="3"/>
      <c r="AJS33" s="3"/>
      <c r="AJT33" s="3"/>
      <c r="AJU33" s="3"/>
      <c r="AJV33" s="3"/>
      <c r="AJW33" s="3"/>
      <c r="AJX33" s="3"/>
      <c r="AJY33" s="3"/>
      <c r="AJZ33" s="3"/>
      <c r="AKG33" s="1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</row>
    <row r="34" spans="2:988" ht="28.35" customHeight="1" x14ac:dyDescent="0.4">
      <c r="G34" s="2" t="s">
        <v>745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G34" s="2" t="s">
        <v>745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G34" s="2" t="s">
        <v>745</v>
      </c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G34" s="2" t="s">
        <v>745</v>
      </c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G34" s="2" t="s">
        <v>745</v>
      </c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G34" s="2" t="s">
        <v>745</v>
      </c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G34" s="2" t="s">
        <v>745</v>
      </c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G34" s="2" t="s">
        <v>745</v>
      </c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G34" s="2" t="s">
        <v>745</v>
      </c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G34" s="2" t="s">
        <v>745</v>
      </c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G34" s="2" t="s">
        <v>745</v>
      </c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G34" s="2" t="s">
        <v>745</v>
      </c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G34" s="2" t="s">
        <v>745</v>
      </c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G34" s="2" t="s">
        <v>745</v>
      </c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G34" s="2" t="s">
        <v>745</v>
      </c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G34" s="2" t="s">
        <v>745</v>
      </c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G34" s="2" t="s">
        <v>745</v>
      </c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G34" s="2" t="s">
        <v>745</v>
      </c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G34" s="2" t="s">
        <v>745</v>
      </c>
      <c r="RH34" s="3"/>
      <c r="RI34" s="3"/>
      <c r="RJ34" s="3"/>
      <c r="RK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G34" s="2" t="s">
        <v>745</v>
      </c>
      <c r="SH34" s="3"/>
      <c r="SI34" s="3"/>
      <c r="SJ34" s="3"/>
      <c r="SK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G34" s="2" t="s">
        <v>745</v>
      </c>
      <c r="TH34" s="3"/>
      <c r="TI34" s="3"/>
      <c r="TJ34" s="3"/>
      <c r="TK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H34" s="3"/>
      <c r="UI34" s="3"/>
      <c r="UJ34" s="3"/>
      <c r="UK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H34" s="3"/>
      <c r="VI34" s="3"/>
      <c r="VJ34" s="3"/>
      <c r="VK34" s="3"/>
      <c r="VM34" s="3"/>
      <c r="VN34" s="3"/>
      <c r="VO34" s="3"/>
      <c r="VP34" s="3"/>
      <c r="VR34" s="3"/>
      <c r="VS34" s="3"/>
      <c r="VT34" s="3"/>
      <c r="VU34" s="3"/>
      <c r="VW34" s="3"/>
      <c r="VX34" s="3"/>
      <c r="VY34" s="3"/>
      <c r="VZ34" s="3"/>
      <c r="WH34" s="3"/>
      <c r="WI34" s="3"/>
      <c r="WJ34" s="3"/>
      <c r="WK34" s="3"/>
      <c r="WM34" s="3"/>
      <c r="WN34" s="3"/>
      <c r="WO34" s="3"/>
      <c r="WP34" s="3"/>
      <c r="WR34" s="3"/>
      <c r="WS34" s="3"/>
      <c r="WT34" s="3"/>
      <c r="WU34" s="3"/>
      <c r="WW34" s="3"/>
      <c r="WX34" s="3"/>
      <c r="WY34" s="3"/>
      <c r="WZ34" s="3"/>
      <c r="XH34" s="3"/>
      <c r="XI34" s="3"/>
      <c r="XJ34" s="3"/>
      <c r="XK34" s="3"/>
      <c r="XM34" s="3"/>
      <c r="XN34" s="3"/>
      <c r="XO34" s="3"/>
      <c r="XP34" s="3"/>
      <c r="XR34" s="3"/>
      <c r="XS34" s="3"/>
      <c r="XT34" s="3"/>
      <c r="XU34" s="3"/>
      <c r="XW34" s="3"/>
      <c r="XX34" s="3"/>
      <c r="XY34" s="3"/>
      <c r="XZ34" s="3"/>
      <c r="YH34" s="3"/>
      <c r="YI34" s="3"/>
      <c r="YJ34" s="3"/>
      <c r="YK34" s="3"/>
      <c r="YM34" s="3"/>
      <c r="YN34" s="3"/>
      <c r="YO34" s="3"/>
      <c r="YP34" s="3"/>
      <c r="YR34" s="3"/>
      <c r="YS34" s="3"/>
      <c r="YT34" s="3"/>
      <c r="YU34" s="3"/>
      <c r="YW34" s="3"/>
      <c r="YX34" s="3"/>
      <c r="YY34" s="3"/>
      <c r="YZ34" s="3"/>
      <c r="ZH34" s="3"/>
      <c r="ZI34" s="3"/>
      <c r="ZJ34" s="3"/>
      <c r="ZK34" s="3"/>
      <c r="ZM34" s="3"/>
      <c r="ZN34" s="3"/>
      <c r="ZO34" s="3"/>
      <c r="ZP34" s="3"/>
      <c r="ZR34" s="3"/>
      <c r="ZS34" s="3"/>
      <c r="ZT34" s="3"/>
      <c r="ZU34" s="3"/>
      <c r="ZW34" s="3"/>
      <c r="ZX34" s="3"/>
      <c r="ZY34" s="3"/>
      <c r="ZZ34" s="3"/>
      <c r="AAH34" s="3"/>
      <c r="AAI34" s="3"/>
      <c r="AAJ34" s="3"/>
      <c r="AAK34" s="3"/>
      <c r="AAM34" s="3"/>
      <c r="AAN34" s="3"/>
      <c r="AAO34" s="3"/>
      <c r="AAP34" s="3"/>
      <c r="AAR34" s="3"/>
      <c r="AAS34" s="3"/>
      <c r="AAT34" s="3"/>
      <c r="AAU34" s="3"/>
      <c r="AAW34" s="3"/>
      <c r="AAX34" s="3"/>
      <c r="AAY34" s="3"/>
      <c r="AAZ34" s="3"/>
      <c r="ABH34" s="3"/>
      <c r="ABI34" s="3"/>
      <c r="ABJ34" s="3"/>
      <c r="ABK34" s="3"/>
      <c r="ABM34" s="3"/>
      <c r="ABN34" s="3"/>
      <c r="ABO34" s="3"/>
      <c r="ABP34" s="3"/>
      <c r="ABR34" s="3"/>
      <c r="ABS34" s="3"/>
      <c r="ABT34" s="3"/>
      <c r="ABU34" s="3"/>
      <c r="ABW34" s="3"/>
      <c r="ABX34" s="3"/>
      <c r="ABY34" s="3"/>
      <c r="ABZ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G34" s="3"/>
      <c r="AJH34" s="3"/>
      <c r="AJI34" s="3"/>
      <c r="AJJ34" s="3"/>
      <c r="AJK34" s="3"/>
      <c r="AJM34" s="3"/>
      <c r="AJN34" s="3"/>
      <c r="AJO34" s="3"/>
      <c r="AJP34" s="3"/>
      <c r="AJR34" s="3"/>
      <c r="AJS34" s="3"/>
      <c r="AJT34" s="3"/>
      <c r="AJU34" s="3"/>
      <c r="AJV34" s="3"/>
      <c r="AJW34" s="3"/>
      <c r="AJX34" s="3"/>
      <c r="AJY34" s="3"/>
      <c r="AJZ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</row>
    <row r="35" spans="2:988" ht="27.75" customHeight="1" x14ac:dyDescent="0.4">
      <c r="G35" s="1"/>
      <c r="K35" s="3"/>
      <c r="L35" s="3"/>
      <c r="M35" s="3"/>
      <c r="N35" s="3"/>
      <c r="P35" s="3"/>
      <c r="Q35" s="3"/>
      <c r="R35" s="3"/>
      <c r="S35" s="3"/>
      <c r="U35" s="3"/>
      <c r="V35" s="3"/>
      <c r="W35" s="3"/>
      <c r="X35" s="3"/>
      <c r="Z35" s="3"/>
      <c r="AG35" s="1"/>
      <c r="AK35" s="3"/>
      <c r="AL35" s="3"/>
      <c r="AM35" s="3"/>
      <c r="AN35" s="3"/>
      <c r="AP35" s="3"/>
      <c r="AQ35" s="3"/>
      <c r="AR35" s="3"/>
      <c r="AS35" s="3"/>
      <c r="AU35" s="3"/>
      <c r="AV35" s="3"/>
      <c r="AW35" s="3"/>
      <c r="AX35" s="3"/>
      <c r="AZ35" s="3"/>
      <c r="BG35" s="1"/>
      <c r="BK35" s="3"/>
      <c r="BL35" s="3"/>
      <c r="BM35" s="3"/>
      <c r="BN35" s="3"/>
      <c r="BP35" s="3"/>
      <c r="BQ35" s="3"/>
      <c r="BR35" s="3"/>
      <c r="BS35" s="3"/>
      <c r="BU35" s="3"/>
      <c r="BV35" s="3"/>
      <c r="BW35" s="3"/>
      <c r="BX35" s="3"/>
      <c r="BZ35" s="3"/>
      <c r="CG35" s="1"/>
      <c r="CK35" s="3"/>
      <c r="CL35" s="3"/>
      <c r="CM35" s="3"/>
      <c r="CN35" s="3"/>
      <c r="CP35" s="3"/>
      <c r="CQ35" s="3"/>
      <c r="CR35" s="3"/>
      <c r="CS35" s="3"/>
      <c r="CU35" s="3"/>
      <c r="CV35" s="3"/>
      <c r="CW35" s="3"/>
      <c r="CX35" s="3"/>
      <c r="CZ35" s="3"/>
      <c r="DG35" s="1"/>
      <c r="DK35" s="3"/>
      <c r="DL35" s="3"/>
      <c r="DM35" s="3"/>
      <c r="DN35" s="3"/>
      <c r="DP35" s="3"/>
      <c r="DQ35" s="3"/>
      <c r="DR35" s="3"/>
      <c r="DS35" s="3"/>
      <c r="DU35" s="3"/>
      <c r="DV35" s="3"/>
      <c r="DW35" s="3"/>
      <c r="DX35" s="3"/>
      <c r="DZ35" s="3"/>
      <c r="EG35" s="1"/>
      <c r="EK35" s="3"/>
      <c r="EL35" s="3"/>
      <c r="EM35" s="3"/>
      <c r="EN35" s="3"/>
      <c r="EP35" s="3"/>
      <c r="EQ35" s="3"/>
      <c r="ER35" s="3"/>
      <c r="ES35" s="3"/>
      <c r="EU35" s="3"/>
      <c r="EV35" s="3"/>
      <c r="EW35" s="3"/>
      <c r="EX35" s="3"/>
      <c r="EZ35" s="3"/>
      <c r="FG35" s="1"/>
      <c r="FK35" s="3"/>
      <c r="FL35" s="3"/>
      <c r="FM35" s="3"/>
      <c r="FN35" s="3"/>
      <c r="FP35" s="3"/>
      <c r="FQ35" s="3"/>
      <c r="FR35" s="3"/>
      <c r="FS35" s="3"/>
      <c r="FU35" s="3"/>
      <c r="FV35" s="3"/>
      <c r="FW35" s="3"/>
      <c r="FX35" s="3"/>
      <c r="FZ35" s="3"/>
      <c r="GG35" s="1"/>
      <c r="GK35" s="3"/>
      <c r="GL35" s="3"/>
      <c r="GM35" s="3"/>
      <c r="GN35" s="3"/>
      <c r="GP35" s="3"/>
      <c r="GQ35" s="3"/>
      <c r="GR35" s="3"/>
      <c r="GS35" s="3"/>
      <c r="GU35" s="3"/>
      <c r="GV35" s="3"/>
      <c r="GW35" s="3"/>
      <c r="GX35" s="3"/>
      <c r="GZ35" s="3"/>
      <c r="HG35" s="1"/>
      <c r="HK35" s="3"/>
      <c r="HL35" s="3"/>
      <c r="HM35" s="3"/>
      <c r="HN35" s="3"/>
      <c r="HP35" s="3"/>
      <c r="HQ35" s="3"/>
      <c r="HR35" s="3"/>
      <c r="HS35" s="3"/>
      <c r="HU35" s="3"/>
      <c r="HV35" s="3"/>
      <c r="HW35" s="3"/>
      <c r="HX35" s="3"/>
      <c r="HZ35" s="3"/>
      <c r="IG35" s="1"/>
      <c r="IK35" s="3"/>
      <c r="IL35" s="3"/>
      <c r="IM35" s="3"/>
      <c r="IN35" s="3"/>
      <c r="IP35" s="3"/>
      <c r="IQ35" s="3"/>
      <c r="IR35" s="3"/>
      <c r="IS35" s="3"/>
      <c r="IU35" s="3"/>
      <c r="IV35" s="3"/>
      <c r="IW35" s="3"/>
      <c r="IX35" s="3"/>
      <c r="IZ35" s="3"/>
      <c r="JG35" s="1"/>
      <c r="JK35" s="3"/>
      <c r="JL35" s="3"/>
      <c r="JM35" s="3"/>
      <c r="JN35" s="3"/>
      <c r="JP35" s="3"/>
      <c r="JQ35" s="3"/>
      <c r="JR35" s="3"/>
      <c r="JS35" s="3"/>
      <c r="JU35" s="3"/>
      <c r="JV35" s="3"/>
      <c r="JW35" s="3"/>
      <c r="JX35" s="3"/>
      <c r="JZ35" s="3"/>
      <c r="KG35" s="1"/>
      <c r="KK35" s="3"/>
      <c r="KL35" s="3"/>
      <c r="KM35" s="3"/>
      <c r="KN35" s="3"/>
      <c r="KP35" s="3"/>
      <c r="KQ35" s="3"/>
      <c r="KR35" s="3"/>
      <c r="KS35" s="3"/>
      <c r="KU35" s="3"/>
      <c r="KV35" s="3"/>
      <c r="KW35" s="3"/>
      <c r="KX35" s="3"/>
      <c r="KZ35" s="3"/>
      <c r="LG35" s="1"/>
      <c r="LK35" s="3"/>
      <c r="LL35" s="3"/>
      <c r="LM35" s="3"/>
      <c r="LN35" s="3"/>
      <c r="LP35" s="3"/>
      <c r="LQ35" s="3"/>
      <c r="LR35" s="3"/>
      <c r="LS35" s="3"/>
      <c r="LU35" s="3"/>
      <c r="LV35" s="3"/>
      <c r="LW35" s="3"/>
      <c r="LX35" s="3"/>
      <c r="LZ35" s="3"/>
      <c r="MG35" s="1"/>
      <c r="MK35" s="3"/>
      <c r="ML35" s="3"/>
      <c r="MM35" s="3"/>
      <c r="MN35" s="3"/>
      <c r="MP35" s="3"/>
      <c r="MQ35" s="3"/>
      <c r="MR35" s="3"/>
      <c r="MS35" s="3"/>
      <c r="MU35" s="3"/>
      <c r="MV35" s="3"/>
      <c r="MW35" s="3"/>
      <c r="MX35" s="3"/>
      <c r="MZ35" s="3"/>
      <c r="NG35" s="1"/>
      <c r="NK35" s="3"/>
      <c r="NL35" s="3"/>
      <c r="NM35" s="3"/>
      <c r="NN35" s="3"/>
      <c r="NP35" s="3"/>
      <c r="NQ35" s="3"/>
      <c r="NR35" s="3"/>
      <c r="NS35" s="3"/>
      <c r="NU35" s="3"/>
      <c r="NV35" s="3"/>
      <c r="NW35" s="3"/>
      <c r="NX35" s="3"/>
      <c r="NZ35" s="3"/>
      <c r="OG35" s="1"/>
      <c r="OK35" s="3"/>
      <c r="OL35" s="3"/>
      <c r="OM35" s="3"/>
      <c r="ON35" s="3"/>
      <c r="OP35" s="3"/>
      <c r="OQ35" s="3"/>
      <c r="OR35" s="3"/>
      <c r="OS35" s="3"/>
      <c r="OU35" s="3"/>
      <c r="OV35" s="3"/>
      <c r="OW35" s="3"/>
      <c r="OX35" s="3"/>
      <c r="OZ35" s="3"/>
      <c r="PG35" s="1"/>
      <c r="PK35" s="3"/>
      <c r="PL35" s="3"/>
      <c r="PM35" s="3"/>
      <c r="PN35" s="3"/>
      <c r="PP35" s="3"/>
      <c r="PQ35" s="3"/>
      <c r="PR35" s="3"/>
      <c r="PS35" s="3"/>
      <c r="PU35" s="3"/>
      <c r="PV35" s="3"/>
      <c r="PW35" s="3"/>
      <c r="PX35" s="3"/>
      <c r="PZ35" s="3"/>
      <c r="QG35" s="1"/>
      <c r="QK35" s="3"/>
      <c r="QL35" s="3"/>
      <c r="QM35" s="3"/>
      <c r="QN35" s="3"/>
      <c r="QP35" s="3"/>
      <c r="QQ35" s="3"/>
      <c r="QR35" s="3"/>
      <c r="QS35" s="3"/>
      <c r="QU35" s="3"/>
      <c r="QV35" s="3"/>
      <c r="QW35" s="3"/>
      <c r="QX35" s="3"/>
      <c r="QZ35" s="3"/>
      <c r="RG35" s="3"/>
      <c r="RH35" s="3"/>
      <c r="RI35" s="3"/>
      <c r="RK35" s="3"/>
      <c r="RL35" s="1"/>
      <c r="RP35" s="3"/>
      <c r="RQ35" s="3"/>
      <c r="RR35" s="3"/>
      <c r="RS35" s="3"/>
      <c r="RU35" s="3"/>
      <c r="RV35" s="3"/>
      <c r="RW35" s="3"/>
      <c r="RX35" s="3"/>
      <c r="RZ35" s="3"/>
      <c r="SG35" s="3"/>
      <c r="SH35" s="3"/>
      <c r="SI35" s="3"/>
      <c r="SK35" s="3"/>
      <c r="SL35" s="1"/>
      <c r="SP35" s="3"/>
      <c r="SQ35" s="3"/>
      <c r="SR35" s="3"/>
      <c r="SS35" s="3"/>
      <c r="SU35" s="3"/>
      <c r="SV35" s="3"/>
      <c r="SW35" s="3"/>
      <c r="SX35" s="3"/>
      <c r="SZ35" s="3"/>
      <c r="TG35" s="3"/>
      <c r="TH35" s="3"/>
      <c r="TI35" s="3"/>
      <c r="TK35" s="3"/>
      <c r="TL35" s="1"/>
      <c r="TP35" s="3"/>
      <c r="TQ35" s="3"/>
      <c r="TR35" s="3"/>
      <c r="TS35" s="3"/>
      <c r="TU35" s="3"/>
      <c r="TV35" s="3"/>
      <c r="TW35" s="3"/>
      <c r="TX35" s="3"/>
      <c r="TZ35" s="3"/>
      <c r="UG35" s="3"/>
      <c r="UH35" s="3"/>
      <c r="UI35" s="3"/>
      <c r="UK35" s="3"/>
      <c r="UL35" s="1"/>
      <c r="UP35" s="3"/>
      <c r="UQ35" s="3"/>
      <c r="UR35" s="3"/>
      <c r="US35" s="3"/>
      <c r="UU35" s="3"/>
      <c r="UV35" s="3"/>
      <c r="UW35" s="3"/>
      <c r="UX35" s="3"/>
      <c r="UZ35" s="3"/>
      <c r="VG35" s="3"/>
      <c r="VH35" s="3"/>
      <c r="VI35" s="3"/>
      <c r="VK35" s="3"/>
      <c r="VL35" s="1"/>
      <c r="VP35" s="3"/>
      <c r="VQ35" s="1"/>
      <c r="VU35" s="3"/>
      <c r="VV35" s="1"/>
      <c r="VZ35" s="3"/>
      <c r="WG35" s="3"/>
      <c r="WH35" s="3"/>
      <c r="WI35" s="3"/>
      <c r="WK35" s="3"/>
      <c r="WL35" s="1"/>
      <c r="WP35" s="3"/>
      <c r="WQ35" s="1"/>
      <c r="WU35" s="3"/>
      <c r="WV35" s="1"/>
      <c r="WZ35" s="3"/>
      <c r="XG35" s="3"/>
      <c r="XH35" s="3"/>
      <c r="XI35" s="3"/>
      <c r="XK35" s="3"/>
      <c r="XL35" s="1"/>
      <c r="XP35" s="3"/>
      <c r="XQ35" s="1"/>
      <c r="XU35" s="3"/>
      <c r="XV35" s="1"/>
      <c r="XZ35" s="3"/>
      <c r="YG35" s="3"/>
      <c r="YH35" s="3"/>
      <c r="YI35" s="3"/>
      <c r="YK35" s="3"/>
      <c r="YL35" s="1"/>
      <c r="YP35" s="3"/>
      <c r="YQ35" s="1"/>
      <c r="YU35" s="3"/>
      <c r="YV35" s="1"/>
      <c r="YZ35" s="3"/>
      <c r="ZG35" s="3"/>
      <c r="ZH35" s="3"/>
      <c r="ZI35" s="3"/>
      <c r="ZK35" s="3"/>
      <c r="ZL35" s="1"/>
      <c r="ZP35" s="3"/>
      <c r="ZQ35" s="1"/>
      <c r="ZU35" s="3"/>
      <c r="ZV35" s="1"/>
      <c r="ZZ35" s="3"/>
      <c r="AAG35" s="3"/>
      <c r="AAH35" s="3"/>
      <c r="AAI35" s="3"/>
      <c r="AAK35" s="3"/>
      <c r="AAL35" s="1"/>
      <c r="AAP35" s="3"/>
      <c r="AAQ35" s="1"/>
      <c r="AAU35" s="3"/>
      <c r="AAV35" s="1"/>
      <c r="AAZ35" s="3"/>
      <c r="ABG35" s="3"/>
      <c r="ABH35" s="3"/>
      <c r="ABI35" s="3"/>
      <c r="ABK35" s="3"/>
      <c r="ABL35" s="1"/>
      <c r="ABP35" s="3"/>
      <c r="ABQ35" s="1"/>
      <c r="ABU35" s="3"/>
      <c r="ABV35" s="1"/>
      <c r="ABZ35" s="3"/>
      <c r="ACG35" s="1"/>
      <c r="ACK35" s="3"/>
      <c r="ACL35" s="3"/>
      <c r="ACM35" s="3"/>
      <c r="ACN35" s="3"/>
      <c r="ACP35" s="3"/>
      <c r="ACQ35" s="3"/>
      <c r="ACR35" s="3"/>
      <c r="ACS35" s="3"/>
      <c r="ACU35" s="3"/>
      <c r="ACV35" s="3"/>
      <c r="ACW35" s="3"/>
      <c r="ACX35" s="3"/>
      <c r="ACZ35" s="3"/>
      <c r="ADG35" s="1"/>
      <c r="ADK35" s="3"/>
      <c r="ADL35" s="3"/>
      <c r="ADM35" s="3"/>
      <c r="ADN35" s="3"/>
      <c r="ADP35" s="3"/>
      <c r="ADQ35" s="3"/>
      <c r="ADR35" s="3"/>
      <c r="ADS35" s="3"/>
      <c r="ADU35" s="3"/>
      <c r="ADV35" s="3"/>
      <c r="ADW35" s="3"/>
      <c r="ADX35" s="3"/>
      <c r="ADZ35" s="3"/>
      <c r="AEG35" s="1"/>
      <c r="AEK35" s="3"/>
      <c r="AEL35" s="3"/>
      <c r="AEM35" s="3"/>
      <c r="AEN35" s="3"/>
      <c r="AEP35" s="3"/>
      <c r="AEQ35" s="3"/>
      <c r="AER35" s="3"/>
      <c r="AES35" s="3"/>
      <c r="AEU35" s="3"/>
      <c r="AEV35" s="3"/>
      <c r="AEW35" s="3"/>
      <c r="AEX35" s="3"/>
      <c r="AEZ35" s="3"/>
      <c r="AFG35" s="1"/>
      <c r="AFK35" s="3"/>
      <c r="AFL35" s="3"/>
      <c r="AFM35" s="3"/>
      <c r="AFN35" s="3"/>
      <c r="AFP35" s="3"/>
      <c r="AFQ35" s="3"/>
      <c r="AFR35" s="3"/>
      <c r="AFS35" s="3"/>
      <c r="AFU35" s="3"/>
      <c r="AFV35" s="3"/>
      <c r="AFW35" s="3"/>
      <c r="AFX35" s="3"/>
      <c r="AFZ35" s="3"/>
      <c r="AGG35" s="1"/>
      <c r="AGK35" s="3"/>
      <c r="AGL35" s="3"/>
      <c r="AGM35" s="3"/>
      <c r="AGN35" s="3"/>
      <c r="AGP35" s="3"/>
      <c r="AGQ35" s="3"/>
      <c r="AGR35" s="3"/>
      <c r="AGS35" s="3"/>
      <c r="AGU35" s="3"/>
      <c r="AGV35" s="3"/>
      <c r="AGW35" s="3"/>
      <c r="AGX35" s="3"/>
      <c r="AGZ35" s="3"/>
      <c r="AHG35" s="1"/>
      <c r="AHK35" s="3"/>
      <c r="AHL35" s="3"/>
      <c r="AHM35" s="3"/>
      <c r="AHN35" s="3"/>
      <c r="AHP35" s="3"/>
      <c r="AHQ35" s="3"/>
      <c r="AHR35" s="3"/>
      <c r="AHS35" s="3"/>
      <c r="AHU35" s="3"/>
      <c r="AHV35" s="3"/>
      <c r="AHW35" s="3"/>
      <c r="AHX35" s="3"/>
      <c r="AHZ35" s="3"/>
      <c r="AIG35" s="1"/>
      <c r="AIK35" s="3"/>
      <c r="AIL35" s="3"/>
      <c r="AIM35" s="3"/>
      <c r="AIN35" s="3"/>
      <c r="AIP35" s="3"/>
      <c r="AIQ35" s="3"/>
      <c r="AIR35" s="3"/>
      <c r="AIS35" s="3"/>
      <c r="AIU35" s="3"/>
      <c r="AIV35" s="3"/>
      <c r="AIW35" s="3"/>
      <c r="AIX35" s="3"/>
      <c r="AIZ35" s="3"/>
      <c r="AJG35" s="3"/>
      <c r="AJH35" s="3"/>
      <c r="AJI35" s="3"/>
      <c r="AJK35" s="3"/>
      <c r="AJL35" s="1"/>
      <c r="AJP35" s="3"/>
      <c r="AJQ35" s="1"/>
      <c r="AJU35" s="3"/>
      <c r="AJV35" s="3"/>
      <c r="AJW35" s="3"/>
      <c r="AJX35" s="3"/>
      <c r="AJZ35" s="3"/>
      <c r="AKG35" s="1"/>
      <c r="AKK35" s="3"/>
      <c r="AKL35" s="3"/>
      <c r="AKM35" s="3"/>
      <c r="AKN35" s="3"/>
      <c r="AKP35" s="3"/>
      <c r="AKQ35" s="3"/>
      <c r="AKR35" s="3"/>
      <c r="AKS35" s="3"/>
      <c r="AKU35" s="3"/>
      <c r="AKV35" s="3"/>
      <c r="AKW35" s="3"/>
      <c r="AKX35" s="3"/>
      <c r="AKZ35" s="3"/>
    </row>
    <row r="36" spans="2:988" ht="27.75" customHeight="1" x14ac:dyDescent="0.4">
      <c r="G36" s="1"/>
      <c r="I36" s="3"/>
      <c r="K36" s="3"/>
      <c r="L36" s="3"/>
      <c r="M36" s="3"/>
      <c r="N36" s="3"/>
      <c r="P36" s="3"/>
      <c r="Q36" s="3"/>
      <c r="R36" s="3"/>
      <c r="S36" s="3"/>
      <c r="U36" s="3"/>
      <c r="V36" s="3"/>
      <c r="W36" s="3"/>
      <c r="X36" s="3"/>
      <c r="Z36" s="3"/>
      <c r="AG36" s="1"/>
      <c r="AI36" s="3"/>
      <c r="AK36" s="3"/>
      <c r="AL36" s="3"/>
      <c r="AM36" s="3"/>
      <c r="AN36" s="3"/>
      <c r="AP36" s="3"/>
      <c r="AQ36" s="3"/>
      <c r="AR36" s="3"/>
      <c r="AS36" s="3"/>
      <c r="AU36" s="3"/>
      <c r="AV36" s="3"/>
      <c r="AW36" s="3"/>
      <c r="AX36" s="3"/>
      <c r="AZ36" s="3"/>
      <c r="BG36" s="1"/>
      <c r="BI36" s="3"/>
      <c r="BK36" s="3"/>
      <c r="BL36" s="3"/>
      <c r="BM36" s="3"/>
      <c r="BN36" s="3"/>
      <c r="BP36" s="3"/>
      <c r="BQ36" s="3"/>
      <c r="BR36" s="3"/>
      <c r="BS36" s="3"/>
      <c r="BU36" s="3"/>
      <c r="BV36" s="3"/>
      <c r="BW36" s="3"/>
      <c r="BX36" s="3"/>
      <c r="BZ36" s="3"/>
      <c r="CG36" s="1"/>
      <c r="CI36" s="3"/>
      <c r="CK36" s="3"/>
      <c r="CL36" s="3"/>
      <c r="CM36" s="3"/>
      <c r="CN36" s="3"/>
      <c r="CP36" s="3"/>
      <c r="CQ36" s="3"/>
      <c r="CR36" s="3"/>
      <c r="CS36" s="3"/>
      <c r="CU36" s="3"/>
      <c r="CV36" s="3"/>
      <c r="CW36" s="3"/>
      <c r="CX36" s="3"/>
      <c r="CZ36" s="3"/>
      <c r="DG36" s="1"/>
      <c r="DI36" s="3"/>
      <c r="DK36" s="3"/>
      <c r="DL36" s="3"/>
      <c r="DM36" s="3"/>
      <c r="DN36" s="3"/>
      <c r="DP36" s="3"/>
      <c r="DQ36" s="3"/>
      <c r="DR36" s="3"/>
      <c r="DS36" s="3"/>
      <c r="DU36" s="3"/>
      <c r="DV36" s="3"/>
      <c r="DW36" s="3"/>
      <c r="DX36" s="3"/>
      <c r="DZ36" s="3"/>
      <c r="EG36" s="1"/>
      <c r="EI36" s="3"/>
      <c r="EK36" s="3"/>
      <c r="EL36" s="3"/>
      <c r="EM36" s="3"/>
      <c r="EN36" s="3"/>
      <c r="EP36" s="3"/>
      <c r="EQ36" s="3"/>
      <c r="ER36" s="3"/>
      <c r="ES36" s="3"/>
      <c r="EU36" s="3"/>
      <c r="EV36" s="3"/>
      <c r="EW36" s="3"/>
      <c r="EX36" s="3"/>
      <c r="EZ36" s="3"/>
      <c r="FG36" s="1"/>
      <c r="FI36" s="3"/>
      <c r="FK36" s="3"/>
      <c r="FL36" s="3"/>
      <c r="FM36" s="3"/>
      <c r="FN36" s="3"/>
      <c r="FP36" s="3"/>
      <c r="FQ36" s="3"/>
      <c r="FR36" s="3"/>
      <c r="FS36" s="3"/>
      <c r="FU36" s="3"/>
      <c r="FV36" s="3"/>
      <c r="FW36" s="3"/>
      <c r="FX36" s="3"/>
      <c r="FZ36" s="3"/>
      <c r="GG36" s="1"/>
      <c r="GI36" s="3"/>
      <c r="GK36" s="3"/>
      <c r="GL36" s="3"/>
      <c r="GM36" s="3"/>
      <c r="GN36" s="3"/>
      <c r="GP36" s="3"/>
      <c r="GQ36" s="3"/>
      <c r="GR36" s="3"/>
      <c r="GS36" s="3"/>
      <c r="GU36" s="3"/>
      <c r="GV36" s="3"/>
      <c r="GW36" s="3"/>
      <c r="GX36" s="3"/>
      <c r="GZ36" s="3"/>
      <c r="HG36" s="1"/>
      <c r="HI36" s="3"/>
      <c r="HK36" s="3"/>
      <c r="HL36" s="3"/>
      <c r="HM36" s="3"/>
      <c r="HN36" s="3"/>
      <c r="HP36" s="3"/>
      <c r="HQ36" s="3"/>
      <c r="HR36" s="3"/>
      <c r="HS36" s="3"/>
      <c r="HU36" s="3"/>
      <c r="HV36" s="3"/>
      <c r="HW36" s="3"/>
      <c r="HX36" s="3"/>
      <c r="HZ36" s="3"/>
      <c r="IG36" s="1"/>
      <c r="II36" s="3"/>
      <c r="IK36" s="3"/>
      <c r="IL36" s="3"/>
      <c r="IM36" s="3"/>
      <c r="IN36" s="3"/>
      <c r="IP36" s="3"/>
      <c r="IQ36" s="3"/>
      <c r="IR36" s="3"/>
      <c r="IS36" s="3"/>
      <c r="IU36" s="3"/>
      <c r="IV36" s="3"/>
      <c r="IW36" s="3"/>
      <c r="IX36" s="3"/>
      <c r="IZ36" s="3"/>
      <c r="JG36" s="1"/>
      <c r="JI36" s="3"/>
      <c r="JK36" s="3"/>
      <c r="JL36" s="3"/>
      <c r="JM36" s="3"/>
      <c r="JN36" s="3"/>
      <c r="JP36" s="3"/>
      <c r="JQ36" s="3"/>
      <c r="JR36" s="3"/>
      <c r="JS36" s="3"/>
      <c r="JU36" s="3"/>
      <c r="JV36" s="3"/>
      <c r="JW36" s="3"/>
      <c r="JX36" s="3"/>
      <c r="JZ36" s="3"/>
      <c r="KG36" s="1"/>
      <c r="KI36" s="3"/>
      <c r="KK36" s="3"/>
      <c r="KL36" s="3"/>
      <c r="KM36" s="3"/>
      <c r="KN36" s="3"/>
      <c r="KP36" s="3"/>
      <c r="KQ36" s="3"/>
      <c r="KR36" s="3"/>
      <c r="KS36" s="3"/>
      <c r="KU36" s="3"/>
      <c r="KV36" s="3"/>
      <c r="KW36" s="3"/>
      <c r="KX36" s="3"/>
      <c r="KZ36" s="3"/>
      <c r="LG36" s="1"/>
      <c r="LI36" s="3"/>
      <c r="LK36" s="3"/>
      <c r="LL36" s="3"/>
      <c r="LM36" s="3"/>
      <c r="LN36" s="3"/>
      <c r="LP36" s="3"/>
      <c r="LQ36" s="3"/>
      <c r="LR36" s="3"/>
      <c r="LS36" s="3"/>
      <c r="LU36" s="3"/>
      <c r="LV36" s="3"/>
      <c r="LW36" s="3"/>
      <c r="LX36" s="3"/>
      <c r="LZ36" s="3"/>
      <c r="MG36" s="1"/>
      <c r="MI36" s="3"/>
      <c r="MK36" s="3"/>
      <c r="ML36" s="3"/>
      <c r="MM36" s="3"/>
      <c r="MN36" s="3"/>
      <c r="MP36" s="3"/>
      <c r="MQ36" s="3"/>
      <c r="MR36" s="3"/>
      <c r="MS36" s="3"/>
      <c r="MU36" s="3"/>
      <c r="MV36" s="3"/>
      <c r="MW36" s="3"/>
      <c r="MX36" s="3"/>
      <c r="MZ36" s="3"/>
      <c r="NG36" s="1"/>
      <c r="NI36" s="3"/>
      <c r="NK36" s="3"/>
      <c r="NL36" s="3"/>
      <c r="NM36" s="3"/>
      <c r="NN36" s="3"/>
      <c r="NP36" s="3"/>
      <c r="NQ36" s="3"/>
      <c r="NR36" s="3"/>
      <c r="NS36" s="3"/>
      <c r="NU36" s="3"/>
      <c r="NV36" s="3"/>
      <c r="NW36" s="3"/>
      <c r="NX36" s="3"/>
      <c r="NZ36" s="3"/>
      <c r="OG36" s="1"/>
      <c r="OI36" s="3"/>
      <c r="OK36" s="3"/>
      <c r="OL36" s="3"/>
      <c r="OM36" s="3"/>
      <c r="ON36" s="3"/>
      <c r="OP36" s="3"/>
      <c r="OQ36" s="3"/>
      <c r="OR36" s="3"/>
      <c r="OS36" s="3"/>
      <c r="OU36" s="3"/>
      <c r="OV36" s="3"/>
      <c r="OW36" s="3"/>
      <c r="OX36" s="3"/>
      <c r="OZ36" s="3"/>
      <c r="PG36" s="1"/>
      <c r="PI36" s="3"/>
      <c r="PK36" s="3"/>
      <c r="PL36" s="3"/>
      <c r="PM36" s="3"/>
      <c r="PN36" s="3"/>
      <c r="PP36" s="3"/>
      <c r="PQ36" s="3"/>
      <c r="PR36" s="3"/>
      <c r="PS36" s="3"/>
      <c r="PU36" s="3"/>
      <c r="PV36" s="3"/>
      <c r="PW36" s="3"/>
      <c r="PX36" s="3"/>
      <c r="PZ36" s="3"/>
      <c r="QG36" s="1"/>
      <c r="QI36" s="3"/>
      <c r="QK36" s="3"/>
      <c r="QL36" s="3"/>
      <c r="QM36" s="3"/>
      <c r="QN36" s="3"/>
      <c r="QP36" s="3"/>
      <c r="QQ36" s="3"/>
      <c r="QR36" s="3"/>
      <c r="QS36" s="3"/>
      <c r="QU36" s="3"/>
      <c r="QV36" s="3"/>
      <c r="QW36" s="3"/>
      <c r="QX36" s="3"/>
      <c r="QZ36" s="3"/>
      <c r="RG36" s="3"/>
      <c r="RH36" s="3"/>
      <c r="RI36" s="3"/>
      <c r="RK36" s="3"/>
      <c r="RL36" s="1"/>
      <c r="RN36" s="3"/>
      <c r="RP36" s="3"/>
      <c r="RQ36" s="3"/>
      <c r="RR36" s="3"/>
      <c r="RS36" s="3"/>
      <c r="RU36" s="3"/>
      <c r="RV36" s="3"/>
      <c r="RW36" s="3"/>
      <c r="RX36" s="3"/>
      <c r="RZ36" s="3"/>
      <c r="SG36" s="3"/>
      <c r="SH36" s="3"/>
      <c r="SI36" s="3"/>
      <c r="SK36" s="3"/>
      <c r="SL36" s="1"/>
      <c r="SN36" s="3"/>
      <c r="SP36" s="3"/>
      <c r="SQ36" s="3"/>
      <c r="SR36" s="3"/>
      <c r="SS36" s="3"/>
      <c r="SU36" s="3"/>
      <c r="SV36" s="3"/>
      <c r="SW36" s="3"/>
      <c r="SX36" s="3"/>
      <c r="SZ36" s="3"/>
      <c r="TG36" s="3"/>
      <c r="TH36" s="3"/>
      <c r="TI36" s="3"/>
      <c r="TK36" s="3"/>
      <c r="TL36" s="1"/>
      <c r="TN36" s="3"/>
      <c r="TP36" s="3"/>
      <c r="TQ36" s="3"/>
      <c r="TR36" s="3"/>
      <c r="TS36" s="3"/>
      <c r="TU36" s="3"/>
      <c r="TV36" s="3"/>
      <c r="TW36" s="3"/>
      <c r="TX36" s="3"/>
      <c r="TZ36" s="3"/>
      <c r="UG36" s="3"/>
      <c r="UH36" s="3"/>
      <c r="UI36" s="3"/>
      <c r="UK36" s="3"/>
      <c r="UL36" s="1"/>
      <c r="UN36" s="3"/>
      <c r="UP36" s="3"/>
      <c r="UQ36" s="3"/>
      <c r="UR36" s="3"/>
      <c r="US36" s="3"/>
      <c r="UU36" s="3"/>
      <c r="UV36" s="3"/>
      <c r="UW36" s="3"/>
      <c r="UX36" s="3"/>
      <c r="UZ36" s="3"/>
      <c r="VG36" s="3"/>
      <c r="VH36" s="3"/>
      <c r="VI36" s="3"/>
      <c r="VK36" s="3"/>
      <c r="VL36" s="1"/>
      <c r="VN36" s="3"/>
      <c r="VP36" s="3"/>
      <c r="VQ36" s="1"/>
      <c r="VS36" s="3"/>
      <c r="VU36" s="3"/>
      <c r="VV36" s="1"/>
      <c r="VX36" s="3"/>
      <c r="VZ36" s="3"/>
      <c r="WG36" s="3"/>
      <c r="WH36" s="3"/>
      <c r="WI36" s="3"/>
      <c r="WK36" s="3"/>
      <c r="WL36" s="1"/>
      <c r="WN36" s="3"/>
      <c r="WP36" s="3"/>
      <c r="WQ36" s="1"/>
      <c r="WS36" s="3"/>
      <c r="WU36" s="3"/>
      <c r="WV36" s="1"/>
      <c r="WX36" s="3"/>
      <c r="WZ36" s="3"/>
      <c r="XG36" s="3"/>
      <c r="XH36" s="3"/>
      <c r="XI36" s="3"/>
      <c r="XK36" s="3"/>
      <c r="XL36" s="1"/>
      <c r="XN36" s="3"/>
      <c r="XP36" s="3"/>
      <c r="XQ36" s="1"/>
      <c r="XS36" s="3"/>
      <c r="XU36" s="3"/>
      <c r="XV36" s="1"/>
      <c r="XX36" s="3"/>
      <c r="XZ36" s="3"/>
      <c r="YG36" s="3"/>
      <c r="YH36" s="3"/>
      <c r="YI36" s="3"/>
      <c r="YK36" s="3"/>
      <c r="YL36" s="1"/>
      <c r="YN36" s="3"/>
      <c r="YP36" s="3"/>
      <c r="YQ36" s="1"/>
      <c r="YS36" s="3"/>
      <c r="YU36" s="3"/>
      <c r="YV36" s="1"/>
      <c r="YX36" s="3"/>
      <c r="YZ36" s="3"/>
      <c r="ZG36" s="3"/>
      <c r="ZH36" s="3"/>
      <c r="ZI36" s="3"/>
      <c r="ZK36" s="3"/>
      <c r="ZL36" s="1"/>
      <c r="ZN36" s="3"/>
      <c r="ZP36" s="3"/>
      <c r="ZQ36" s="1"/>
      <c r="ZS36" s="3"/>
      <c r="ZU36" s="3"/>
      <c r="ZV36" s="1"/>
      <c r="ZX36" s="3"/>
      <c r="ZZ36" s="3"/>
      <c r="AAG36" s="3"/>
      <c r="AAH36" s="3"/>
      <c r="AAI36" s="3"/>
      <c r="AAK36" s="3"/>
      <c r="AAL36" s="1"/>
      <c r="AAN36" s="3"/>
      <c r="AAP36" s="3"/>
      <c r="AAQ36" s="1"/>
      <c r="AAS36" s="3"/>
      <c r="AAU36" s="3"/>
      <c r="AAV36" s="1"/>
      <c r="AAX36" s="3"/>
      <c r="AAZ36" s="3"/>
      <c r="ABG36" s="3"/>
      <c r="ABH36" s="3"/>
      <c r="ABI36" s="3"/>
      <c r="ABK36" s="3"/>
      <c r="ABL36" s="1"/>
      <c r="ABN36" s="3"/>
      <c r="ABP36" s="3"/>
      <c r="ABQ36" s="1"/>
      <c r="ABS36" s="3"/>
      <c r="ABU36" s="3"/>
      <c r="ABV36" s="1"/>
      <c r="ABX36" s="3"/>
      <c r="ABZ36" s="3"/>
      <c r="ACG36" s="1"/>
      <c r="ACI36" s="3"/>
      <c r="ACK36" s="3"/>
      <c r="ACL36" s="3"/>
      <c r="ACM36" s="3"/>
      <c r="ACN36" s="3"/>
      <c r="ACP36" s="3"/>
      <c r="ACQ36" s="3"/>
      <c r="ACR36" s="3"/>
      <c r="ACS36" s="3"/>
      <c r="ACU36" s="3"/>
      <c r="ACV36" s="3"/>
      <c r="ACW36" s="3"/>
      <c r="ACX36" s="3"/>
      <c r="ACZ36" s="3"/>
      <c r="ADG36" s="1"/>
      <c r="ADI36" s="3"/>
      <c r="ADK36" s="3"/>
      <c r="ADL36" s="3"/>
      <c r="ADM36" s="3"/>
      <c r="ADN36" s="3"/>
      <c r="ADP36" s="3"/>
      <c r="ADQ36" s="3"/>
      <c r="ADR36" s="3"/>
      <c r="ADS36" s="3"/>
      <c r="ADU36" s="3"/>
      <c r="ADV36" s="3"/>
      <c r="ADW36" s="3"/>
      <c r="ADX36" s="3"/>
      <c r="ADZ36" s="3"/>
      <c r="AEG36" s="1"/>
      <c r="AEI36" s="3"/>
      <c r="AEK36" s="3"/>
      <c r="AEL36" s="3"/>
      <c r="AEM36" s="3"/>
      <c r="AEN36" s="3"/>
      <c r="AEP36" s="3"/>
      <c r="AEQ36" s="3"/>
      <c r="AER36" s="3"/>
      <c r="AES36" s="3"/>
      <c r="AEU36" s="3"/>
      <c r="AEV36" s="3"/>
      <c r="AEW36" s="3"/>
      <c r="AEX36" s="3"/>
      <c r="AEZ36" s="3"/>
      <c r="AFG36" s="1"/>
      <c r="AFI36" s="3"/>
      <c r="AFK36" s="3"/>
      <c r="AFL36" s="3"/>
      <c r="AFM36" s="3"/>
      <c r="AFN36" s="3"/>
      <c r="AFP36" s="3"/>
      <c r="AFQ36" s="3"/>
      <c r="AFR36" s="3"/>
      <c r="AFS36" s="3"/>
      <c r="AFU36" s="3"/>
      <c r="AFV36" s="3"/>
      <c r="AFW36" s="3"/>
      <c r="AFX36" s="3"/>
      <c r="AFZ36" s="3"/>
      <c r="AGG36" s="1"/>
      <c r="AGI36" s="3"/>
      <c r="AGK36" s="3"/>
      <c r="AGL36" s="3"/>
      <c r="AGM36" s="3"/>
      <c r="AGN36" s="3"/>
      <c r="AGP36" s="3"/>
      <c r="AGQ36" s="3"/>
      <c r="AGR36" s="3"/>
      <c r="AGS36" s="3"/>
      <c r="AGU36" s="3"/>
      <c r="AGV36" s="3"/>
      <c r="AGW36" s="3"/>
      <c r="AGX36" s="3"/>
      <c r="AGZ36" s="3"/>
      <c r="AHG36" s="1"/>
      <c r="AHI36" s="3"/>
      <c r="AHK36" s="3"/>
      <c r="AHL36" s="3"/>
      <c r="AHM36" s="3"/>
      <c r="AHN36" s="3"/>
      <c r="AHP36" s="3"/>
      <c r="AHQ36" s="3"/>
      <c r="AHR36" s="3"/>
      <c r="AHS36" s="3"/>
      <c r="AHU36" s="3"/>
      <c r="AHV36" s="3"/>
      <c r="AHW36" s="3"/>
      <c r="AHX36" s="3"/>
      <c r="AHZ36" s="3"/>
      <c r="AIG36" s="1"/>
      <c r="AII36" s="3"/>
      <c r="AIK36" s="3"/>
      <c r="AIL36" s="3"/>
      <c r="AIM36" s="3"/>
      <c r="AIN36" s="3"/>
      <c r="AIP36" s="3"/>
      <c r="AIQ36" s="3"/>
      <c r="AIR36" s="3"/>
      <c r="AIS36" s="3"/>
      <c r="AIU36" s="3"/>
      <c r="AIV36" s="3"/>
      <c r="AIW36" s="3"/>
      <c r="AIX36" s="3"/>
      <c r="AIZ36" s="3"/>
      <c r="AJG36" s="3"/>
      <c r="AJH36" s="3"/>
      <c r="AJI36" s="3"/>
      <c r="AJK36" s="3"/>
      <c r="AJL36" s="1"/>
      <c r="AJN36" s="3"/>
      <c r="AJP36" s="3"/>
      <c r="AJQ36" s="1"/>
      <c r="AJS36" s="3"/>
      <c r="AJU36" s="3"/>
      <c r="AJV36" s="3"/>
      <c r="AJW36" s="3"/>
      <c r="AJX36" s="3"/>
      <c r="AJZ36" s="3"/>
      <c r="AKG36" s="1"/>
      <c r="AKI36" s="3"/>
      <c r="AKK36" s="3"/>
      <c r="AKL36" s="3"/>
      <c r="AKM36" s="3"/>
      <c r="AKN36" s="3"/>
      <c r="AKP36" s="3"/>
      <c r="AKQ36" s="3"/>
      <c r="AKR36" s="3"/>
      <c r="AKS36" s="3"/>
      <c r="AKU36" s="3"/>
      <c r="AKV36" s="3"/>
      <c r="AKW36" s="3"/>
      <c r="AKX36" s="3"/>
      <c r="AKZ36" s="3"/>
    </row>
    <row r="37" spans="2:988" ht="28.35" customHeight="1" x14ac:dyDescent="0.4">
      <c r="G37" s="3"/>
      <c r="K37" s="3"/>
      <c r="L37" s="3"/>
      <c r="M37" s="3"/>
      <c r="N37" s="3"/>
      <c r="P37" s="3"/>
      <c r="Q37" s="3"/>
      <c r="R37" s="3"/>
      <c r="S37" s="3"/>
      <c r="U37" s="3"/>
      <c r="V37" s="3"/>
      <c r="W37" s="3"/>
      <c r="X37" s="3"/>
      <c r="Z37" s="3"/>
      <c r="AG37" s="3"/>
      <c r="AK37" s="3"/>
      <c r="AL37" s="3"/>
      <c r="AM37" s="3"/>
      <c r="AN37" s="3"/>
      <c r="AP37" s="3"/>
      <c r="AQ37" s="3"/>
      <c r="AR37" s="3"/>
      <c r="AS37" s="3"/>
      <c r="AU37" s="3"/>
      <c r="AV37" s="3"/>
      <c r="AW37" s="3"/>
      <c r="AX37" s="3"/>
      <c r="AZ37" s="3"/>
      <c r="BG37" s="3"/>
      <c r="BK37" s="3"/>
      <c r="BL37" s="3"/>
      <c r="BM37" s="3"/>
      <c r="BN37" s="3"/>
      <c r="BP37" s="3"/>
      <c r="BQ37" s="3"/>
      <c r="BR37" s="3"/>
      <c r="BS37" s="3"/>
      <c r="BU37" s="3"/>
      <c r="BV37" s="3"/>
      <c r="BW37" s="3"/>
      <c r="BX37" s="3"/>
      <c r="BZ37" s="3"/>
      <c r="CG37" s="3"/>
      <c r="CK37" s="3"/>
      <c r="CL37" s="3"/>
      <c r="CM37" s="3"/>
      <c r="CN37" s="3"/>
      <c r="CP37" s="3"/>
      <c r="CQ37" s="3"/>
      <c r="CR37" s="3"/>
      <c r="CS37" s="3"/>
      <c r="CU37" s="3"/>
      <c r="CV37" s="3"/>
      <c r="CW37" s="3"/>
      <c r="CX37" s="3"/>
      <c r="CZ37" s="3"/>
      <c r="DG37" s="3"/>
      <c r="DK37" s="3"/>
      <c r="DL37" s="3"/>
      <c r="DM37" s="3"/>
      <c r="DN37" s="3"/>
      <c r="DP37" s="3"/>
      <c r="DQ37" s="3"/>
      <c r="DR37" s="3"/>
      <c r="DS37" s="3"/>
      <c r="DU37" s="3"/>
      <c r="DV37" s="3"/>
      <c r="DW37" s="3"/>
      <c r="DX37" s="3"/>
      <c r="DZ37" s="3"/>
      <c r="EG37" s="3"/>
      <c r="EK37" s="3"/>
      <c r="EL37" s="3"/>
      <c r="EM37" s="3"/>
      <c r="EN37" s="3"/>
      <c r="EP37" s="3"/>
      <c r="EQ37" s="3"/>
      <c r="ER37" s="3"/>
      <c r="ES37" s="3"/>
      <c r="EU37" s="3"/>
      <c r="EV37" s="3"/>
      <c r="EW37" s="3"/>
      <c r="EX37" s="3"/>
      <c r="EZ37" s="3"/>
      <c r="FG37" s="3"/>
      <c r="FK37" s="3"/>
      <c r="FL37" s="3"/>
      <c r="FM37" s="3"/>
      <c r="FN37" s="3"/>
      <c r="FP37" s="3"/>
      <c r="FQ37" s="3"/>
      <c r="FR37" s="3"/>
      <c r="FS37" s="3"/>
      <c r="FU37" s="3"/>
      <c r="FV37" s="3"/>
      <c r="FW37" s="3"/>
      <c r="FX37" s="3"/>
      <c r="FZ37" s="3"/>
      <c r="GG37" s="3"/>
      <c r="GK37" s="3"/>
      <c r="GL37" s="3"/>
      <c r="GM37" s="3"/>
      <c r="GN37" s="3"/>
      <c r="GP37" s="3"/>
      <c r="GQ37" s="3"/>
      <c r="GR37" s="3"/>
      <c r="GS37" s="3"/>
      <c r="GU37" s="3"/>
      <c r="GV37" s="3"/>
      <c r="GW37" s="3"/>
      <c r="GX37" s="3"/>
      <c r="GZ37" s="3"/>
      <c r="HG37" s="3"/>
      <c r="HK37" s="3"/>
      <c r="HL37" s="3"/>
      <c r="HM37" s="3"/>
      <c r="HN37" s="3"/>
      <c r="HP37" s="3"/>
      <c r="HQ37" s="3"/>
      <c r="HR37" s="3"/>
      <c r="HS37" s="3"/>
      <c r="HU37" s="3"/>
      <c r="HV37" s="3"/>
      <c r="HW37" s="3"/>
      <c r="HX37" s="3"/>
      <c r="HZ37" s="3"/>
      <c r="IG37" s="3"/>
      <c r="IK37" s="3"/>
      <c r="IL37" s="3"/>
      <c r="IM37" s="3"/>
      <c r="IN37" s="3"/>
      <c r="IP37" s="3"/>
      <c r="IQ37" s="3"/>
      <c r="IR37" s="3"/>
      <c r="IS37" s="3"/>
      <c r="IU37" s="3"/>
      <c r="IV37" s="3"/>
      <c r="IW37" s="3"/>
      <c r="IX37" s="3"/>
      <c r="IZ37" s="3"/>
      <c r="JG37" s="3"/>
      <c r="JK37" s="3"/>
      <c r="JL37" s="3"/>
      <c r="JM37" s="3"/>
      <c r="JN37" s="3"/>
      <c r="JP37" s="3"/>
      <c r="JQ37" s="3"/>
      <c r="JR37" s="3"/>
      <c r="JS37" s="3"/>
      <c r="JU37" s="3"/>
      <c r="JV37" s="3"/>
      <c r="JW37" s="3"/>
      <c r="JX37" s="3"/>
      <c r="JZ37" s="3"/>
      <c r="KG37" s="3"/>
      <c r="KK37" s="3"/>
      <c r="KL37" s="3"/>
      <c r="KM37" s="3"/>
      <c r="KN37" s="3"/>
      <c r="KP37" s="3"/>
      <c r="KQ37" s="3"/>
      <c r="KR37" s="3"/>
      <c r="KS37" s="3"/>
      <c r="KU37" s="3"/>
      <c r="KV37" s="3"/>
      <c r="KW37" s="3"/>
      <c r="KX37" s="3"/>
      <c r="KZ37" s="3"/>
      <c r="LG37" s="3"/>
      <c r="LK37" s="3"/>
      <c r="LL37" s="3"/>
      <c r="LM37" s="3"/>
      <c r="LN37" s="3"/>
      <c r="LP37" s="3"/>
      <c r="LQ37" s="3"/>
      <c r="LR37" s="3"/>
      <c r="LS37" s="3"/>
      <c r="LU37" s="3"/>
      <c r="LV37" s="3"/>
      <c r="LW37" s="3"/>
      <c r="LX37" s="3"/>
      <c r="LZ37" s="3"/>
      <c r="MG37" s="3"/>
      <c r="MK37" s="3"/>
      <c r="ML37" s="3"/>
      <c r="MM37" s="3"/>
      <c r="MN37" s="3"/>
      <c r="MP37" s="3"/>
      <c r="MQ37" s="3"/>
      <c r="MR37" s="3"/>
      <c r="MS37" s="3"/>
      <c r="MU37" s="3"/>
      <c r="MV37" s="3"/>
      <c r="MW37" s="3"/>
      <c r="MX37" s="3"/>
      <c r="MZ37" s="3"/>
      <c r="NG37" s="3"/>
      <c r="NK37" s="3"/>
      <c r="NL37" s="3"/>
      <c r="NM37" s="3"/>
      <c r="NN37" s="3"/>
      <c r="NP37" s="3"/>
      <c r="NQ37" s="3"/>
      <c r="NR37" s="3"/>
      <c r="NS37" s="3"/>
      <c r="NU37" s="3"/>
      <c r="NV37" s="3"/>
      <c r="NW37" s="3"/>
      <c r="NX37" s="3"/>
      <c r="NZ37" s="3"/>
      <c r="OG37" s="3"/>
      <c r="OK37" s="3"/>
      <c r="OL37" s="3"/>
      <c r="OM37" s="3"/>
      <c r="ON37" s="3"/>
      <c r="OP37" s="3"/>
      <c r="OQ37" s="3"/>
      <c r="OR37" s="3"/>
      <c r="OS37" s="3"/>
      <c r="OU37" s="3"/>
      <c r="OV37" s="3"/>
      <c r="OW37" s="3"/>
      <c r="OX37" s="3"/>
      <c r="OZ37" s="3"/>
      <c r="PG37" s="3"/>
      <c r="PK37" s="3"/>
      <c r="PL37" s="3"/>
      <c r="PM37" s="3"/>
      <c r="PN37" s="3"/>
      <c r="PP37" s="3"/>
      <c r="PQ37" s="3"/>
      <c r="PR37" s="3"/>
      <c r="PS37" s="3"/>
      <c r="PU37" s="3"/>
      <c r="PV37" s="3"/>
      <c r="PW37" s="3"/>
      <c r="PX37" s="3"/>
      <c r="PZ37" s="3"/>
      <c r="QG37" s="3"/>
      <c r="QK37" s="3"/>
      <c r="QL37" s="3"/>
      <c r="QM37" s="3"/>
      <c r="QN37" s="3"/>
      <c r="QP37" s="3"/>
      <c r="QQ37" s="3"/>
      <c r="QR37" s="3"/>
      <c r="QS37" s="3"/>
      <c r="QU37" s="3"/>
      <c r="QV37" s="3"/>
      <c r="QW37" s="3"/>
      <c r="QX37" s="3"/>
      <c r="QZ37" s="3"/>
      <c r="RG37" s="3"/>
      <c r="RH37" s="3"/>
      <c r="RI37" s="3"/>
      <c r="RK37" s="3"/>
      <c r="RL37" s="3"/>
      <c r="RP37" s="3"/>
      <c r="RQ37" s="3"/>
      <c r="RR37" s="3"/>
      <c r="RS37" s="3"/>
      <c r="RU37" s="3"/>
      <c r="RV37" s="3"/>
      <c r="RW37" s="3"/>
      <c r="RX37" s="3"/>
      <c r="RZ37" s="3"/>
      <c r="SG37" s="3"/>
      <c r="SH37" s="3"/>
      <c r="SI37" s="3"/>
      <c r="SK37" s="3"/>
      <c r="SL37" s="3"/>
      <c r="SP37" s="3"/>
      <c r="SQ37" s="3"/>
      <c r="SR37" s="3"/>
      <c r="SS37" s="3"/>
      <c r="SU37" s="3"/>
      <c r="SV37" s="3"/>
      <c r="SW37" s="3"/>
      <c r="SX37" s="3"/>
      <c r="SZ37" s="3"/>
      <c r="TG37" s="3"/>
      <c r="TH37" s="3"/>
      <c r="TI37" s="3"/>
      <c r="TK37" s="3"/>
      <c r="TL37" s="3"/>
      <c r="TP37" s="3"/>
      <c r="TQ37" s="3"/>
      <c r="TR37" s="3"/>
      <c r="TS37" s="3"/>
      <c r="TU37" s="3"/>
      <c r="TV37" s="3"/>
      <c r="TW37" s="3"/>
      <c r="TX37" s="3"/>
      <c r="TZ37" s="3"/>
      <c r="UG37" s="3"/>
      <c r="UH37" s="3"/>
      <c r="UI37" s="3"/>
      <c r="UK37" s="3"/>
      <c r="UL37" s="3"/>
      <c r="UP37" s="3"/>
      <c r="UQ37" s="3"/>
      <c r="UR37" s="3"/>
      <c r="US37" s="3"/>
      <c r="UU37" s="3"/>
      <c r="UV37" s="3"/>
      <c r="UW37" s="3"/>
      <c r="UX37" s="3"/>
      <c r="UZ37" s="3"/>
      <c r="VG37" s="3"/>
      <c r="VH37" s="3"/>
      <c r="VI37" s="3"/>
      <c r="VK37" s="3"/>
      <c r="VL37" s="3"/>
      <c r="VP37" s="3"/>
      <c r="VQ37" s="3"/>
      <c r="VU37" s="3"/>
      <c r="VV37" s="3"/>
      <c r="VZ37" s="3"/>
      <c r="WG37" s="3"/>
      <c r="WH37" s="3"/>
      <c r="WI37" s="3"/>
      <c r="WK37" s="3"/>
      <c r="WL37" s="3"/>
      <c r="WP37" s="3"/>
      <c r="WQ37" s="3"/>
      <c r="WU37" s="3"/>
      <c r="WV37" s="3"/>
      <c r="WZ37" s="3"/>
      <c r="XG37" s="3"/>
      <c r="XH37" s="3"/>
      <c r="XI37" s="3"/>
      <c r="XK37" s="3"/>
      <c r="XL37" s="3"/>
      <c r="XP37" s="3"/>
      <c r="XQ37" s="3"/>
      <c r="XU37" s="3"/>
      <c r="XV37" s="3"/>
      <c r="XZ37" s="3"/>
      <c r="YG37" s="3"/>
      <c r="YH37" s="3"/>
      <c r="YI37" s="3"/>
      <c r="YK37" s="3"/>
      <c r="YL37" s="3"/>
      <c r="YP37" s="3"/>
      <c r="YQ37" s="3"/>
      <c r="YU37" s="3"/>
      <c r="YV37" s="3"/>
      <c r="YZ37" s="3"/>
      <c r="ZG37" s="3"/>
      <c r="ZH37" s="3"/>
      <c r="ZI37" s="3"/>
      <c r="ZK37" s="3"/>
      <c r="ZL37" s="3"/>
      <c r="ZP37" s="3"/>
      <c r="ZQ37" s="3"/>
      <c r="ZU37" s="3"/>
      <c r="ZV37" s="3"/>
      <c r="ZZ37" s="3"/>
      <c r="AAG37" s="3"/>
      <c r="AAH37" s="3"/>
      <c r="AAI37" s="3"/>
      <c r="AAK37" s="3"/>
      <c r="AAL37" s="3"/>
      <c r="AAP37" s="3"/>
      <c r="AAQ37" s="3"/>
      <c r="AAU37" s="3"/>
      <c r="AAV37" s="3"/>
      <c r="AAZ37" s="3"/>
      <c r="ABG37" s="3"/>
      <c r="ABH37" s="3"/>
      <c r="ABI37" s="3"/>
      <c r="ABK37" s="3"/>
      <c r="ABL37" s="3"/>
      <c r="ABP37" s="3"/>
      <c r="ABQ37" s="3"/>
      <c r="ABU37" s="3"/>
      <c r="ABV37" s="3"/>
      <c r="ABZ37" s="3"/>
      <c r="ACG37" s="3"/>
      <c r="ACK37" s="3"/>
      <c r="ACL37" s="3"/>
      <c r="ACM37" s="3"/>
      <c r="ACN37" s="3"/>
      <c r="ACP37" s="3"/>
      <c r="ACQ37" s="3"/>
      <c r="ACR37" s="3"/>
      <c r="ACS37" s="3"/>
      <c r="ACU37" s="3"/>
      <c r="ACV37" s="3"/>
      <c r="ACW37" s="3"/>
      <c r="ACX37" s="3"/>
      <c r="ACZ37" s="3"/>
      <c r="ADG37" s="3"/>
      <c r="ADK37" s="3"/>
      <c r="ADL37" s="3"/>
      <c r="ADM37" s="3"/>
      <c r="ADN37" s="3"/>
      <c r="ADP37" s="3"/>
      <c r="ADQ37" s="3"/>
      <c r="ADR37" s="3"/>
      <c r="ADS37" s="3"/>
      <c r="ADU37" s="3"/>
      <c r="ADV37" s="3"/>
      <c r="ADW37" s="3"/>
      <c r="ADX37" s="3"/>
      <c r="ADZ37" s="3"/>
      <c r="AEG37" s="3"/>
      <c r="AEK37" s="3"/>
      <c r="AEL37" s="3"/>
      <c r="AEM37" s="3"/>
      <c r="AEN37" s="3"/>
      <c r="AEP37" s="3"/>
      <c r="AEQ37" s="3"/>
      <c r="AER37" s="3"/>
      <c r="AES37" s="3"/>
      <c r="AEU37" s="3"/>
      <c r="AEV37" s="3"/>
      <c r="AEW37" s="3"/>
      <c r="AEX37" s="3"/>
      <c r="AEZ37" s="3"/>
      <c r="AFG37" s="3"/>
      <c r="AFK37" s="3"/>
      <c r="AFL37" s="3"/>
      <c r="AFM37" s="3"/>
      <c r="AFN37" s="3"/>
      <c r="AFP37" s="3"/>
      <c r="AFQ37" s="3"/>
      <c r="AFR37" s="3"/>
      <c r="AFS37" s="3"/>
      <c r="AFU37" s="3"/>
      <c r="AFV37" s="3"/>
      <c r="AFW37" s="3"/>
      <c r="AFX37" s="3"/>
      <c r="AFZ37" s="3"/>
      <c r="AGG37" s="3"/>
      <c r="AGK37" s="3"/>
      <c r="AGL37" s="3"/>
      <c r="AGM37" s="3"/>
      <c r="AGN37" s="3"/>
      <c r="AGP37" s="3"/>
      <c r="AGQ37" s="3"/>
      <c r="AGR37" s="3"/>
      <c r="AGS37" s="3"/>
      <c r="AGU37" s="3"/>
      <c r="AGV37" s="3"/>
      <c r="AGW37" s="3"/>
      <c r="AGX37" s="3"/>
      <c r="AGZ37" s="3"/>
      <c r="AHG37" s="3"/>
      <c r="AHK37" s="3"/>
      <c r="AHL37" s="3"/>
      <c r="AHM37" s="3"/>
      <c r="AHN37" s="3"/>
      <c r="AHP37" s="3"/>
      <c r="AHQ37" s="3"/>
      <c r="AHR37" s="3"/>
      <c r="AHS37" s="3"/>
      <c r="AHU37" s="3"/>
      <c r="AHV37" s="3"/>
      <c r="AHW37" s="3"/>
      <c r="AHX37" s="3"/>
      <c r="AHZ37" s="3"/>
      <c r="AIG37" s="3"/>
      <c r="AIK37" s="3"/>
      <c r="AIL37" s="3"/>
      <c r="AIM37" s="3"/>
      <c r="AIN37" s="3"/>
      <c r="AIP37" s="3"/>
      <c r="AIQ37" s="3"/>
      <c r="AIR37" s="3"/>
      <c r="AIS37" s="3"/>
      <c r="AIU37" s="3"/>
      <c r="AIV37" s="3"/>
      <c r="AIW37" s="3"/>
      <c r="AIX37" s="3"/>
      <c r="AIZ37" s="3"/>
      <c r="AJG37" s="3"/>
      <c r="AJH37" s="3"/>
      <c r="AJI37" s="3"/>
      <c r="AJK37" s="3"/>
      <c r="AJL37" s="3"/>
      <c r="AJP37" s="3"/>
      <c r="AJQ37" s="3"/>
      <c r="AJU37" s="3"/>
      <c r="AJV37" s="3"/>
      <c r="AJW37" s="3"/>
      <c r="AJX37" s="3"/>
      <c r="AJZ37" s="3"/>
      <c r="AKG37" s="3"/>
      <c r="AKK37" s="3"/>
      <c r="AKL37" s="3"/>
      <c r="AKM37" s="3"/>
      <c r="AKN37" s="3"/>
      <c r="AKP37" s="3"/>
      <c r="AKQ37" s="3"/>
      <c r="AKR37" s="3"/>
      <c r="AKS37" s="3"/>
      <c r="AKU37" s="3"/>
      <c r="AKV37" s="3"/>
      <c r="AKW37" s="3"/>
      <c r="AKX37" s="3"/>
      <c r="AKZ37" s="3"/>
    </row>
    <row r="38" spans="2:988" ht="14.25" customHeight="1" x14ac:dyDescent="0.4">
      <c r="B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B38" s="1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B38" s="1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B38" s="1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B38" s="1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B38" s="1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B38" s="1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B38" s="1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B38" s="1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B38" s="1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B38" s="1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B38" s="1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B38" s="1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B38" s="1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B38" s="1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B38" s="1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B38" s="1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B38" s="1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B38" s="1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B38" s="1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B38" s="1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B38" s="1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B38" s="1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B38" s="1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B38" s="1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B38" s="1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B38" s="1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B38" s="1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B38" s="1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B38" s="1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B38" s="1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B38" s="1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B38" s="1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B38" s="1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B38" s="1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B38" s="1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B38" s="1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B38" s="1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</row>
    <row r="39" spans="2:988" ht="14.25" customHeight="1" x14ac:dyDescent="0.4"/>
    <row r="40" spans="2:988" ht="14.25" customHeight="1" x14ac:dyDescent="0.4"/>
    <row r="41" spans="2:988" ht="14.25" customHeight="1" x14ac:dyDescent="0.4"/>
    <row r="42" spans="2:988" ht="14.25" customHeight="1" x14ac:dyDescent="0.4"/>
    <row r="43" spans="2:988" ht="14.25" customHeight="1" x14ac:dyDescent="0.4"/>
    <row r="44" spans="2:988" ht="14.25" customHeight="1" x14ac:dyDescent="0.4"/>
    <row r="45" spans="2:988" ht="14.25" customHeight="1" x14ac:dyDescent="0.4"/>
    <row r="46" spans="2:988" ht="14.25" customHeight="1" x14ac:dyDescent="0.4"/>
    <row r="47" spans="2:988" ht="14.25" customHeight="1" x14ac:dyDescent="0.4"/>
    <row r="48" spans="2:988" ht="14.25" customHeight="1" x14ac:dyDescent="0.4"/>
    <row r="49" ht="14.25" customHeight="1" x14ac:dyDescent="0.4"/>
  </sheetData>
  <mergeCells count="2959">
    <mergeCell ref="G25:J25"/>
    <mergeCell ref="L25:O25"/>
    <mergeCell ref="Q25:T25"/>
    <mergeCell ref="V25:Y25"/>
    <mergeCell ref="AB25:AE25"/>
    <mergeCell ref="AG25:AJ25"/>
    <mergeCell ref="AL25:AO25"/>
    <mergeCell ref="AQ25:AT25"/>
    <mergeCell ref="AV25:AY25"/>
    <mergeCell ref="B25:E25"/>
    <mergeCell ref="CV25:CY25"/>
    <mergeCell ref="BB25:BE25"/>
    <mergeCell ref="BG25:BJ25"/>
    <mergeCell ref="BL25:BO25"/>
    <mergeCell ref="BQ25:BT25"/>
    <mergeCell ref="BV25:BY25"/>
    <mergeCell ref="DQ25:DT25"/>
    <mergeCell ref="DV25:DY25"/>
    <mergeCell ref="CB25:CE25"/>
    <mergeCell ref="CG25:CJ25"/>
    <mergeCell ref="CL25:CO25"/>
    <mergeCell ref="CQ25:CT25"/>
    <mergeCell ref="EL25:EO25"/>
    <mergeCell ref="EQ25:ET25"/>
    <mergeCell ref="EV25:EY25"/>
    <mergeCell ref="DB25:DE25"/>
    <mergeCell ref="DG25:DJ25"/>
    <mergeCell ref="DL25:DO25"/>
    <mergeCell ref="FG25:FJ25"/>
    <mergeCell ref="FL25:FO25"/>
    <mergeCell ref="FQ25:FT25"/>
    <mergeCell ref="FV25:FY25"/>
    <mergeCell ref="EB25:EE25"/>
    <mergeCell ref="EG25:EJ25"/>
    <mergeCell ref="GB25:GE25"/>
    <mergeCell ref="GG25:GJ25"/>
    <mergeCell ref="GL25:GO25"/>
    <mergeCell ref="GQ25:GT25"/>
    <mergeCell ref="GV25:GY25"/>
    <mergeCell ref="FB25:FE25"/>
    <mergeCell ref="IV25:IY25"/>
    <mergeCell ref="HB25:HE25"/>
    <mergeCell ref="HG25:HJ25"/>
    <mergeCell ref="HL25:HO25"/>
    <mergeCell ref="HQ25:HT25"/>
    <mergeCell ref="HV25:HY25"/>
    <mergeCell ref="JQ25:JT25"/>
    <mergeCell ref="JV25:JY25"/>
    <mergeCell ref="IB25:IE25"/>
    <mergeCell ref="IG25:IJ25"/>
    <mergeCell ref="IL25:IO25"/>
    <mergeCell ref="IQ25:IT25"/>
    <mergeCell ref="KL25:KO25"/>
    <mergeCell ref="KQ25:KT25"/>
    <mergeCell ref="KV25:KY25"/>
    <mergeCell ref="JB25:JE25"/>
    <mergeCell ref="JG25:JJ25"/>
    <mergeCell ref="JL25:JO25"/>
    <mergeCell ref="LG25:LJ25"/>
    <mergeCell ref="LL25:LO25"/>
    <mergeCell ref="LQ25:LT25"/>
    <mergeCell ref="LV25:LY25"/>
    <mergeCell ref="KB25:KE25"/>
    <mergeCell ref="KG25:KJ25"/>
    <mergeCell ref="MB25:ME25"/>
    <mergeCell ref="MG25:MJ25"/>
    <mergeCell ref="ML25:MO25"/>
    <mergeCell ref="MQ25:MT25"/>
    <mergeCell ref="MV25:MY25"/>
    <mergeCell ref="LB25:LE25"/>
    <mergeCell ref="OV25:OY25"/>
    <mergeCell ref="NB25:NE25"/>
    <mergeCell ref="NG25:NJ25"/>
    <mergeCell ref="NL25:NO25"/>
    <mergeCell ref="NQ25:NT25"/>
    <mergeCell ref="NV25:NY25"/>
    <mergeCell ref="PQ25:PT25"/>
    <mergeCell ref="PV25:PY25"/>
    <mergeCell ref="OB25:OE25"/>
    <mergeCell ref="OG25:OJ25"/>
    <mergeCell ref="OL25:OO25"/>
    <mergeCell ref="OQ25:OT25"/>
    <mergeCell ref="QL25:QO25"/>
    <mergeCell ref="QQ25:QT25"/>
    <mergeCell ref="QV25:QY25"/>
    <mergeCell ref="PB25:PE25"/>
    <mergeCell ref="PG25:PJ25"/>
    <mergeCell ref="PL25:PO25"/>
    <mergeCell ref="RG25:RJ25"/>
    <mergeCell ref="RL25:RO25"/>
    <mergeCell ref="RQ25:RT25"/>
    <mergeCell ref="RV25:RY25"/>
    <mergeCell ref="QB25:QE25"/>
    <mergeCell ref="QG25:QJ25"/>
    <mergeCell ref="SB25:SE25"/>
    <mergeCell ref="SG25:SJ25"/>
    <mergeCell ref="SL25:SO25"/>
    <mergeCell ref="SQ25:ST25"/>
    <mergeCell ref="SV25:SY25"/>
    <mergeCell ref="RB25:RE25"/>
    <mergeCell ref="UV25:UY25"/>
    <mergeCell ref="TB25:TE25"/>
    <mergeCell ref="TG25:TJ25"/>
    <mergeCell ref="TL25:TO25"/>
    <mergeCell ref="TQ25:TT25"/>
    <mergeCell ref="TV25:TY25"/>
    <mergeCell ref="VQ25:VT25"/>
    <mergeCell ref="VV25:VY25"/>
    <mergeCell ref="UB25:UE25"/>
    <mergeCell ref="UG25:UJ25"/>
    <mergeCell ref="UL25:UO25"/>
    <mergeCell ref="UQ25:UT25"/>
    <mergeCell ref="WL25:WO25"/>
    <mergeCell ref="WQ25:WT25"/>
    <mergeCell ref="WV25:WY25"/>
    <mergeCell ref="VB25:VE25"/>
    <mergeCell ref="VG25:VJ25"/>
    <mergeCell ref="VL25:VO25"/>
    <mergeCell ref="XG25:XJ25"/>
    <mergeCell ref="XL25:XO25"/>
    <mergeCell ref="XQ25:XT25"/>
    <mergeCell ref="XV25:XY25"/>
    <mergeCell ref="WB25:WE25"/>
    <mergeCell ref="WG25:WJ25"/>
    <mergeCell ref="YB25:YE25"/>
    <mergeCell ref="YG25:YJ25"/>
    <mergeCell ref="YL25:YO25"/>
    <mergeCell ref="YQ25:YT25"/>
    <mergeCell ref="YV25:YY25"/>
    <mergeCell ref="XB25:XE25"/>
    <mergeCell ref="AAV25:AAY25"/>
    <mergeCell ref="ZB25:ZE25"/>
    <mergeCell ref="ZG25:ZJ25"/>
    <mergeCell ref="ZL25:ZO25"/>
    <mergeCell ref="ZQ25:ZT25"/>
    <mergeCell ref="ZV25:ZY25"/>
    <mergeCell ref="ABQ25:ABT25"/>
    <mergeCell ref="ABV25:ABY25"/>
    <mergeCell ref="AAB25:AAE25"/>
    <mergeCell ref="AAG25:AAJ25"/>
    <mergeCell ref="AAL25:AAO25"/>
    <mergeCell ref="AAQ25:AAT25"/>
    <mergeCell ref="ACL25:ACO25"/>
    <mergeCell ref="ACQ25:ACT25"/>
    <mergeCell ref="ACV25:ACY25"/>
    <mergeCell ref="ABB25:ABE25"/>
    <mergeCell ref="ABG25:ABJ25"/>
    <mergeCell ref="ABL25:ABO25"/>
    <mergeCell ref="ADG25:ADJ25"/>
    <mergeCell ref="ADL25:ADO25"/>
    <mergeCell ref="ADQ25:ADT25"/>
    <mergeCell ref="ADV25:ADY25"/>
    <mergeCell ref="ACB25:ACE25"/>
    <mergeCell ref="ACG25:ACJ25"/>
    <mergeCell ref="AEB25:AEE25"/>
    <mergeCell ref="AEG25:AEJ25"/>
    <mergeCell ref="AEL25:AEO25"/>
    <mergeCell ref="AEQ25:AET25"/>
    <mergeCell ref="AEV25:AEY25"/>
    <mergeCell ref="ADB25:ADE25"/>
    <mergeCell ref="AGV25:AGY25"/>
    <mergeCell ref="AFB25:AFE25"/>
    <mergeCell ref="AFG25:AFJ25"/>
    <mergeCell ref="AFL25:AFO25"/>
    <mergeCell ref="AFQ25:AFT25"/>
    <mergeCell ref="AFV25:AFY25"/>
    <mergeCell ref="AHQ25:AHT25"/>
    <mergeCell ref="AHV25:AHY25"/>
    <mergeCell ref="AGB25:AGE25"/>
    <mergeCell ref="AGG25:AGJ25"/>
    <mergeCell ref="AGL25:AGO25"/>
    <mergeCell ref="AGQ25:AGT25"/>
    <mergeCell ref="AIL25:AIO25"/>
    <mergeCell ref="AIQ25:AIT25"/>
    <mergeCell ref="AIV25:AIY25"/>
    <mergeCell ref="AHB25:AHE25"/>
    <mergeCell ref="AHG25:AHJ25"/>
    <mergeCell ref="AHL25:AHO25"/>
    <mergeCell ref="AJG25:AJJ25"/>
    <mergeCell ref="AJL25:AJO25"/>
    <mergeCell ref="AJQ25:AJT25"/>
    <mergeCell ref="AJV25:AJY25"/>
    <mergeCell ref="AIB25:AIE25"/>
    <mergeCell ref="AIG25:AIJ25"/>
    <mergeCell ref="AKB25:AKE25"/>
    <mergeCell ref="AKG25:AKJ25"/>
    <mergeCell ref="AKL25:AKO25"/>
    <mergeCell ref="AKQ25:AKT25"/>
    <mergeCell ref="AKV25:AKY25"/>
    <mergeCell ref="AJB25:AJE25"/>
    <mergeCell ref="G24:J24"/>
    <mergeCell ref="L24:O24"/>
    <mergeCell ref="Q24:T24"/>
    <mergeCell ref="V24:Y24"/>
    <mergeCell ref="AC24:AF24"/>
    <mergeCell ref="AG24:AJ24"/>
    <mergeCell ref="AL24:AO24"/>
    <mergeCell ref="AQ24:AT24"/>
    <mergeCell ref="AV24:AY24"/>
    <mergeCell ref="FG24:FJ24"/>
    <mergeCell ref="FL24:FO24"/>
    <mergeCell ref="FQ24:FT24"/>
    <mergeCell ref="FV24:FY24"/>
    <mergeCell ref="GC24:GF24"/>
    <mergeCell ref="GG24:GJ24"/>
    <mergeCell ref="GL24:GO24"/>
    <mergeCell ref="GQ24:GT24"/>
    <mergeCell ref="GV24:GY24"/>
    <mergeCell ref="FC24:FF24"/>
    <mergeCell ref="IV24:IY24"/>
    <mergeCell ref="C24:F24"/>
    <mergeCell ref="CV24:CY24"/>
    <mergeCell ref="BC24:BF24"/>
    <mergeCell ref="BG24:BJ24"/>
    <mergeCell ref="BL24:BO24"/>
    <mergeCell ref="BQ24:BT24"/>
    <mergeCell ref="BV24:BY24"/>
    <mergeCell ref="DQ24:DT24"/>
    <mergeCell ref="DV24:DY24"/>
    <mergeCell ref="CC24:CF24"/>
    <mergeCell ref="CG24:CJ24"/>
    <mergeCell ref="CL24:CO24"/>
    <mergeCell ref="CQ24:CT24"/>
    <mergeCell ref="EL24:EO24"/>
    <mergeCell ref="EQ24:ET24"/>
    <mergeCell ref="EV24:EY24"/>
    <mergeCell ref="DC24:DF24"/>
    <mergeCell ref="DG24:DJ24"/>
    <mergeCell ref="DL24:DO24"/>
    <mergeCell ref="EC24:EF24"/>
    <mergeCell ref="EG24:EJ24"/>
    <mergeCell ref="HC24:HF24"/>
    <mergeCell ref="HG24:HJ24"/>
    <mergeCell ref="HL24:HO24"/>
    <mergeCell ref="HQ24:HT24"/>
    <mergeCell ref="HV24:HY24"/>
    <mergeCell ref="JQ24:JT24"/>
    <mergeCell ref="JV24:JY24"/>
    <mergeCell ref="IC24:IF24"/>
    <mergeCell ref="IG24:IJ24"/>
    <mergeCell ref="IL24:IO24"/>
    <mergeCell ref="IQ24:IT24"/>
    <mergeCell ref="KL24:KO24"/>
    <mergeCell ref="KQ24:KT24"/>
    <mergeCell ref="KV24:KY24"/>
    <mergeCell ref="JC24:JF24"/>
    <mergeCell ref="JG24:JJ24"/>
    <mergeCell ref="JL24:JO24"/>
    <mergeCell ref="LG24:LJ24"/>
    <mergeCell ref="LL24:LO24"/>
    <mergeCell ref="LQ24:LT24"/>
    <mergeCell ref="LV24:LY24"/>
    <mergeCell ref="KC24:KF24"/>
    <mergeCell ref="KG24:KJ24"/>
    <mergeCell ref="MC24:MF24"/>
    <mergeCell ref="MG24:MJ24"/>
    <mergeCell ref="ML24:MO24"/>
    <mergeCell ref="MQ24:MT24"/>
    <mergeCell ref="MV24:MY24"/>
    <mergeCell ref="LC24:LF24"/>
    <mergeCell ref="OV24:OY24"/>
    <mergeCell ref="NC24:NF24"/>
    <mergeCell ref="NG24:NJ24"/>
    <mergeCell ref="NL24:NO24"/>
    <mergeCell ref="NQ24:NT24"/>
    <mergeCell ref="NV24:NY24"/>
    <mergeCell ref="PQ24:PT24"/>
    <mergeCell ref="PV24:PY24"/>
    <mergeCell ref="OC24:OF24"/>
    <mergeCell ref="OG24:OJ24"/>
    <mergeCell ref="OL24:OO24"/>
    <mergeCell ref="OQ24:OT24"/>
    <mergeCell ref="QL24:QO24"/>
    <mergeCell ref="QQ24:QT24"/>
    <mergeCell ref="QV24:QY24"/>
    <mergeCell ref="PC24:PF24"/>
    <mergeCell ref="PG24:PJ24"/>
    <mergeCell ref="PL24:PO24"/>
    <mergeCell ref="RG24:RJ24"/>
    <mergeCell ref="RL24:RO24"/>
    <mergeCell ref="RQ24:RT24"/>
    <mergeCell ref="RV24:RY24"/>
    <mergeCell ref="QC24:QF24"/>
    <mergeCell ref="QG24:QJ24"/>
    <mergeCell ref="SC24:SF24"/>
    <mergeCell ref="SG24:SJ24"/>
    <mergeCell ref="SL24:SO24"/>
    <mergeCell ref="SQ24:ST24"/>
    <mergeCell ref="SV24:SY24"/>
    <mergeCell ref="RC24:RF24"/>
    <mergeCell ref="UV24:UY24"/>
    <mergeCell ref="TC24:TF24"/>
    <mergeCell ref="TG24:TJ24"/>
    <mergeCell ref="TL24:TO24"/>
    <mergeCell ref="TQ24:TT24"/>
    <mergeCell ref="TV24:TY24"/>
    <mergeCell ref="VQ24:VT24"/>
    <mergeCell ref="VV24:VY24"/>
    <mergeCell ref="UC24:UF24"/>
    <mergeCell ref="UG24:UJ24"/>
    <mergeCell ref="UL24:UO24"/>
    <mergeCell ref="UQ24:UT24"/>
    <mergeCell ref="WL24:WO24"/>
    <mergeCell ref="WQ24:WT24"/>
    <mergeCell ref="WV24:WY24"/>
    <mergeCell ref="VC24:VF24"/>
    <mergeCell ref="VG24:VJ24"/>
    <mergeCell ref="VL24:VO24"/>
    <mergeCell ref="XG24:XJ24"/>
    <mergeCell ref="XL24:XO24"/>
    <mergeCell ref="XQ24:XT24"/>
    <mergeCell ref="XV24:XY24"/>
    <mergeCell ref="WC24:WF24"/>
    <mergeCell ref="WG24:WJ24"/>
    <mergeCell ref="YC24:YF24"/>
    <mergeCell ref="YG24:YJ24"/>
    <mergeCell ref="YL24:YO24"/>
    <mergeCell ref="YQ24:YT24"/>
    <mergeCell ref="YV24:YY24"/>
    <mergeCell ref="XC24:XF24"/>
    <mergeCell ref="ACC24:ACF24"/>
    <mergeCell ref="ACG24:ACJ24"/>
    <mergeCell ref="AEC24:AEF24"/>
    <mergeCell ref="AEG24:AEJ24"/>
    <mergeCell ref="AEL24:AEO24"/>
    <mergeCell ref="AEQ24:AET24"/>
    <mergeCell ref="AEV24:AEY24"/>
    <mergeCell ref="ADC24:ADF24"/>
    <mergeCell ref="AGV24:AGY24"/>
    <mergeCell ref="AFC24:AFF24"/>
    <mergeCell ref="AFG24:AFJ24"/>
    <mergeCell ref="AFL24:AFO24"/>
    <mergeCell ref="AFQ24:AFT24"/>
    <mergeCell ref="AFV24:AFY24"/>
    <mergeCell ref="AAV24:AAY24"/>
    <mergeCell ref="ZC24:ZF24"/>
    <mergeCell ref="ZG24:ZJ24"/>
    <mergeCell ref="ZL24:ZO24"/>
    <mergeCell ref="ZQ24:ZT24"/>
    <mergeCell ref="ZV24:ZY24"/>
    <mergeCell ref="ABQ24:ABT24"/>
    <mergeCell ref="ABV24:ABY24"/>
    <mergeCell ref="AAC24:AAF24"/>
    <mergeCell ref="AAG24:AAJ24"/>
    <mergeCell ref="AAL24:AAO24"/>
    <mergeCell ref="AAQ24:AAT24"/>
    <mergeCell ref="ACL24:ACO24"/>
    <mergeCell ref="ACQ24:ACT24"/>
    <mergeCell ref="ACV24:ACY24"/>
    <mergeCell ref="ABC24:ABF24"/>
    <mergeCell ref="ABG24:ABJ24"/>
    <mergeCell ref="ABL24:ABO24"/>
    <mergeCell ref="AGC24:AGF24"/>
    <mergeCell ref="AGG24:AGJ24"/>
    <mergeCell ref="AGL24:AGO24"/>
    <mergeCell ref="AGQ24:AGT24"/>
    <mergeCell ref="AIL24:AIO24"/>
    <mergeCell ref="AIQ24:AIT24"/>
    <mergeCell ref="AIV24:AIY24"/>
    <mergeCell ref="AHC24:AHF24"/>
    <mergeCell ref="AHG24:AHJ24"/>
    <mergeCell ref="AHL24:AHO24"/>
    <mergeCell ref="AJG24:AJJ24"/>
    <mergeCell ref="AJL24:AJO24"/>
    <mergeCell ref="AJQ24:AJT24"/>
    <mergeCell ref="AJV24:AJY24"/>
    <mergeCell ref="AIC24:AIF24"/>
    <mergeCell ref="AIG24:AIJ24"/>
    <mergeCell ref="ADG24:ADJ24"/>
    <mergeCell ref="ADL24:ADO24"/>
    <mergeCell ref="ADQ24:ADT24"/>
    <mergeCell ref="ADV24:ADY24"/>
    <mergeCell ref="AKC24:AKF24"/>
    <mergeCell ref="AKG24:AKJ24"/>
    <mergeCell ref="AKL24:AKO24"/>
    <mergeCell ref="AKQ24:AKT24"/>
    <mergeCell ref="AKV24:AKY24"/>
    <mergeCell ref="AJC24:AJF24"/>
    <mergeCell ref="AL23:AO23"/>
    <mergeCell ref="AQ23:AT23"/>
    <mergeCell ref="AV23:AY23"/>
    <mergeCell ref="B23:E23"/>
    <mergeCell ref="G23:J23"/>
    <mergeCell ref="L23:O23"/>
    <mergeCell ref="BG23:BJ23"/>
    <mergeCell ref="BL23:BO23"/>
    <mergeCell ref="BQ23:BT23"/>
    <mergeCell ref="BV23:BY23"/>
    <mergeCell ref="AB23:AE23"/>
    <mergeCell ref="AG23:AJ23"/>
    <mergeCell ref="CB23:CE23"/>
    <mergeCell ref="CG23:CJ23"/>
    <mergeCell ref="CL23:CO23"/>
    <mergeCell ref="CQ23:CT23"/>
    <mergeCell ref="CV23:CY23"/>
    <mergeCell ref="BB23:BE23"/>
    <mergeCell ref="EV23:EY23"/>
    <mergeCell ref="DB23:DE23"/>
    <mergeCell ref="DG23:DJ23"/>
    <mergeCell ref="DL23:DO23"/>
    <mergeCell ref="DQ23:DT23"/>
    <mergeCell ref="DV23:DY23"/>
    <mergeCell ref="AHQ24:AHT24"/>
    <mergeCell ref="AHV24:AHY24"/>
    <mergeCell ref="EB23:EE23"/>
    <mergeCell ref="EG23:EJ23"/>
    <mergeCell ref="EL23:EO23"/>
    <mergeCell ref="EQ23:ET23"/>
    <mergeCell ref="GL23:GO23"/>
    <mergeCell ref="GQ23:GT23"/>
    <mergeCell ref="GV23:GY23"/>
    <mergeCell ref="FB23:FE23"/>
    <mergeCell ref="FG23:FJ23"/>
    <mergeCell ref="FL23:FO23"/>
    <mergeCell ref="HG23:HJ23"/>
    <mergeCell ref="HL23:HO23"/>
    <mergeCell ref="HQ23:HT23"/>
    <mergeCell ref="HV23:HY23"/>
    <mergeCell ref="GB23:GE23"/>
    <mergeCell ref="GG23:GJ23"/>
    <mergeCell ref="Q23:T23"/>
    <mergeCell ref="V23:Y23"/>
    <mergeCell ref="IB23:IE23"/>
    <mergeCell ref="IG23:IJ23"/>
    <mergeCell ref="IL23:IO23"/>
    <mergeCell ref="IQ23:IT23"/>
    <mergeCell ref="IV23:IY23"/>
    <mergeCell ref="HB23:HE23"/>
    <mergeCell ref="KV23:KY23"/>
    <mergeCell ref="JB23:JE23"/>
    <mergeCell ref="JG23:JJ23"/>
    <mergeCell ref="JL23:JO23"/>
    <mergeCell ref="JQ23:JT23"/>
    <mergeCell ref="JV23:JY23"/>
    <mergeCell ref="LQ23:LT23"/>
    <mergeCell ref="LV23:LY23"/>
    <mergeCell ref="KB23:KE23"/>
    <mergeCell ref="KG23:KJ23"/>
    <mergeCell ref="KL23:KO23"/>
    <mergeCell ref="KQ23:KT23"/>
    <mergeCell ref="ML23:MO23"/>
    <mergeCell ref="MQ23:MT23"/>
    <mergeCell ref="MV23:MY23"/>
    <mergeCell ref="LB23:LE23"/>
    <mergeCell ref="LG23:LJ23"/>
    <mergeCell ref="LL23:LO23"/>
    <mergeCell ref="NG23:NJ23"/>
    <mergeCell ref="NL23:NO23"/>
    <mergeCell ref="NQ23:NT23"/>
    <mergeCell ref="NV23:NY23"/>
    <mergeCell ref="MB23:ME23"/>
    <mergeCell ref="MG23:MJ23"/>
    <mergeCell ref="OB23:OE23"/>
    <mergeCell ref="OG23:OJ23"/>
    <mergeCell ref="OL23:OO23"/>
    <mergeCell ref="OQ23:OT23"/>
    <mergeCell ref="OV23:OY23"/>
    <mergeCell ref="NB23:NE23"/>
    <mergeCell ref="SB23:SE23"/>
    <mergeCell ref="SG23:SJ23"/>
    <mergeCell ref="UB23:UE23"/>
    <mergeCell ref="UG23:UJ23"/>
    <mergeCell ref="UL23:UO23"/>
    <mergeCell ref="UQ23:UT23"/>
    <mergeCell ref="UV23:UY23"/>
    <mergeCell ref="TB23:TE23"/>
    <mergeCell ref="WV23:WY23"/>
    <mergeCell ref="VB23:VE23"/>
    <mergeCell ref="VG23:VJ23"/>
    <mergeCell ref="VL23:VO23"/>
    <mergeCell ref="VQ23:VT23"/>
    <mergeCell ref="VV23:VY23"/>
    <mergeCell ref="QV23:QY23"/>
    <mergeCell ref="PB23:PE23"/>
    <mergeCell ref="PG23:PJ23"/>
    <mergeCell ref="PL23:PO23"/>
    <mergeCell ref="PQ23:PT23"/>
    <mergeCell ref="PV23:PY23"/>
    <mergeCell ref="RQ23:RT23"/>
    <mergeCell ref="RV23:RY23"/>
    <mergeCell ref="QB23:QE23"/>
    <mergeCell ref="QG23:QJ23"/>
    <mergeCell ref="QL23:QO23"/>
    <mergeCell ref="QQ23:QT23"/>
    <mergeCell ref="SL23:SO23"/>
    <mergeCell ref="SQ23:ST23"/>
    <mergeCell ref="SV23:SY23"/>
    <mergeCell ref="RB23:RE23"/>
    <mergeCell ref="RG23:RJ23"/>
    <mergeCell ref="RL23:RO23"/>
    <mergeCell ref="WB23:WE23"/>
    <mergeCell ref="WG23:WJ23"/>
    <mergeCell ref="WL23:WO23"/>
    <mergeCell ref="WQ23:WT23"/>
    <mergeCell ref="YL23:YO23"/>
    <mergeCell ref="YQ23:YT23"/>
    <mergeCell ref="YV23:YY23"/>
    <mergeCell ref="XB23:XE23"/>
    <mergeCell ref="XG23:XJ23"/>
    <mergeCell ref="XL23:XO23"/>
    <mergeCell ref="ZG23:ZJ23"/>
    <mergeCell ref="ZL23:ZO23"/>
    <mergeCell ref="ZQ23:ZT23"/>
    <mergeCell ref="ZV23:ZY23"/>
    <mergeCell ref="YB23:YE23"/>
    <mergeCell ref="YG23:YJ23"/>
    <mergeCell ref="TG23:TJ23"/>
    <mergeCell ref="TL23:TO23"/>
    <mergeCell ref="TQ23:TT23"/>
    <mergeCell ref="TV23:TY23"/>
    <mergeCell ref="AEL23:AEO23"/>
    <mergeCell ref="AEQ23:AET23"/>
    <mergeCell ref="AEV23:AEY23"/>
    <mergeCell ref="ADB23:ADE23"/>
    <mergeCell ref="ADG23:ADJ23"/>
    <mergeCell ref="ADL23:ADO23"/>
    <mergeCell ref="AFG23:AFJ23"/>
    <mergeCell ref="AFL23:AFO23"/>
    <mergeCell ref="AFQ23:AFT23"/>
    <mergeCell ref="AFV23:AFY23"/>
    <mergeCell ref="AEB23:AEE23"/>
    <mergeCell ref="AEG23:AEJ23"/>
    <mergeCell ref="AGB23:AGE23"/>
    <mergeCell ref="AGG23:AGJ23"/>
    <mergeCell ref="AGL23:AGO23"/>
    <mergeCell ref="AGQ23:AGT23"/>
    <mergeCell ref="AGV23:AGY23"/>
    <mergeCell ref="AFB23:AFE23"/>
    <mergeCell ref="ADQ23:ADT23"/>
    <mergeCell ref="ADV23:ADY23"/>
    <mergeCell ref="AIV23:AIY23"/>
    <mergeCell ref="AHB23:AHE23"/>
    <mergeCell ref="AHG23:AHJ23"/>
    <mergeCell ref="AHL23:AHO23"/>
    <mergeCell ref="AHQ23:AHT23"/>
    <mergeCell ref="AHV23:AHY23"/>
    <mergeCell ref="AJG23:AJJ23"/>
    <mergeCell ref="AJL23:AJO23"/>
    <mergeCell ref="AJQ23:AJT23"/>
    <mergeCell ref="AJV23:AJY23"/>
    <mergeCell ref="AIB23:AIE23"/>
    <mergeCell ref="AIG23:AIJ23"/>
    <mergeCell ref="AKB23:AKE23"/>
    <mergeCell ref="AKG23:AKJ23"/>
    <mergeCell ref="AKL23:AKO23"/>
    <mergeCell ref="AKQ23:AKT23"/>
    <mergeCell ref="AKV23:AKY23"/>
    <mergeCell ref="AJB23:AJE23"/>
    <mergeCell ref="Q22:T22"/>
    <mergeCell ref="V22:Y22"/>
    <mergeCell ref="AL22:AO22"/>
    <mergeCell ref="AQ22:AT22"/>
    <mergeCell ref="AV22:AY22"/>
    <mergeCell ref="B22:F22"/>
    <mergeCell ref="G22:J22"/>
    <mergeCell ref="L22:O22"/>
    <mergeCell ref="BG22:BJ22"/>
    <mergeCell ref="BL22:BO22"/>
    <mergeCell ref="BQ22:BT22"/>
    <mergeCell ref="BV22:BY22"/>
    <mergeCell ref="AB22:AF22"/>
    <mergeCell ref="AG22:AJ22"/>
    <mergeCell ref="CB22:CF22"/>
    <mergeCell ref="CG22:CJ22"/>
    <mergeCell ref="CL22:CO22"/>
    <mergeCell ref="GV22:GY22"/>
    <mergeCell ref="FB22:FF22"/>
    <mergeCell ref="FG22:FJ22"/>
    <mergeCell ref="FL22:FO22"/>
    <mergeCell ref="HG22:HJ22"/>
    <mergeCell ref="HL22:HO22"/>
    <mergeCell ref="HQ22:HT22"/>
    <mergeCell ref="HV22:HY22"/>
    <mergeCell ref="GB22:GF22"/>
    <mergeCell ref="GG22:GJ22"/>
    <mergeCell ref="IB22:IF22"/>
    <mergeCell ref="IG22:IJ22"/>
    <mergeCell ref="IL22:IO22"/>
    <mergeCell ref="IQ22:IT22"/>
    <mergeCell ref="IV22:IY22"/>
    <mergeCell ref="HB22:HF22"/>
    <mergeCell ref="KV22:KY22"/>
    <mergeCell ref="JB22:JF22"/>
    <mergeCell ref="JG22:JJ22"/>
    <mergeCell ref="JL22:JO22"/>
    <mergeCell ref="JQ22:JT22"/>
    <mergeCell ref="JV22:JY22"/>
    <mergeCell ref="FQ22:FT22"/>
    <mergeCell ref="FV22:FY22"/>
    <mergeCell ref="GL22:GO22"/>
    <mergeCell ref="GQ22:GT22"/>
    <mergeCell ref="LQ22:LT22"/>
    <mergeCell ref="LV22:LY22"/>
    <mergeCell ref="KB22:KF22"/>
    <mergeCell ref="KG22:KJ22"/>
    <mergeCell ref="KL22:KO22"/>
    <mergeCell ref="KQ22:KT22"/>
    <mergeCell ref="ML22:MO22"/>
    <mergeCell ref="MQ22:MT22"/>
    <mergeCell ref="MV22:MY22"/>
    <mergeCell ref="LB22:LF22"/>
    <mergeCell ref="LG22:LJ22"/>
    <mergeCell ref="LL22:LO22"/>
    <mergeCell ref="NG22:NJ22"/>
    <mergeCell ref="NL22:NO22"/>
    <mergeCell ref="NQ22:NT22"/>
    <mergeCell ref="NV22:NY22"/>
    <mergeCell ref="MB22:MF22"/>
    <mergeCell ref="MG22:MJ22"/>
    <mergeCell ref="OB22:OF22"/>
    <mergeCell ref="OG22:OJ22"/>
    <mergeCell ref="OL22:OO22"/>
    <mergeCell ref="OQ22:OT22"/>
    <mergeCell ref="OV22:OY22"/>
    <mergeCell ref="NB22:NF22"/>
    <mergeCell ref="QV22:QY22"/>
    <mergeCell ref="PB22:PF22"/>
    <mergeCell ref="PG22:PJ22"/>
    <mergeCell ref="PL22:PO22"/>
    <mergeCell ref="PQ22:PT22"/>
    <mergeCell ref="PV22:PY22"/>
    <mergeCell ref="RQ22:RT22"/>
    <mergeCell ref="RV22:RY22"/>
    <mergeCell ref="QB22:QF22"/>
    <mergeCell ref="QG22:QJ22"/>
    <mergeCell ref="QL22:QO22"/>
    <mergeCell ref="QQ22:QT22"/>
    <mergeCell ref="SL22:SO22"/>
    <mergeCell ref="SQ22:ST22"/>
    <mergeCell ref="SV22:SY22"/>
    <mergeCell ref="RB22:RF22"/>
    <mergeCell ref="RG22:RJ22"/>
    <mergeCell ref="RL22:RO22"/>
    <mergeCell ref="TG22:TJ22"/>
    <mergeCell ref="TL22:TO22"/>
    <mergeCell ref="TQ22:TT22"/>
    <mergeCell ref="TV22:TY22"/>
    <mergeCell ref="SB22:SF22"/>
    <mergeCell ref="SG22:SJ22"/>
    <mergeCell ref="UB22:UF22"/>
    <mergeCell ref="UG22:UJ22"/>
    <mergeCell ref="UL22:UO22"/>
    <mergeCell ref="UQ22:UT22"/>
    <mergeCell ref="UV22:UY22"/>
    <mergeCell ref="TB22:TF22"/>
    <mergeCell ref="WV22:WY22"/>
    <mergeCell ref="VB22:VF22"/>
    <mergeCell ref="VG22:VJ22"/>
    <mergeCell ref="VL22:VO22"/>
    <mergeCell ref="VQ22:VT22"/>
    <mergeCell ref="VV22:VY22"/>
    <mergeCell ref="XQ22:XT22"/>
    <mergeCell ref="XV22:XY22"/>
    <mergeCell ref="WB22:WF22"/>
    <mergeCell ref="WG22:WJ22"/>
    <mergeCell ref="WL22:WO22"/>
    <mergeCell ref="WQ22:WT22"/>
    <mergeCell ref="YL22:YO22"/>
    <mergeCell ref="YQ22:YT22"/>
    <mergeCell ref="YV22:YY22"/>
    <mergeCell ref="XB22:XF22"/>
    <mergeCell ref="XG22:XJ22"/>
    <mergeCell ref="XL22:XO22"/>
    <mergeCell ref="AEQ22:AET22"/>
    <mergeCell ref="AEV22:AEY22"/>
    <mergeCell ref="ADB22:ADF22"/>
    <mergeCell ref="ADG22:ADJ22"/>
    <mergeCell ref="ADL22:ADO22"/>
    <mergeCell ref="AFG22:AFJ22"/>
    <mergeCell ref="AFL22:AFO22"/>
    <mergeCell ref="AFQ22:AFT22"/>
    <mergeCell ref="AFV22:AFY22"/>
    <mergeCell ref="AEB22:AEF22"/>
    <mergeCell ref="AEG22:AEJ22"/>
    <mergeCell ref="ZG22:ZJ22"/>
    <mergeCell ref="ZL22:ZO22"/>
    <mergeCell ref="ZQ22:ZT22"/>
    <mergeCell ref="ZV22:ZY22"/>
    <mergeCell ref="YB22:YF22"/>
    <mergeCell ref="YG22:YJ22"/>
    <mergeCell ref="AAB22:AAF22"/>
    <mergeCell ref="AAG22:AAJ22"/>
    <mergeCell ref="AAL22:AAO22"/>
    <mergeCell ref="AAQ22:AAT22"/>
    <mergeCell ref="AAV22:AAY22"/>
    <mergeCell ref="ZB22:ZF22"/>
    <mergeCell ref="ACV22:ACY22"/>
    <mergeCell ref="ABB22:ABF22"/>
    <mergeCell ref="ABG22:ABJ22"/>
    <mergeCell ref="ABL22:ABO22"/>
    <mergeCell ref="ABQ22:ABT22"/>
    <mergeCell ref="ABV22:ABY22"/>
    <mergeCell ref="AGB22:AGF22"/>
    <mergeCell ref="AGG22:AGJ22"/>
    <mergeCell ref="AGL22:AGO22"/>
    <mergeCell ref="AGQ22:AGT22"/>
    <mergeCell ref="AGV22:AGY22"/>
    <mergeCell ref="AFB22:AFF22"/>
    <mergeCell ref="AIV22:AIY22"/>
    <mergeCell ref="AHB22:AHF22"/>
    <mergeCell ref="AHG22:AHJ22"/>
    <mergeCell ref="AHL22:AHO22"/>
    <mergeCell ref="AHQ22:AHT22"/>
    <mergeCell ref="AHV22:AHY22"/>
    <mergeCell ref="AJQ22:AJT22"/>
    <mergeCell ref="AJV22:AJY22"/>
    <mergeCell ref="AIB22:AIF22"/>
    <mergeCell ref="AIG22:AIJ22"/>
    <mergeCell ref="AIL22:AIO22"/>
    <mergeCell ref="AIQ22:AIT22"/>
    <mergeCell ref="C21:E21"/>
    <mergeCell ref="G21:J21"/>
    <mergeCell ref="L21:O21"/>
    <mergeCell ref="Q21:T21"/>
    <mergeCell ref="V21:Y21"/>
    <mergeCell ref="CV21:CY21"/>
    <mergeCell ref="BC21:BE21"/>
    <mergeCell ref="BG21:BJ21"/>
    <mergeCell ref="BL21:BO21"/>
    <mergeCell ref="BQ21:BT21"/>
    <mergeCell ref="BV21:BY21"/>
    <mergeCell ref="EV21:EY21"/>
    <mergeCell ref="DC21:DE21"/>
    <mergeCell ref="DG21:DJ21"/>
    <mergeCell ref="DL21:DO21"/>
    <mergeCell ref="DQ21:DT21"/>
    <mergeCell ref="DV21:DY21"/>
    <mergeCell ref="AL21:AO21"/>
    <mergeCell ref="AQ21:AT21"/>
    <mergeCell ref="AV21:AY21"/>
    <mergeCell ref="AIG21:AIJ21"/>
    <mergeCell ref="AIL21:AIO21"/>
    <mergeCell ref="AAV21:AAY21"/>
    <mergeCell ref="ZC21:ZE21"/>
    <mergeCell ref="ZG21:ZJ21"/>
    <mergeCell ref="ZL21:ZO21"/>
    <mergeCell ref="ZQ21:ZT21"/>
    <mergeCell ref="ZV21:ZY21"/>
    <mergeCell ref="ACV21:ACY21"/>
    <mergeCell ref="ABC21:ABE21"/>
    <mergeCell ref="ABG21:ABJ21"/>
    <mergeCell ref="ABL21:ABO21"/>
    <mergeCell ref="ABQ21:ABT21"/>
    <mergeCell ref="ABV21:ABY21"/>
    <mergeCell ref="AEV21:AEY21"/>
    <mergeCell ref="ADC21:ADE21"/>
    <mergeCell ref="ADG21:ADJ21"/>
    <mergeCell ref="ADL21:ADO21"/>
    <mergeCell ref="ADQ21:ADT21"/>
    <mergeCell ref="ADV21:ADY21"/>
    <mergeCell ref="Q20:T20"/>
    <mergeCell ref="V20:Y20"/>
    <mergeCell ref="BQ20:BT20"/>
    <mergeCell ref="BV20:BY20"/>
    <mergeCell ref="AC20:AE20"/>
    <mergeCell ref="AG20:AJ20"/>
    <mergeCell ref="AL20:AO20"/>
    <mergeCell ref="AQ20:AT20"/>
    <mergeCell ref="DQ20:DT20"/>
    <mergeCell ref="DV20:DY20"/>
    <mergeCell ref="CC20:CE20"/>
    <mergeCell ref="CG20:CJ20"/>
    <mergeCell ref="CL20:CO20"/>
    <mergeCell ref="CQ20:CT20"/>
    <mergeCell ref="FQ20:FT20"/>
    <mergeCell ref="FV20:FY20"/>
    <mergeCell ref="EC20:EE20"/>
    <mergeCell ref="EG20:EJ20"/>
    <mergeCell ref="EL20:EO20"/>
    <mergeCell ref="EQ20:ET20"/>
    <mergeCell ref="V19:Y19"/>
    <mergeCell ref="AKC20:AKE20"/>
    <mergeCell ref="AV19:AY19"/>
    <mergeCell ref="A19:A23"/>
    <mergeCell ref="C19:E19"/>
    <mergeCell ref="G19:J19"/>
    <mergeCell ref="L19:O19"/>
    <mergeCell ref="Q19:T19"/>
    <mergeCell ref="AV20:AY20"/>
    <mergeCell ref="C20:E20"/>
    <mergeCell ref="G20:J20"/>
    <mergeCell ref="L20:O20"/>
    <mergeCell ref="BV19:BY19"/>
    <mergeCell ref="AA19:AA23"/>
    <mergeCell ref="AC19:AE19"/>
    <mergeCell ref="AG19:AJ19"/>
    <mergeCell ref="AL19:AO19"/>
    <mergeCell ref="AQ19:AT19"/>
    <mergeCell ref="AC21:AE21"/>
    <mergeCell ref="AG21:AJ21"/>
    <mergeCell ref="ABQ20:ABT20"/>
    <mergeCell ref="ABV20:ABY20"/>
    <mergeCell ref="AAC20:AAE20"/>
    <mergeCell ref="AAG20:AAJ20"/>
    <mergeCell ref="AAL20:AAO20"/>
    <mergeCell ref="AAQ20:AAT20"/>
    <mergeCell ref="ADQ20:ADT20"/>
    <mergeCell ref="ADV20:ADY20"/>
    <mergeCell ref="ACC20:ACE20"/>
    <mergeCell ref="ACG20:ACJ20"/>
    <mergeCell ref="ACL20:ACO20"/>
    <mergeCell ref="ACQ20:ACT20"/>
    <mergeCell ref="CV19:CY19"/>
    <mergeCell ref="BA19:BA23"/>
    <mergeCell ref="BC19:BE19"/>
    <mergeCell ref="BG19:BJ19"/>
    <mergeCell ref="BL19:BO19"/>
    <mergeCell ref="BQ19:BT19"/>
    <mergeCell ref="CV20:CY20"/>
    <mergeCell ref="BC20:BE20"/>
    <mergeCell ref="BG20:BJ20"/>
    <mergeCell ref="BL20:BO20"/>
    <mergeCell ref="DV19:DY19"/>
    <mergeCell ref="CA19:CA23"/>
    <mergeCell ref="CC19:CE19"/>
    <mergeCell ref="CG19:CJ19"/>
    <mergeCell ref="CL19:CO19"/>
    <mergeCell ref="CQ19:CT19"/>
    <mergeCell ref="CC21:CE21"/>
    <mergeCell ref="CG21:CJ21"/>
    <mergeCell ref="CL21:CO21"/>
    <mergeCell ref="CQ21:CT21"/>
    <mergeCell ref="CQ22:CT22"/>
    <mergeCell ref="CV22:CY22"/>
    <mergeCell ref="BB22:BF22"/>
    <mergeCell ref="DB22:DF22"/>
    <mergeCell ref="DG22:DJ22"/>
    <mergeCell ref="DL22:DO22"/>
    <mergeCell ref="DQ22:DT22"/>
    <mergeCell ref="DV22:DY22"/>
    <mergeCell ref="EV19:EY19"/>
    <mergeCell ref="DA19:DA23"/>
    <mergeCell ref="DC19:DE19"/>
    <mergeCell ref="DG19:DJ19"/>
    <mergeCell ref="DL19:DO19"/>
    <mergeCell ref="DQ19:DT19"/>
    <mergeCell ref="EV20:EY20"/>
    <mergeCell ref="DC20:DE20"/>
    <mergeCell ref="DG20:DJ20"/>
    <mergeCell ref="DL20:DO20"/>
    <mergeCell ref="FV19:FY19"/>
    <mergeCell ref="EA19:EA23"/>
    <mergeCell ref="EC19:EE19"/>
    <mergeCell ref="EG19:EJ19"/>
    <mergeCell ref="EL19:EO19"/>
    <mergeCell ref="EQ19:ET19"/>
    <mergeCell ref="EC21:EE21"/>
    <mergeCell ref="EG21:EJ21"/>
    <mergeCell ref="EL21:EO21"/>
    <mergeCell ref="EQ21:ET21"/>
    <mergeCell ref="FC21:FE21"/>
    <mergeCell ref="FG21:FJ21"/>
    <mergeCell ref="FL21:FO21"/>
    <mergeCell ref="FQ21:FT21"/>
    <mergeCell ref="FV21:FY21"/>
    <mergeCell ref="EV22:EY22"/>
    <mergeCell ref="EB22:EF22"/>
    <mergeCell ref="EG22:EJ22"/>
    <mergeCell ref="EL22:EO22"/>
    <mergeCell ref="EQ22:ET22"/>
    <mergeCell ref="FQ23:FT23"/>
    <mergeCell ref="FV23:FY23"/>
    <mergeCell ref="GV19:GY19"/>
    <mergeCell ref="FA19:FA23"/>
    <mergeCell ref="FC19:FE19"/>
    <mergeCell ref="FG19:FJ19"/>
    <mergeCell ref="FL19:FO19"/>
    <mergeCell ref="FQ19:FT19"/>
    <mergeCell ref="GV20:GY20"/>
    <mergeCell ref="FC20:FE20"/>
    <mergeCell ref="FG20:FJ20"/>
    <mergeCell ref="FL20:FO20"/>
    <mergeCell ref="HV19:HY19"/>
    <mergeCell ref="GA19:GA23"/>
    <mergeCell ref="GC19:GE19"/>
    <mergeCell ref="GG19:GJ19"/>
    <mergeCell ref="GL19:GO19"/>
    <mergeCell ref="GQ19:GT19"/>
    <mergeCell ref="GC21:GE21"/>
    <mergeCell ref="GG21:GJ21"/>
    <mergeCell ref="GL21:GO21"/>
    <mergeCell ref="GQ21:GT21"/>
    <mergeCell ref="HQ20:HT20"/>
    <mergeCell ref="HV20:HY20"/>
    <mergeCell ref="GC20:GE20"/>
    <mergeCell ref="GG20:GJ20"/>
    <mergeCell ref="GL20:GO20"/>
    <mergeCell ref="GQ20:GT20"/>
    <mergeCell ref="HC21:HE21"/>
    <mergeCell ref="HG21:HJ21"/>
    <mergeCell ref="HL21:HO21"/>
    <mergeCell ref="HQ21:HT21"/>
    <mergeCell ref="HV21:HY21"/>
    <mergeCell ref="GV21:GY21"/>
    <mergeCell ref="IV19:IY19"/>
    <mergeCell ref="HA19:HA23"/>
    <mergeCell ref="HC19:HE19"/>
    <mergeCell ref="HG19:HJ19"/>
    <mergeCell ref="HL19:HO19"/>
    <mergeCell ref="HQ19:HT19"/>
    <mergeCell ref="IV20:IY20"/>
    <mergeCell ref="HC20:HE20"/>
    <mergeCell ref="HG20:HJ20"/>
    <mergeCell ref="HL20:HO20"/>
    <mergeCell ref="JV19:JY19"/>
    <mergeCell ref="IA19:IA23"/>
    <mergeCell ref="IC19:IE19"/>
    <mergeCell ref="IG19:IJ19"/>
    <mergeCell ref="IL19:IO19"/>
    <mergeCell ref="IQ19:IT19"/>
    <mergeCell ref="IC21:IE21"/>
    <mergeCell ref="IG21:IJ21"/>
    <mergeCell ref="IL21:IO21"/>
    <mergeCell ref="IQ21:IT21"/>
    <mergeCell ref="JQ20:JT20"/>
    <mergeCell ref="JV20:JY20"/>
    <mergeCell ref="IC20:IE20"/>
    <mergeCell ref="IG20:IJ20"/>
    <mergeCell ref="IL20:IO20"/>
    <mergeCell ref="IQ20:IT20"/>
    <mergeCell ref="IV21:IY21"/>
    <mergeCell ref="JC21:JE21"/>
    <mergeCell ref="JG21:JJ21"/>
    <mergeCell ref="JL21:JO21"/>
    <mergeCell ref="JQ21:JT21"/>
    <mergeCell ref="JV21:JY21"/>
    <mergeCell ref="KV19:KY19"/>
    <mergeCell ref="JA19:JA23"/>
    <mergeCell ref="JC19:JE19"/>
    <mergeCell ref="JG19:JJ19"/>
    <mergeCell ref="JL19:JO19"/>
    <mergeCell ref="JQ19:JT19"/>
    <mergeCell ref="KV20:KY20"/>
    <mergeCell ref="JC20:JE20"/>
    <mergeCell ref="JG20:JJ20"/>
    <mergeCell ref="JL20:JO20"/>
    <mergeCell ref="LV19:LY19"/>
    <mergeCell ref="KA19:KA23"/>
    <mergeCell ref="KC19:KE19"/>
    <mergeCell ref="KG19:KJ19"/>
    <mergeCell ref="KL19:KO19"/>
    <mergeCell ref="KQ19:KT19"/>
    <mergeCell ref="KC21:KE21"/>
    <mergeCell ref="KG21:KJ21"/>
    <mergeCell ref="KL21:KO21"/>
    <mergeCell ref="KQ21:KT21"/>
    <mergeCell ref="LQ20:LT20"/>
    <mergeCell ref="LV20:LY20"/>
    <mergeCell ref="KC20:KE20"/>
    <mergeCell ref="KG20:KJ20"/>
    <mergeCell ref="KL20:KO20"/>
    <mergeCell ref="KQ20:KT20"/>
    <mergeCell ref="KV21:KY21"/>
    <mergeCell ref="LC21:LE21"/>
    <mergeCell ref="LG21:LJ21"/>
    <mergeCell ref="LL21:LO21"/>
    <mergeCell ref="LQ21:LT21"/>
    <mergeCell ref="LV21:LY21"/>
    <mergeCell ref="MV19:MY19"/>
    <mergeCell ref="LA19:LA23"/>
    <mergeCell ref="LC19:LE19"/>
    <mergeCell ref="LG19:LJ19"/>
    <mergeCell ref="LL19:LO19"/>
    <mergeCell ref="LQ19:LT19"/>
    <mergeCell ref="MV20:MY20"/>
    <mergeCell ref="LC20:LE20"/>
    <mergeCell ref="LG20:LJ20"/>
    <mergeCell ref="LL20:LO20"/>
    <mergeCell ref="NV19:NY19"/>
    <mergeCell ref="MA19:MA23"/>
    <mergeCell ref="MC19:ME19"/>
    <mergeCell ref="MG19:MJ19"/>
    <mergeCell ref="ML19:MO19"/>
    <mergeCell ref="MQ19:MT19"/>
    <mergeCell ref="MC21:ME21"/>
    <mergeCell ref="MG21:MJ21"/>
    <mergeCell ref="ML21:MO21"/>
    <mergeCell ref="MQ21:MT21"/>
    <mergeCell ref="NQ20:NT20"/>
    <mergeCell ref="NV20:NY20"/>
    <mergeCell ref="MC20:ME20"/>
    <mergeCell ref="MG20:MJ20"/>
    <mergeCell ref="ML20:MO20"/>
    <mergeCell ref="MQ20:MT20"/>
    <mergeCell ref="NC21:NE21"/>
    <mergeCell ref="NG21:NJ21"/>
    <mergeCell ref="NL21:NO21"/>
    <mergeCell ref="NQ21:NT21"/>
    <mergeCell ref="NV21:NY21"/>
    <mergeCell ref="MV21:MY21"/>
    <mergeCell ref="OV19:OY19"/>
    <mergeCell ref="NA19:NA23"/>
    <mergeCell ref="NC19:NE19"/>
    <mergeCell ref="NG19:NJ19"/>
    <mergeCell ref="NL19:NO19"/>
    <mergeCell ref="NQ19:NT19"/>
    <mergeCell ref="OV20:OY20"/>
    <mergeCell ref="NC20:NE20"/>
    <mergeCell ref="NG20:NJ20"/>
    <mergeCell ref="NL20:NO20"/>
    <mergeCell ref="PV19:PY19"/>
    <mergeCell ref="OA19:OA23"/>
    <mergeCell ref="OC19:OE19"/>
    <mergeCell ref="OG19:OJ19"/>
    <mergeCell ref="OL19:OO19"/>
    <mergeCell ref="OQ19:OT19"/>
    <mergeCell ref="OC21:OE21"/>
    <mergeCell ref="OG21:OJ21"/>
    <mergeCell ref="OL21:OO21"/>
    <mergeCell ref="OQ21:OT21"/>
    <mergeCell ref="PQ20:PT20"/>
    <mergeCell ref="PV20:PY20"/>
    <mergeCell ref="OC20:OE20"/>
    <mergeCell ref="OG20:OJ20"/>
    <mergeCell ref="OL20:OO20"/>
    <mergeCell ref="OQ20:OT20"/>
    <mergeCell ref="OV21:OY21"/>
    <mergeCell ref="PC21:PE21"/>
    <mergeCell ref="PG21:PJ21"/>
    <mergeCell ref="PL21:PO21"/>
    <mergeCell ref="PQ21:PT21"/>
    <mergeCell ref="PV21:PY21"/>
    <mergeCell ref="QV19:QY19"/>
    <mergeCell ref="PA19:PA23"/>
    <mergeCell ref="PC19:PE19"/>
    <mergeCell ref="PG19:PJ19"/>
    <mergeCell ref="PL19:PO19"/>
    <mergeCell ref="PQ19:PT19"/>
    <mergeCell ref="QV20:QY20"/>
    <mergeCell ref="PC20:PE20"/>
    <mergeCell ref="PG20:PJ20"/>
    <mergeCell ref="PL20:PO20"/>
    <mergeCell ref="RV19:RY19"/>
    <mergeCell ref="QA19:QA23"/>
    <mergeCell ref="QC19:QE19"/>
    <mergeCell ref="QG19:QJ19"/>
    <mergeCell ref="QL19:QO19"/>
    <mergeCell ref="QQ19:QT19"/>
    <mergeCell ref="QC21:QE21"/>
    <mergeCell ref="QG21:QJ21"/>
    <mergeCell ref="QL21:QO21"/>
    <mergeCell ref="QQ21:QT21"/>
    <mergeCell ref="RQ20:RT20"/>
    <mergeCell ref="RV20:RY20"/>
    <mergeCell ref="QC20:QE20"/>
    <mergeCell ref="QG20:QJ20"/>
    <mergeCell ref="QL20:QO20"/>
    <mergeCell ref="QQ20:QT20"/>
    <mergeCell ref="QV21:QY21"/>
    <mergeCell ref="RC21:RE21"/>
    <mergeCell ref="RG21:RJ21"/>
    <mergeCell ref="RL21:RO21"/>
    <mergeCell ref="RQ21:RT21"/>
    <mergeCell ref="RV21:RY21"/>
    <mergeCell ref="SV19:SY19"/>
    <mergeCell ref="RA19:RA23"/>
    <mergeCell ref="RC19:RE19"/>
    <mergeCell ref="RG19:RJ19"/>
    <mergeCell ref="RL19:RO19"/>
    <mergeCell ref="RQ19:RT19"/>
    <mergeCell ref="SV20:SY20"/>
    <mergeCell ref="RC20:RE20"/>
    <mergeCell ref="RG20:RJ20"/>
    <mergeCell ref="RL20:RO20"/>
    <mergeCell ref="TV19:TY19"/>
    <mergeCell ref="SA19:SA23"/>
    <mergeCell ref="SC19:SE19"/>
    <mergeCell ref="SG19:SJ19"/>
    <mergeCell ref="SL19:SO19"/>
    <mergeCell ref="SQ19:ST19"/>
    <mergeCell ref="SC21:SE21"/>
    <mergeCell ref="SG21:SJ21"/>
    <mergeCell ref="SL21:SO21"/>
    <mergeCell ref="SQ21:ST21"/>
    <mergeCell ref="TQ20:TT20"/>
    <mergeCell ref="TV20:TY20"/>
    <mergeCell ref="SC20:SE20"/>
    <mergeCell ref="SG20:SJ20"/>
    <mergeCell ref="SL20:SO20"/>
    <mergeCell ref="SQ20:ST20"/>
    <mergeCell ref="TC21:TE21"/>
    <mergeCell ref="TG21:TJ21"/>
    <mergeCell ref="TL21:TO21"/>
    <mergeCell ref="TQ21:TT21"/>
    <mergeCell ref="TV21:TY21"/>
    <mergeCell ref="SV21:SY21"/>
    <mergeCell ref="UV19:UY19"/>
    <mergeCell ref="TA19:TA23"/>
    <mergeCell ref="TC19:TE19"/>
    <mergeCell ref="TG19:TJ19"/>
    <mergeCell ref="TL19:TO19"/>
    <mergeCell ref="TQ19:TT19"/>
    <mergeCell ref="UV20:UY20"/>
    <mergeCell ref="TC20:TE20"/>
    <mergeCell ref="TG20:TJ20"/>
    <mergeCell ref="TL20:TO20"/>
    <mergeCell ref="VV19:VY19"/>
    <mergeCell ref="UA19:UA23"/>
    <mergeCell ref="UC19:UE19"/>
    <mergeCell ref="UG19:UJ19"/>
    <mergeCell ref="UL19:UO19"/>
    <mergeCell ref="UQ19:UT19"/>
    <mergeCell ref="UC21:UE21"/>
    <mergeCell ref="UG21:UJ21"/>
    <mergeCell ref="UL21:UO21"/>
    <mergeCell ref="UQ21:UT21"/>
    <mergeCell ref="VQ20:VT20"/>
    <mergeCell ref="VV20:VY20"/>
    <mergeCell ref="UC20:UE20"/>
    <mergeCell ref="UG20:UJ20"/>
    <mergeCell ref="UL20:UO20"/>
    <mergeCell ref="UQ20:UT20"/>
    <mergeCell ref="UV21:UY21"/>
    <mergeCell ref="VC21:VE21"/>
    <mergeCell ref="VG21:VJ21"/>
    <mergeCell ref="VL21:VO21"/>
    <mergeCell ref="VQ21:VT21"/>
    <mergeCell ref="VV21:VY21"/>
    <mergeCell ref="WV19:WY19"/>
    <mergeCell ref="VA19:VA23"/>
    <mergeCell ref="VC19:VE19"/>
    <mergeCell ref="VG19:VJ19"/>
    <mergeCell ref="VL19:VO19"/>
    <mergeCell ref="VQ19:VT19"/>
    <mergeCell ref="WV20:WY20"/>
    <mergeCell ref="VC20:VE20"/>
    <mergeCell ref="VG20:VJ20"/>
    <mergeCell ref="VL20:VO20"/>
    <mergeCell ref="XV19:XY19"/>
    <mergeCell ref="WA19:WA23"/>
    <mergeCell ref="WC19:WE19"/>
    <mergeCell ref="WG19:WJ19"/>
    <mergeCell ref="WL19:WO19"/>
    <mergeCell ref="WQ19:WT19"/>
    <mergeCell ref="WC21:WE21"/>
    <mergeCell ref="WG21:WJ21"/>
    <mergeCell ref="WL21:WO21"/>
    <mergeCell ref="WQ21:WT21"/>
    <mergeCell ref="XQ20:XT20"/>
    <mergeCell ref="XV20:XY20"/>
    <mergeCell ref="WC20:WE20"/>
    <mergeCell ref="WG20:WJ20"/>
    <mergeCell ref="WL20:WO20"/>
    <mergeCell ref="WQ20:WT20"/>
    <mergeCell ref="WV21:WY21"/>
    <mergeCell ref="XC21:XE21"/>
    <mergeCell ref="XG21:XJ21"/>
    <mergeCell ref="XL21:XO21"/>
    <mergeCell ref="XQ21:XT21"/>
    <mergeCell ref="XV21:XY21"/>
    <mergeCell ref="YV19:YY19"/>
    <mergeCell ref="XA19:XA23"/>
    <mergeCell ref="XC19:XE19"/>
    <mergeCell ref="XG19:XJ19"/>
    <mergeCell ref="XL19:XO19"/>
    <mergeCell ref="XQ19:XT19"/>
    <mergeCell ref="YV20:YY20"/>
    <mergeCell ref="XC20:XE20"/>
    <mergeCell ref="XG20:XJ20"/>
    <mergeCell ref="XL20:XO20"/>
    <mergeCell ref="ZV19:ZY19"/>
    <mergeCell ref="YA19:YA23"/>
    <mergeCell ref="YC19:YE19"/>
    <mergeCell ref="YG19:YJ19"/>
    <mergeCell ref="YL19:YO19"/>
    <mergeCell ref="YQ19:YT19"/>
    <mergeCell ref="YC21:YE21"/>
    <mergeCell ref="YG21:YJ21"/>
    <mergeCell ref="YL21:YO21"/>
    <mergeCell ref="YQ21:YT21"/>
    <mergeCell ref="ZQ20:ZT20"/>
    <mergeCell ref="ZV20:ZY20"/>
    <mergeCell ref="YC20:YE20"/>
    <mergeCell ref="YG20:YJ20"/>
    <mergeCell ref="YL20:YO20"/>
    <mergeCell ref="YQ20:YT20"/>
    <mergeCell ref="YV21:YY21"/>
    <mergeCell ref="ZB23:ZE23"/>
    <mergeCell ref="XQ23:XT23"/>
    <mergeCell ref="XV23:XY23"/>
    <mergeCell ref="AAV19:AAY19"/>
    <mergeCell ref="ZA19:ZA23"/>
    <mergeCell ref="ZC19:ZE19"/>
    <mergeCell ref="ZG19:ZJ19"/>
    <mergeCell ref="ZL19:ZO19"/>
    <mergeCell ref="ZQ19:ZT19"/>
    <mergeCell ref="AAV20:AAY20"/>
    <mergeCell ref="ZC20:ZE20"/>
    <mergeCell ref="ZG20:ZJ20"/>
    <mergeCell ref="ZL20:ZO20"/>
    <mergeCell ref="ABV19:ABY19"/>
    <mergeCell ref="AAA19:AAA23"/>
    <mergeCell ref="AAC19:AAE19"/>
    <mergeCell ref="AAG19:AAJ19"/>
    <mergeCell ref="AAL19:AAO19"/>
    <mergeCell ref="AAQ19:AAT19"/>
    <mergeCell ref="AAC21:AAE21"/>
    <mergeCell ref="AAG21:AAJ21"/>
    <mergeCell ref="AAL21:AAO21"/>
    <mergeCell ref="AAQ21:AAT21"/>
    <mergeCell ref="AAB23:AAE23"/>
    <mergeCell ref="AAG23:AAJ23"/>
    <mergeCell ref="AAL23:AAO23"/>
    <mergeCell ref="AAQ23:AAT23"/>
    <mergeCell ref="AAV23:AAY23"/>
    <mergeCell ref="ABB23:ABE23"/>
    <mergeCell ref="ABG23:ABJ23"/>
    <mergeCell ref="ABL23:ABO23"/>
    <mergeCell ref="ABQ23:ABT23"/>
    <mergeCell ref="ABV23:ABY23"/>
    <mergeCell ref="ACV19:ACY19"/>
    <mergeCell ref="ABA19:ABA23"/>
    <mergeCell ref="ABC19:ABE19"/>
    <mergeCell ref="ABG19:ABJ19"/>
    <mergeCell ref="ABL19:ABO19"/>
    <mergeCell ref="ABQ19:ABT19"/>
    <mergeCell ref="ACV20:ACY20"/>
    <mergeCell ref="ABC20:ABE20"/>
    <mergeCell ref="ABG20:ABJ20"/>
    <mergeCell ref="ABL20:ABO20"/>
    <mergeCell ref="ADV19:ADY19"/>
    <mergeCell ref="ACA19:ACA23"/>
    <mergeCell ref="ACC19:ACE19"/>
    <mergeCell ref="ACG19:ACJ19"/>
    <mergeCell ref="ACL19:ACO19"/>
    <mergeCell ref="ACQ19:ACT19"/>
    <mergeCell ref="ACC21:ACE21"/>
    <mergeCell ref="ACG21:ACJ21"/>
    <mergeCell ref="ACL21:ACO21"/>
    <mergeCell ref="ACQ21:ACT21"/>
    <mergeCell ref="ADQ22:ADT22"/>
    <mergeCell ref="ADV22:ADY22"/>
    <mergeCell ref="ACB22:ACF22"/>
    <mergeCell ref="ACG22:ACJ22"/>
    <mergeCell ref="ACL22:ACO22"/>
    <mergeCell ref="ACQ22:ACT22"/>
    <mergeCell ref="ACV23:ACY23"/>
    <mergeCell ref="ACB23:ACE23"/>
    <mergeCell ref="ACG23:ACJ23"/>
    <mergeCell ref="ACL23:ACO23"/>
    <mergeCell ref="ACQ23:ACT23"/>
    <mergeCell ref="AEV19:AEY19"/>
    <mergeCell ref="ADA19:ADA23"/>
    <mergeCell ref="ADC19:ADE19"/>
    <mergeCell ref="ADG19:ADJ19"/>
    <mergeCell ref="ADL19:ADO19"/>
    <mergeCell ref="ADQ19:ADT19"/>
    <mergeCell ref="AEV20:AEY20"/>
    <mergeCell ref="ADC20:ADE20"/>
    <mergeCell ref="ADG20:ADJ20"/>
    <mergeCell ref="ADL20:ADO20"/>
    <mergeCell ref="AFV19:AFY19"/>
    <mergeCell ref="AEA19:AEA23"/>
    <mergeCell ref="AEC19:AEE19"/>
    <mergeCell ref="AEG19:AEJ19"/>
    <mergeCell ref="AEL19:AEO19"/>
    <mergeCell ref="AEQ19:AET19"/>
    <mergeCell ref="AEC21:AEE21"/>
    <mergeCell ref="AEG21:AEJ21"/>
    <mergeCell ref="AEL21:AEO21"/>
    <mergeCell ref="AEQ21:AET21"/>
    <mergeCell ref="AFQ20:AFT20"/>
    <mergeCell ref="AFV20:AFY20"/>
    <mergeCell ref="AEC20:AEE20"/>
    <mergeCell ref="AEG20:AEJ20"/>
    <mergeCell ref="AEL20:AEO20"/>
    <mergeCell ref="AEQ20:AET20"/>
    <mergeCell ref="AFC21:AFE21"/>
    <mergeCell ref="AFG21:AFJ21"/>
    <mergeCell ref="AFL21:AFO21"/>
    <mergeCell ref="AFQ21:AFT21"/>
    <mergeCell ref="AFV21:AFY21"/>
    <mergeCell ref="AEL22:AEO22"/>
    <mergeCell ref="AGV19:AGY19"/>
    <mergeCell ref="AFA19:AFA23"/>
    <mergeCell ref="AFC19:AFE19"/>
    <mergeCell ref="AFG19:AFJ19"/>
    <mergeCell ref="AFL19:AFO19"/>
    <mergeCell ref="AFQ19:AFT19"/>
    <mergeCell ref="AGV20:AGY20"/>
    <mergeCell ref="AFC20:AFE20"/>
    <mergeCell ref="AFG20:AFJ20"/>
    <mergeCell ref="AFL20:AFO20"/>
    <mergeCell ref="AHV19:AHY19"/>
    <mergeCell ref="AGA19:AGA23"/>
    <mergeCell ref="AGC19:AGE19"/>
    <mergeCell ref="AGG19:AGJ19"/>
    <mergeCell ref="AGL19:AGO19"/>
    <mergeCell ref="AGQ19:AGT19"/>
    <mergeCell ref="AGC21:AGE21"/>
    <mergeCell ref="AGG21:AGJ21"/>
    <mergeCell ref="AGL21:AGO21"/>
    <mergeCell ref="AGQ21:AGT21"/>
    <mergeCell ref="AHQ20:AHT20"/>
    <mergeCell ref="AHV20:AHY20"/>
    <mergeCell ref="AGC20:AGE20"/>
    <mergeCell ref="AGG20:AGJ20"/>
    <mergeCell ref="AGL20:AGO20"/>
    <mergeCell ref="AGQ20:AGT20"/>
    <mergeCell ref="AGV21:AGY21"/>
    <mergeCell ref="AHC21:AHE21"/>
    <mergeCell ref="AHG21:AHJ21"/>
    <mergeCell ref="AHL21:AHO21"/>
    <mergeCell ref="AHQ21:AHT21"/>
    <mergeCell ref="AHV21:AHY21"/>
    <mergeCell ref="AIV19:AIY19"/>
    <mergeCell ref="AHA19:AHA23"/>
    <mergeCell ref="AHC19:AHE19"/>
    <mergeCell ref="AHG19:AHJ19"/>
    <mergeCell ref="AHL19:AHO19"/>
    <mergeCell ref="AHQ19:AHT19"/>
    <mergeCell ref="AIV20:AIY20"/>
    <mergeCell ref="AHC20:AHE20"/>
    <mergeCell ref="AHG20:AHJ20"/>
    <mergeCell ref="AHL20:AHO20"/>
    <mergeCell ref="AJV19:AJY19"/>
    <mergeCell ref="AIA19:AIA23"/>
    <mergeCell ref="AIC19:AIE19"/>
    <mergeCell ref="AIG19:AIJ19"/>
    <mergeCell ref="AIL19:AIO19"/>
    <mergeCell ref="AIQ19:AIT19"/>
    <mergeCell ref="AIQ21:AIT21"/>
    <mergeCell ref="AIL23:AIO23"/>
    <mergeCell ref="AIQ23:AIT23"/>
    <mergeCell ref="AJQ20:AJT20"/>
    <mergeCell ref="AJV20:AJY20"/>
    <mergeCell ref="AIC20:AIE20"/>
    <mergeCell ref="AIG20:AIJ20"/>
    <mergeCell ref="AIL20:AIO20"/>
    <mergeCell ref="AIQ20:AIT20"/>
    <mergeCell ref="AJC21:AJE21"/>
    <mergeCell ref="AJG21:AJJ21"/>
    <mergeCell ref="AIV21:AIY21"/>
    <mergeCell ref="AJL21:AJO21"/>
    <mergeCell ref="AJQ21:AJT21"/>
    <mergeCell ref="AJV21:AJY21"/>
    <mergeCell ref="AIC21:AIE21"/>
    <mergeCell ref="AKV19:AKY19"/>
    <mergeCell ref="AJA19:AJA23"/>
    <mergeCell ref="AJC19:AJE19"/>
    <mergeCell ref="AJG19:AJJ19"/>
    <mergeCell ref="AJL19:AJO19"/>
    <mergeCell ref="AJQ19:AJT19"/>
    <mergeCell ref="AKV20:AKY20"/>
    <mergeCell ref="AJC20:AJE20"/>
    <mergeCell ref="AJG20:AJJ20"/>
    <mergeCell ref="AJL20:AJO20"/>
    <mergeCell ref="AKA19:AKA23"/>
    <mergeCell ref="AKC19:AKE19"/>
    <mergeCell ref="AKG19:AKJ19"/>
    <mergeCell ref="AKL19:AKO19"/>
    <mergeCell ref="AKQ19:AKT19"/>
    <mergeCell ref="AKG20:AKJ20"/>
    <mergeCell ref="AKL20:AKO20"/>
    <mergeCell ref="AKQ20:AKT20"/>
    <mergeCell ref="AKC21:AKE21"/>
    <mergeCell ref="AKG21:AKJ21"/>
    <mergeCell ref="AKL21:AKO21"/>
    <mergeCell ref="AKQ21:AKT21"/>
    <mergeCell ref="AKV21:AKY21"/>
    <mergeCell ref="AKL22:AKO22"/>
    <mergeCell ref="AKQ22:AKT22"/>
    <mergeCell ref="AKV22:AKY22"/>
    <mergeCell ref="AJB22:AJF22"/>
    <mergeCell ref="AJG22:AJJ22"/>
    <mergeCell ref="AJL22:AJO22"/>
    <mergeCell ref="AKB22:AKF22"/>
    <mergeCell ref="AKG22:AKJ22"/>
    <mergeCell ref="DB18:DF18"/>
    <mergeCell ref="CB18:CF18"/>
    <mergeCell ref="BB18:BF18"/>
    <mergeCell ref="AB18:AF18"/>
    <mergeCell ref="B18:F18"/>
    <mergeCell ref="JB18:JF18"/>
    <mergeCell ref="IB18:IF18"/>
    <mergeCell ref="HB18:HF18"/>
    <mergeCell ref="GB18:GF18"/>
    <mergeCell ref="FB18:FF18"/>
    <mergeCell ref="EB18:EF18"/>
    <mergeCell ref="QB18:QF18"/>
    <mergeCell ref="PB18:PF18"/>
    <mergeCell ref="OB18:OF18"/>
    <mergeCell ref="NB18:NF18"/>
    <mergeCell ref="MB18:MF18"/>
    <mergeCell ref="LB18:LF18"/>
    <mergeCell ref="AJB18:AJF18"/>
    <mergeCell ref="AIB18:AIF18"/>
    <mergeCell ref="AHB18:AHF18"/>
    <mergeCell ref="AGB18:AGF18"/>
    <mergeCell ref="AFB18:AFF18"/>
    <mergeCell ref="AEB18:AEF18"/>
    <mergeCell ref="WZ13:WZ18"/>
    <mergeCell ref="VB13:VF14"/>
    <mergeCell ref="VG13:VJ13"/>
    <mergeCell ref="TV15:TY15"/>
    <mergeCell ref="SB15:SF17"/>
    <mergeCell ref="SG15:SJ15"/>
    <mergeCell ref="SL15:SO15"/>
    <mergeCell ref="SQ15:ST15"/>
    <mergeCell ref="SV15:SY15"/>
    <mergeCell ref="UL15:UO15"/>
    <mergeCell ref="UQ15:UT15"/>
    <mergeCell ref="UV15:UY15"/>
    <mergeCell ref="TB15:TF17"/>
    <mergeCell ref="TG15:TJ15"/>
    <mergeCell ref="GL17:GO17"/>
    <mergeCell ref="GQ17:GT17"/>
    <mergeCell ref="GV17:GY17"/>
    <mergeCell ref="JG17:JJ17"/>
    <mergeCell ref="JL17:JO17"/>
    <mergeCell ref="JQ17:JT17"/>
    <mergeCell ref="JV17:JY17"/>
    <mergeCell ref="IG17:IJ17"/>
    <mergeCell ref="IL17:IO17"/>
    <mergeCell ref="WB18:WF18"/>
    <mergeCell ref="VB18:VF18"/>
    <mergeCell ref="UB18:UF18"/>
    <mergeCell ref="TB18:TF18"/>
    <mergeCell ref="SB18:SF18"/>
    <mergeCell ref="RB18:RF18"/>
    <mergeCell ref="ADB18:ADF18"/>
    <mergeCell ref="ACB18:ACF18"/>
    <mergeCell ref="ABB18:ABF18"/>
    <mergeCell ref="AAB18:AAF18"/>
    <mergeCell ref="ZB18:ZF18"/>
    <mergeCell ref="YB18:YF18"/>
    <mergeCell ref="MB15:MF17"/>
    <mergeCell ref="MG15:MJ15"/>
    <mergeCell ref="NK13:NK18"/>
    <mergeCell ref="NL13:NO13"/>
    <mergeCell ref="NP13:NP18"/>
    <mergeCell ref="NQ13:NT13"/>
    <mergeCell ref="NU13:NU18"/>
    <mergeCell ref="NV13:NY13"/>
    <mergeCell ref="NV14:NY14"/>
    <mergeCell ref="V17:Y17"/>
    <mergeCell ref="AKB18:AKF18"/>
    <mergeCell ref="AL17:AO17"/>
    <mergeCell ref="AQ17:AT17"/>
    <mergeCell ref="AV17:AY17"/>
    <mergeCell ref="G17:J17"/>
    <mergeCell ref="L17:O17"/>
    <mergeCell ref="Q17:T17"/>
    <mergeCell ref="CV17:CY17"/>
    <mergeCell ref="BG17:BJ17"/>
    <mergeCell ref="BL17:BO17"/>
    <mergeCell ref="BQ17:BT17"/>
    <mergeCell ref="BV17:BY17"/>
    <mergeCell ref="AG17:AJ17"/>
    <mergeCell ref="EL17:EO17"/>
    <mergeCell ref="EQ17:ET17"/>
    <mergeCell ref="EV17:EY17"/>
    <mergeCell ref="DG17:DJ17"/>
    <mergeCell ref="DL17:DO17"/>
    <mergeCell ref="DQ17:DT17"/>
    <mergeCell ref="HQ17:HT17"/>
    <mergeCell ref="HV17:HY17"/>
    <mergeCell ref="GG17:GJ17"/>
    <mergeCell ref="NQ17:NT17"/>
    <mergeCell ref="NV17:NY17"/>
    <mergeCell ref="MG17:MJ17"/>
    <mergeCell ref="ML17:MO17"/>
    <mergeCell ref="MQ17:MT17"/>
    <mergeCell ref="MV17:MY17"/>
    <mergeCell ref="OG17:OJ17"/>
    <mergeCell ref="OL17:OO17"/>
    <mergeCell ref="OQ17:OT17"/>
    <mergeCell ref="OV17:OY17"/>
    <mergeCell ref="NG17:NJ17"/>
    <mergeCell ref="NL17:NO17"/>
    <mergeCell ref="MK13:MK18"/>
    <mergeCell ref="ML13:MO13"/>
    <mergeCell ref="MP13:MP18"/>
    <mergeCell ref="MG14:MJ14"/>
    <mergeCell ref="ML14:MO14"/>
    <mergeCell ref="YG17:YJ17"/>
    <mergeCell ref="YL17:YO17"/>
    <mergeCell ref="YQ17:YT17"/>
    <mergeCell ref="QQ17:QT17"/>
    <mergeCell ref="QV17:QY17"/>
    <mergeCell ref="PG17:PJ17"/>
    <mergeCell ref="PL17:PO17"/>
    <mergeCell ref="PQ17:PT17"/>
    <mergeCell ref="PV17:PY17"/>
    <mergeCell ref="RG17:RJ17"/>
    <mergeCell ref="RL17:RO17"/>
    <mergeCell ref="RQ17:RT17"/>
    <mergeCell ref="RV17:RY17"/>
    <mergeCell ref="QG17:QJ17"/>
    <mergeCell ref="QL17:QO17"/>
    <mergeCell ref="TQ17:TT17"/>
    <mergeCell ref="TV17:TY17"/>
    <mergeCell ref="SG17:SJ17"/>
    <mergeCell ref="SL17:SO17"/>
    <mergeCell ref="SQ17:ST17"/>
    <mergeCell ref="SV17:SY17"/>
    <mergeCell ref="QB15:QF17"/>
    <mergeCell ref="RG16:RJ16"/>
    <mergeCell ref="AFL17:AFO17"/>
    <mergeCell ref="AIL17:AIO17"/>
    <mergeCell ref="AIQ17:AIT17"/>
    <mergeCell ref="AIV17:AIY17"/>
    <mergeCell ref="AHG17:AHJ17"/>
    <mergeCell ref="AHL17:AHO17"/>
    <mergeCell ref="AHQ17:AHT17"/>
    <mergeCell ref="AKV17:AKY17"/>
    <mergeCell ref="AJG17:AJJ17"/>
    <mergeCell ref="AJL17:AJO17"/>
    <mergeCell ref="AJQ17:AJT17"/>
    <mergeCell ref="AJV17:AJY17"/>
    <mergeCell ref="AIG17:AIJ17"/>
    <mergeCell ref="ABV17:ABY17"/>
    <mergeCell ref="AAG17:AAJ17"/>
    <mergeCell ref="AAL17:AAO17"/>
    <mergeCell ref="AAQ17:AAT17"/>
    <mergeCell ref="AAV17:AAY17"/>
    <mergeCell ref="ADV17:ADY17"/>
    <mergeCell ref="ACG17:ACJ17"/>
    <mergeCell ref="ACL17:ACO17"/>
    <mergeCell ref="ACQ17:ACT17"/>
    <mergeCell ref="ACV17:ACY17"/>
    <mergeCell ref="ABG17:ABJ17"/>
    <mergeCell ref="AFQ17:AFT17"/>
    <mergeCell ref="AFV17:AFY17"/>
    <mergeCell ref="AEG17:AEJ17"/>
    <mergeCell ref="AEL17:AEO17"/>
    <mergeCell ref="AEQ17:AET17"/>
    <mergeCell ref="AEV17:AEY17"/>
    <mergeCell ref="ADG17:ADJ17"/>
    <mergeCell ref="ADL17:ADO17"/>
    <mergeCell ref="L16:O16"/>
    <mergeCell ref="Q16:T16"/>
    <mergeCell ref="V16:Y16"/>
    <mergeCell ref="CV16:CY16"/>
    <mergeCell ref="BG16:BJ16"/>
    <mergeCell ref="BL16:BO16"/>
    <mergeCell ref="BQ16:BT16"/>
    <mergeCell ref="BV16:BY16"/>
    <mergeCell ref="AG16:AJ16"/>
    <mergeCell ref="DL16:DO16"/>
    <mergeCell ref="DQ16:DT16"/>
    <mergeCell ref="DV16:DY16"/>
    <mergeCell ref="CG16:CJ16"/>
    <mergeCell ref="CL16:CO16"/>
    <mergeCell ref="CQ16:CT16"/>
    <mergeCell ref="GV16:GY16"/>
    <mergeCell ref="FG16:FJ16"/>
    <mergeCell ref="FL16:FO16"/>
    <mergeCell ref="FQ16:FT16"/>
    <mergeCell ref="FV16:FY16"/>
    <mergeCell ref="EG16:EJ16"/>
    <mergeCell ref="VG16:VJ16"/>
    <mergeCell ref="VL16:VO16"/>
    <mergeCell ref="VQ16:VT16"/>
    <mergeCell ref="VV16:VY16"/>
    <mergeCell ref="UG16:UJ16"/>
    <mergeCell ref="IL16:IO16"/>
    <mergeCell ref="IQ16:IT16"/>
    <mergeCell ref="IV16:IY16"/>
    <mergeCell ref="HG16:HJ16"/>
    <mergeCell ref="HL16:HO16"/>
    <mergeCell ref="HQ16:HT16"/>
    <mergeCell ref="LQ16:LT16"/>
    <mergeCell ref="LV16:LY16"/>
    <mergeCell ref="KG16:KJ16"/>
    <mergeCell ref="KL16:KO16"/>
    <mergeCell ref="KQ16:KT16"/>
    <mergeCell ref="KV16:KY16"/>
    <mergeCell ref="NL16:NO16"/>
    <mergeCell ref="NQ16:NT16"/>
    <mergeCell ref="NV16:NY16"/>
    <mergeCell ref="MG16:MJ16"/>
    <mergeCell ref="ML16:MO16"/>
    <mergeCell ref="MQ16:MT16"/>
    <mergeCell ref="JB15:JF17"/>
    <mergeCell ref="UG17:UJ17"/>
    <mergeCell ref="UL17:UO17"/>
    <mergeCell ref="UQ17:UT17"/>
    <mergeCell ref="UV17:UY17"/>
    <mergeCell ref="VG17:VJ17"/>
    <mergeCell ref="LL17:LO17"/>
    <mergeCell ref="LQ17:LT17"/>
    <mergeCell ref="LV17:LY17"/>
    <mergeCell ref="YL16:YO16"/>
    <mergeCell ref="YQ16:YT16"/>
    <mergeCell ref="YV16:YY16"/>
    <mergeCell ref="XG16:XJ16"/>
    <mergeCell ref="XL16:XO16"/>
    <mergeCell ref="XQ16:XT16"/>
    <mergeCell ref="ABV16:ABY16"/>
    <mergeCell ref="AAG16:AAJ16"/>
    <mergeCell ref="AAL16:AAO16"/>
    <mergeCell ref="AAQ16:AAT16"/>
    <mergeCell ref="AAV16:AAY16"/>
    <mergeCell ref="ZG16:ZJ16"/>
    <mergeCell ref="ACG16:ACJ16"/>
    <mergeCell ref="ACL16:ACO16"/>
    <mergeCell ref="ACQ16:ACT16"/>
    <mergeCell ref="ACV16:ACY16"/>
    <mergeCell ref="ABG16:ABJ16"/>
    <mergeCell ref="ABL16:ABO16"/>
    <mergeCell ref="AAB15:AAF17"/>
    <mergeCell ref="AAG15:AAJ15"/>
    <mergeCell ref="AAL15:AAO15"/>
    <mergeCell ref="AAQ15:AAT15"/>
    <mergeCell ref="AAV15:AAY15"/>
    <mergeCell ref="ACQ15:ACT15"/>
    <mergeCell ref="ACV15:ACY15"/>
    <mergeCell ref="ABB15:ABF17"/>
    <mergeCell ref="ABG15:ABJ15"/>
    <mergeCell ref="ABL15:ABO15"/>
    <mergeCell ref="ABQ15:ABT15"/>
    <mergeCell ref="ABQ16:ABT16"/>
    <mergeCell ref="ABL17:ABO17"/>
    <mergeCell ref="ABQ17:ABT17"/>
    <mergeCell ref="CQ17:CT17"/>
    <mergeCell ref="EL15:EO15"/>
    <mergeCell ref="EQ15:ET15"/>
    <mergeCell ref="EV15:EY15"/>
    <mergeCell ref="DB15:DF17"/>
    <mergeCell ref="AEL16:AEO16"/>
    <mergeCell ref="AEQ16:AET16"/>
    <mergeCell ref="AEV16:AEY16"/>
    <mergeCell ref="ADG16:ADJ16"/>
    <mergeCell ref="ADL16:ADO16"/>
    <mergeCell ref="ADQ16:ADT16"/>
    <mergeCell ref="AIV16:AIY16"/>
    <mergeCell ref="AHG16:AHJ16"/>
    <mergeCell ref="AHL16:AHO16"/>
    <mergeCell ref="AHQ16:AHT16"/>
    <mergeCell ref="AHV16:AHY16"/>
    <mergeCell ref="AGG16:AGJ16"/>
    <mergeCell ref="DG15:DJ15"/>
    <mergeCell ref="DL15:DO15"/>
    <mergeCell ref="EL16:EO16"/>
    <mergeCell ref="EQ16:ET16"/>
    <mergeCell ref="EV16:EY16"/>
    <mergeCell ref="DG16:DJ16"/>
    <mergeCell ref="FG15:FJ15"/>
    <mergeCell ref="FL15:FO15"/>
    <mergeCell ref="FQ15:FT15"/>
    <mergeCell ref="FV15:FY15"/>
    <mergeCell ref="EB15:EF17"/>
    <mergeCell ref="EG15:EJ15"/>
    <mergeCell ref="FG17:FJ17"/>
    <mergeCell ref="FL17:FO17"/>
    <mergeCell ref="FQ17:FT17"/>
    <mergeCell ref="HB15:HF17"/>
    <mergeCell ref="HG15:HJ15"/>
    <mergeCell ref="HL15:HO15"/>
    <mergeCell ref="HQ15:HT15"/>
    <mergeCell ref="IQ17:IT17"/>
    <mergeCell ref="IV17:IY17"/>
    <mergeCell ref="HG17:HJ17"/>
    <mergeCell ref="HL17:HO17"/>
    <mergeCell ref="AKQ16:AKT16"/>
    <mergeCell ref="AKV16:AKY16"/>
    <mergeCell ref="AG15:AJ15"/>
    <mergeCell ref="AL15:AO15"/>
    <mergeCell ref="AQ15:AT15"/>
    <mergeCell ref="AV15:AY15"/>
    <mergeCell ref="B15:F17"/>
    <mergeCell ref="G15:J15"/>
    <mergeCell ref="AL16:AO16"/>
    <mergeCell ref="AQ16:AT16"/>
    <mergeCell ref="AV16:AY16"/>
    <mergeCell ref="G16:J16"/>
    <mergeCell ref="BB15:BF17"/>
    <mergeCell ref="BG15:BJ15"/>
    <mergeCell ref="BL15:BO15"/>
    <mergeCell ref="BQ15:BT15"/>
    <mergeCell ref="BV15:BY15"/>
    <mergeCell ref="AB15:AF17"/>
    <mergeCell ref="DQ15:DT15"/>
    <mergeCell ref="DV15:DY15"/>
    <mergeCell ref="CB15:CF17"/>
    <mergeCell ref="CG15:CJ15"/>
    <mergeCell ref="CL15:CO15"/>
    <mergeCell ref="CQ15:CT15"/>
    <mergeCell ref="KQ15:KT15"/>
    <mergeCell ref="KV15:KY15"/>
    <mergeCell ref="KV17:KY17"/>
    <mergeCell ref="JP13:JP18"/>
    <mergeCell ref="JQ13:JT13"/>
    <mergeCell ref="JV13:JY13"/>
    <mergeCell ref="JZ13:JZ18"/>
    <mergeCell ref="JQ14:JT14"/>
    <mergeCell ref="JV14:JY14"/>
    <mergeCell ref="KU13:KU18"/>
    <mergeCell ref="KV13:KY13"/>
    <mergeCell ref="JB13:JF14"/>
    <mergeCell ref="JG13:JJ13"/>
    <mergeCell ref="JK13:JK18"/>
    <mergeCell ref="JL13:JO13"/>
    <mergeCell ref="KV14:KY14"/>
    <mergeCell ref="JG14:JJ14"/>
    <mergeCell ref="JL14:JO14"/>
    <mergeCell ref="KB18:KF18"/>
    <mergeCell ref="KG17:KJ17"/>
    <mergeCell ref="KL17:KO17"/>
    <mergeCell ref="KQ17:KT17"/>
    <mergeCell ref="RL16:RO16"/>
    <mergeCell ref="RQ16:RT16"/>
    <mergeCell ref="RV16:RY16"/>
    <mergeCell ref="ML15:MO15"/>
    <mergeCell ref="MQ15:MT15"/>
    <mergeCell ref="MV15:MY15"/>
    <mergeCell ref="LB15:LF17"/>
    <mergeCell ref="LG15:LJ15"/>
    <mergeCell ref="LL15:LO15"/>
    <mergeCell ref="MV16:MY16"/>
    <mergeCell ref="LG16:LJ16"/>
    <mergeCell ref="LL16:LO16"/>
    <mergeCell ref="LG17:LJ17"/>
    <mergeCell ref="OB15:OF17"/>
    <mergeCell ref="OG15:OJ15"/>
    <mergeCell ref="OL15:OO15"/>
    <mergeCell ref="OQ15:OT15"/>
    <mergeCell ref="OV15:OY15"/>
    <mergeCell ref="NB15:NF17"/>
    <mergeCell ref="OG16:OJ16"/>
    <mergeCell ref="OL16:OO16"/>
    <mergeCell ref="OQ16:OT16"/>
    <mergeCell ref="OV16:OY16"/>
    <mergeCell ref="LV15:LY15"/>
    <mergeCell ref="QG16:QJ16"/>
    <mergeCell ref="QL16:QO16"/>
    <mergeCell ref="QQ16:QT16"/>
    <mergeCell ref="QV16:QY16"/>
    <mergeCell ref="PG16:PJ16"/>
    <mergeCell ref="PL16:PO16"/>
    <mergeCell ref="LK13:LK18"/>
    <mergeCell ref="LL13:LO13"/>
    <mergeCell ref="UL16:UO16"/>
    <mergeCell ref="UQ16:UT16"/>
    <mergeCell ref="UV16:UY16"/>
    <mergeCell ref="TG16:TJ16"/>
    <mergeCell ref="VB15:VF17"/>
    <mergeCell ref="SZ13:SZ18"/>
    <mergeCell ref="SK13:SK18"/>
    <mergeCell ref="SL13:SO13"/>
    <mergeCell ref="SP13:SP18"/>
    <mergeCell ref="SQ13:ST13"/>
    <mergeCell ref="SU13:SU18"/>
    <mergeCell ref="SV13:SY13"/>
    <mergeCell ref="SL14:SO14"/>
    <mergeCell ref="SQ14:ST14"/>
    <mergeCell ref="SV14:SY14"/>
    <mergeCell ref="TP13:TP18"/>
    <mergeCell ref="TQ13:TT13"/>
    <mergeCell ref="UQ13:UT13"/>
    <mergeCell ref="UU13:UU18"/>
    <mergeCell ref="UG14:UJ14"/>
    <mergeCell ref="UL14:UO14"/>
    <mergeCell ref="UQ14:UT14"/>
    <mergeCell ref="UG15:UJ15"/>
    <mergeCell ref="SL16:SO16"/>
    <mergeCell ref="SQ16:ST16"/>
    <mergeCell ref="SV16:SY16"/>
    <mergeCell ref="XV15:XY15"/>
    <mergeCell ref="WB15:WF17"/>
    <mergeCell ref="WG15:WJ15"/>
    <mergeCell ref="WL15:WO15"/>
    <mergeCell ref="WQ15:WT15"/>
    <mergeCell ref="WV15:WY15"/>
    <mergeCell ref="XV16:XY16"/>
    <mergeCell ref="WG16:WJ16"/>
    <mergeCell ref="WL16:WO16"/>
    <mergeCell ref="WQ16:WT16"/>
    <mergeCell ref="VK13:VK18"/>
    <mergeCell ref="VL13:VO13"/>
    <mergeCell ref="VP13:VP18"/>
    <mergeCell ref="VQ13:VT13"/>
    <mergeCell ref="VV13:VY13"/>
    <mergeCell ref="VL14:VO14"/>
    <mergeCell ref="VQ14:VT14"/>
    <mergeCell ref="VV14:VY14"/>
    <mergeCell ref="WL13:WO13"/>
    <mergeCell ref="WQ13:WT13"/>
    <mergeCell ref="WV13:WY13"/>
    <mergeCell ref="WV16:WY16"/>
    <mergeCell ref="XV17:XY17"/>
    <mergeCell ref="WG17:WJ17"/>
    <mergeCell ref="WL17:WO17"/>
    <mergeCell ref="WQ17:WT17"/>
    <mergeCell ref="WV17:WY17"/>
    <mergeCell ref="AFQ15:AFT15"/>
    <mergeCell ref="AFV15:AFY15"/>
    <mergeCell ref="AEB15:AEF17"/>
    <mergeCell ref="AEG15:AEJ15"/>
    <mergeCell ref="AEL15:AEO15"/>
    <mergeCell ref="AFL16:AFO16"/>
    <mergeCell ref="AFQ16:AFT16"/>
    <mergeCell ref="AFV16:AFY16"/>
    <mergeCell ref="AEG16:AEJ16"/>
    <mergeCell ref="YQ15:YT15"/>
    <mergeCell ref="YV15:YY15"/>
    <mergeCell ref="XB15:XF17"/>
    <mergeCell ref="XG15:XJ15"/>
    <mergeCell ref="XL15:XO15"/>
    <mergeCell ref="XQ15:XT15"/>
    <mergeCell ref="YV17:YY17"/>
    <mergeCell ref="XG17:XJ17"/>
    <mergeCell ref="XL17:XO17"/>
    <mergeCell ref="XQ17:XT17"/>
    <mergeCell ref="ZG15:ZJ15"/>
    <mergeCell ref="ZL15:ZO15"/>
    <mergeCell ref="ZQ15:ZT15"/>
    <mergeCell ref="ZV15:ZY15"/>
    <mergeCell ref="YB15:YF17"/>
    <mergeCell ref="YG15:YJ15"/>
    <mergeCell ref="ZL16:ZO16"/>
    <mergeCell ref="ZQ16:ZT16"/>
    <mergeCell ref="ZV16:ZY16"/>
    <mergeCell ref="ABZ13:ABZ18"/>
    <mergeCell ref="AAB13:AAF14"/>
    <mergeCell ref="YG16:YJ16"/>
    <mergeCell ref="ZB15:ZF17"/>
    <mergeCell ref="AKV15:AKY15"/>
    <mergeCell ref="AJB15:AJF17"/>
    <mergeCell ref="AJG15:AJJ15"/>
    <mergeCell ref="AJG16:AJJ16"/>
    <mergeCell ref="AKG17:AKJ17"/>
    <mergeCell ref="AKL17:AKO17"/>
    <mergeCell ref="AKQ17:AKT17"/>
    <mergeCell ref="AKB15:AKF17"/>
    <mergeCell ref="AIZ13:AIZ18"/>
    <mergeCell ref="AKV13:AKY13"/>
    <mergeCell ref="AKB13:AKF14"/>
    <mergeCell ref="AGG15:AGJ15"/>
    <mergeCell ref="AGL15:AGO15"/>
    <mergeCell ref="AGQ15:AGT15"/>
    <mergeCell ref="AGV15:AGY15"/>
    <mergeCell ref="AFB15:AFF17"/>
    <mergeCell ref="AFG15:AFJ15"/>
    <mergeCell ref="AGL16:AGO16"/>
    <mergeCell ref="AGQ16:AGT16"/>
    <mergeCell ref="AGV16:AGY16"/>
    <mergeCell ref="AFG16:AFJ16"/>
    <mergeCell ref="AHB15:AHF17"/>
    <mergeCell ref="AHG15:AHJ15"/>
    <mergeCell ref="AHL15:AHO15"/>
    <mergeCell ref="AHQ15:AHT15"/>
    <mergeCell ref="AHV15:AHY15"/>
    <mergeCell ref="AGB15:AGF17"/>
    <mergeCell ref="AHV17:AHY17"/>
    <mergeCell ref="AKG16:AKJ16"/>
    <mergeCell ref="AKL16:AKO16"/>
    <mergeCell ref="AGG17:AGJ17"/>
    <mergeCell ref="AGL17:AGO17"/>
    <mergeCell ref="AKQ14:AKT14"/>
    <mergeCell ref="GU13:GU18"/>
    <mergeCell ref="GV13:GY13"/>
    <mergeCell ref="GV14:GY14"/>
    <mergeCell ref="GB13:GF14"/>
    <mergeCell ref="GG13:GJ13"/>
    <mergeCell ref="GK13:GK18"/>
    <mergeCell ref="GL13:GO13"/>
    <mergeCell ref="GP13:GP18"/>
    <mergeCell ref="GQ13:GT13"/>
    <mergeCell ref="GG14:GJ14"/>
    <mergeCell ref="GL14:GO14"/>
    <mergeCell ref="GQ14:GT14"/>
    <mergeCell ref="HB13:HF14"/>
    <mergeCell ref="HG13:HJ13"/>
    <mergeCell ref="HK13:HK18"/>
    <mergeCell ref="AJV15:AJY15"/>
    <mergeCell ref="AIB15:AIF17"/>
    <mergeCell ref="AIG15:AIJ15"/>
    <mergeCell ref="AIL15:AIO15"/>
    <mergeCell ref="AIQ15:AIT15"/>
    <mergeCell ref="AIV15:AIY15"/>
    <mergeCell ref="AJV16:AJY16"/>
    <mergeCell ref="AIG16:AIJ16"/>
    <mergeCell ref="AIL16:AIO16"/>
    <mergeCell ref="AIQ16:AIT16"/>
    <mergeCell ref="AKG15:AKJ15"/>
    <mergeCell ref="AKL15:AKO15"/>
    <mergeCell ref="AKQ15:AKT15"/>
    <mergeCell ref="AEQ15:AET15"/>
    <mergeCell ref="ADQ17:ADT17"/>
    <mergeCell ref="AFL15:AFO15"/>
    <mergeCell ref="AKV14:AKY14"/>
    <mergeCell ref="AJG14:AJJ14"/>
    <mergeCell ref="AJL14:AJO14"/>
    <mergeCell ref="AJQ14:AJT14"/>
    <mergeCell ref="AJV14:AJY14"/>
    <mergeCell ref="AKG14:AKJ14"/>
    <mergeCell ref="AKL14:AKO14"/>
    <mergeCell ref="G13:J13"/>
    <mergeCell ref="L13:O13"/>
    <mergeCell ref="Q13:T13"/>
    <mergeCell ref="V13:Y13"/>
    <mergeCell ref="AB13:AF14"/>
    <mergeCell ref="AG13:AJ13"/>
    <mergeCell ref="AL13:AO13"/>
    <mergeCell ref="AQ13:AT13"/>
    <mergeCell ref="AV13:AY13"/>
    <mergeCell ref="B13:F14"/>
    <mergeCell ref="AG14:AJ14"/>
    <mergeCell ref="AL14:AO14"/>
    <mergeCell ref="AQ14:AT14"/>
    <mergeCell ref="AV14:AY14"/>
    <mergeCell ref="BG13:BJ13"/>
    <mergeCell ref="BL13:BO13"/>
    <mergeCell ref="BQ13:BT13"/>
    <mergeCell ref="BU13:BU18"/>
    <mergeCell ref="BV13:BY13"/>
    <mergeCell ref="BZ13:BZ18"/>
    <mergeCell ref="BG14:BJ14"/>
    <mergeCell ref="BL14:BO14"/>
    <mergeCell ref="BQ14:BT14"/>
    <mergeCell ref="BV14:BY14"/>
    <mergeCell ref="CK13:CK18"/>
    <mergeCell ref="EB13:EF14"/>
    <mergeCell ref="EG13:EJ13"/>
    <mergeCell ref="EK13:EK18"/>
    <mergeCell ref="FQ14:FT14"/>
    <mergeCell ref="FV14:FY14"/>
    <mergeCell ref="EG14:EJ14"/>
    <mergeCell ref="EG17:EJ17"/>
    <mergeCell ref="FB13:FF14"/>
    <mergeCell ref="FG13:FJ13"/>
    <mergeCell ref="FK13:FK18"/>
    <mergeCell ref="FL13:FO13"/>
    <mergeCell ref="FG14:FJ14"/>
    <mergeCell ref="FL14:FO14"/>
    <mergeCell ref="FB15:FF17"/>
    <mergeCell ref="CL13:CO13"/>
    <mergeCell ref="CQ13:CT13"/>
    <mergeCell ref="CV13:CY13"/>
    <mergeCell ref="CZ13:CZ18"/>
    <mergeCell ref="CL14:CO14"/>
    <mergeCell ref="CQ14:CT14"/>
    <mergeCell ref="CV14:CY14"/>
    <mergeCell ref="CV15:CY15"/>
    <mergeCell ref="DL13:DO13"/>
    <mergeCell ref="DQ13:DT13"/>
    <mergeCell ref="DV13:DY13"/>
    <mergeCell ref="DZ13:DZ18"/>
    <mergeCell ref="DL14:DO14"/>
    <mergeCell ref="DQ14:DT14"/>
    <mergeCell ref="DV14:DY14"/>
    <mergeCell ref="FV17:FY17"/>
    <mergeCell ref="DV17:DY17"/>
    <mergeCell ref="CL17:CO17"/>
    <mergeCell ref="LQ13:LT13"/>
    <mergeCell ref="LU13:LU18"/>
    <mergeCell ref="LV13:LY13"/>
    <mergeCell ref="LZ13:LZ18"/>
    <mergeCell ref="LL14:LO14"/>
    <mergeCell ref="LQ14:LT14"/>
    <mergeCell ref="LV14:LY14"/>
    <mergeCell ref="LQ15:LT15"/>
    <mergeCell ref="HL13:HO13"/>
    <mergeCell ref="HQ13:HT13"/>
    <mergeCell ref="HV13:HY13"/>
    <mergeCell ref="HG14:HJ14"/>
    <mergeCell ref="HL14:HO14"/>
    <mergeCell ref="HQ14:HT14"/>
    <mergeCell ref="HV14:HY14"/>
    <mergeCell ref="IK13:IK18"/>
    <mergeCell ref="IL13:IO13"/>
    <mergeCell ref="IQ13:IT13"/>
    <mergeCell ref="IU13:IU18"/>
    <mergeCell ref="IV13:IY13"/>
    <mergeCell ref="IZ13:IZ18"/>
    <mergeCell ref="IL14:IO14"/>
    <mergeCell ref="IQ14:IT14"/>
    <mergeCell ref="IV14:IY14"/>
    <mergeCell ref="IL15:IO15"/>
    <mergeCell ref="IB13:IF14"/>
    <mergeCell ref="IG13:IJ13"/>
    <mergeCell ref="IG14:IJ14"/>
    <mergeCell ref="IG16:IJ16"/>
    <mergeCell ref="KB15:KF17"/>
    <mergeCell ref="KG15:KJ15"/>
    <mergeCell ref="KL15:KO15"/>
    <mergeCell ref="NL15:NO15"/>
    <mergeCell ref="NQ15:NT15"/>
    <mergeCell ref="NV15:NY15"/>
    <mergeCell ref="NG14:NJ14"/>
    <mergeCell ref="NL14:NO14"/>
    <mergeCell ref="NQ14:NT14"/>
    <mergeCell ref="QG14:QJ14"/>
    <mergeCell ref="QL14:QO14"/>
    <mergeCell ref="QG15:QJ15"/>
    <mergeCell ref="QL15:QO15"/>
    <mergeCell ref="RB13:RF14"/>
    <mergeCell ref="RG13:RJ13"/>
    <mergeCell ref="RL13:RO13"/>
    <mergeCell ref="RQ13:RT13"/>
    <mergeCell ref="RV13:RY13"/>
    <mergeCell ref="RG14:RJ14"/>
    <mergeCell ref="RL14:RO14"/>
    <mergeCell ref="RQ14:RT14"/>
    <mergeCell ref="RV14:RY14"/>
    <mergeCell ref="OQ13:OT13"/>
    <mergeCell ref="OU13:OU18"/>
    <mergeCell ref="OV13:OY13"/>
    <mergeCell ref="OZ13:OZ18"/>
    <mergeCell ref="PL13:PO13"/>
    <mergeCell ref="PQ13:PT13"/>
    <mergeCell ref="PV13:PY13"/>
    <mergeCell ref="PL14:PO14"/>
    <mergeCell ref="PQ14:PT14"/>
    <mergeCell ref="PV14:PY14"/>
    <mergeCell ref="OQ14:OT14"/>
    <mergeCell ref="OV14:OY14"/>
    <mergeCell ref="QV15:QY15"/>
    <mergeCell ref="PL15:PO15"/>
    <mergeCell ref="PQ15:PT15"/>
    <mergeCell ref="PV15:PY15"/>
    <mergeCell ref="PQ16:PT16"/>
    <mergeCell ref="YK13:YK18"/>
    <mergeCell ref="YL13:YO13"/>
    <mergeCell ref="YP13:YP18"/>
    <mergeCell ref="YQ13:YT13"/>
    <mergeCell ref="YG14:YJ14"/>
    <mergeCell ref="YL14:YO14"/>
    <mergeCell ref="YQ14:YT14"/>
    <mergeCell ref="SG13:SJ13"/>
    <mergeCell ref="TQ14:TT14"/>
    <mergeCell ref="TV14:TY14"/>
    <mergeCell ref="SG14:SJ14"/>
    <mergeCell ref="TQ15:TT15"/>
    <mergeCell ref="UV13:UY13"/>
    <mergeCell ref="UZ13:UZ18"/>
    <mergeCell ref="TB13:TF14"/>
    <mergeCell ref="TG13:TJ13"/>
    <mergeCell ref="TK13:TK18"/>
    <mergeCell ref="TL13:TO13"/>
    <mergeCell ref="UV14:UY14"/>
    <mergeCell ref="TG14:TJ14"/>
    <mergeCell ref="TL14:TO14"/>
    <mergeCell ref="TL16:TO16"/>
    <mergeCell ref="UG13:UJ13"/>
    <mergeCell ref="UK13:UK18"/>
    <mergeCell ref="UL13:UO13"/>
    <mergeCell ref="UP13:UP18"/>
    <mergeCell ref="YL15:YO15"/>
    <mergeCell ref="VG15:VJ15"/>
    <mergeCell ref="ABV15:ABY15"/>
    <mergeCell ref="ACL13:ACO13"/>
    <mergeCell ref="ACQ13:ACT13"/>
    <mergeCell ref="ACU13:ACU18"/>
    <mergeCell ref="ACV13:ACY13"/>
    <mergeCell ref="ABB13:ABF14"/>
    <mergeCell ref="ABG13:ABJ13"/>
    <mergeCell ref="ACQ14:ACT14"/>
    <mergeCell ref="ACV14:ACY14"/>
    <mergeCell ref="ABG14:ABJ14"/>
    <mergeCell ref="ACL15:ACO15"/>
    <mergeCell ref="ZB13:ZF14"/>
    <mergeCell ref="ZG13:ZJ13"/>
    <mergeCell ref="ZK13:ZK18"/>
    <mergeCell ref="ZL13:ZO13"/>
    <mergeCell ref="ZQ13:ZT13"/>
    <mergeCell ref="ZV13:ZY13"/>
    <mergeCell ref="ZG14:ZJ14"/>
    <mergeCell ref="ZL14:ZO14"/>
    <mergeCell ref="ZQ14:ZT14"/>
    <mergeCell ref="ZV14:ZY14"/>
    <mergeCell ref="AAG13:AAJ13"/>
    <mergeCell ref="AAL13:AAO13"/>
    <mergeCell ref="AAQ13:AAT13"/>
    <mergeCell ref="AAU13:AAU18"/>
    <mergeCell ref="AAV13:AAY13"/>
    <mergeCell ref="AAZ13:AAZ18"/>
    <mergeCell ref="ACG14:ACJ14"/>
    <mergeCell ref="ACL14:ACO14"/>
    <mergeCell ref="ZL17:ZO17"/>
    <mergeCell ref="ZQ17:ZT17"/>
    <mergeCell ref="ZV17:ZY17"/>
    <mergeCell ref="AJL13:AJO13"/>
    <mergeCell ref="AJP13:AJP18"/>
    <mergeCell ref="AJQ13:AJT13"/>
    <mergeCell ref="AJL15:AJO15"/>
    <mergeCell ref="AJQ15:AJT15"/>
    <mergeCell ref="AJL16:AJO16"/>
    <mergeCell ref="AJQ16:AJT16"/>
    <mergeCell ref="AFG13:AFJ13"/>
    <mergeCell ref="AFL13:AFO13"/>
    <mergeCell ref="AFQ13:AFT13"/>
    <mergeCell ref="AFV13:AFY13"/>
    <mergeCell ref="AFZ13:AFZ18"/>
    <mergeCell ref="AEB13:AEF14"/>
    <mergeCell ref="AFG14:AFJ14"/>
    <mergeCell ref="AFL14:AFO14"/>
    <mergeCell ref="AFQ14:AFT14"/>
    <mergeCell ref="AFV14:AFY14"/>
    <mergeCell ref="AGB13:AGF14"/>
    <mergeCell ref="AGG13:AGJ13"/>
    <mergeCell ref="AGL13:AGO13"/>
    <mergeCell ref="AGQ13:AGT13"/>
    <mergeCell ref="AGV13:AGY13"/>
    <mergeCell ref="AFB13:AFF14"/>
    <mergeCell ref="AGG14:AGJ14"/>
    <mergeCell ref="AGL14:AGO14"/>
    <mergeCell ref="AGQ14:AGT14"/>
    <mergeCell ref="AGV14:AGY14"/>
    <mergeCell ref="AEG13:AEJ13"/>
    <mergeCell ref="AEL13:AEO13"/>
    <mergeCell ref="AEQ13:AET13"/>
    <mergeCell ref="AEV13:AEY13"/>
    <mergeCell ref="AEG14:AEJ14"/>
    <mergeCell ref="AKG12:AKJ12"/>
    <mergeCell ref="AKL12:AKO12"/>
    <mergeCell ref="AKQ12:AKT12"/>
    <mergeCell ref="AKV12:AKY12"/>
    <mergeCell ref="B11:F12"/>
    <mergeCell ref="G11:J11"/>
    <mergeCell ref="L11:O11"/>
    <mergeCell ref="Q11:T11"/>
    <mergeCell ref="V11:Y11"/>
    <mergeCell ref="G12:J12"/>
    <mergeCell ref="L12:O12"/>
    <mergeCell ref="Q12:T12"/>
    <mergeCell ref="V12:Y12"/>
    <mergeCell ref="AB11:AF12"/>
    <mergeCell ref="AG11:AJ11"/>
    <mergeCell ref="AL11:AO11"/>
    <mergeCell ref="AQ11:AT11"/>
    <mergeCell ref="AV11:AY11"/>
    <mergeCell ref="CL11:CO11"/>
    <mergeCell ref="CQ11:CT11"/>
    <mergeCell ref="CV11:CY11"/>
    <mergeCell ref="CL12:CO12"/>
    <mergeCell ref="CQ12:CT12"/>
    <mergeCell ref="CV12:CY12"/>
    <mergeCell ref="DB11:DF12"/>
    <mergeCell ref="DG11:DJ11"/>
    <mergeCell ref="DL11:DO11"/>
    <mergeCell ref="DQ11:DT11"/>
    <mergeCell ref="DV11:DY11"/>
    <mergeCell ref="DG12:DJ12"/>
    <mergeCell ref="DL12:DO12"/>
    <mergeCell ref="DQ12:DT12"/>
    <mergeCell ref="A11:A18"/>
    <mergeCell ref="AG12:AJ12"/>
    <mergeCell ref="AL12:AO12"/>
    <mergeCell ref="AQ12:AT12"/>
    <mergeCell ref="AV12:AY12"/>
    <mergeCell ref="BB11:BF12"/>
    <mergeCell ref="BG11:BJ11"/>
    <mergeCell ref="BL11:BO11"/>
    <mergeCell ref="BQ11:BT11"/>
    <mergeCell ref="BV11:BY11"/>
    <mergeCell ref="AA11:AA18"/>
    <mergeCell ref="BG12:BJ12"/>
    <mergeCell ref="BL12:BO12"/>
    <mergeCell ref="BQ12:BT12"/>
    <mergeCell ref="BV12:BY12"/>
    <mergeCell ref="CB11:CF12"/>
    <mergeCell ref="CG11:CJ11"/>
    <mergeCell ref="BA11:BA18"/>
    <mergeCell ref="CG12:CJ12"/>
    <mergeCell ref="CA11:CA18"/>
    <mergeCell ref="BB13:BF14"/>
    <mergeCell ref="CB13:CF14"/>
    <mergeCell ref="CG13:CJ13"/>
    <mergeCell ref="CG14:CJ14"/>
    <mergeCell ref="G14:J14"/>
    <mergeCell ref="L14:O14"/>
    <mergeCell ref="Q14:T14"/>
    <mergeCell ref="V14:Y14"/>
    <mergeCell ref="CG17:CJ17"/>
    <mergeCell ref="L15:O15"/>
    <mergeCell ref="Q15:T15"/>
    <mergeCell ref="V15:Y15"/>
    <mergeCell ref="DV12:DY12"/>
    <mergeCell ref="EB11:EF12"/>
    <mergeCell ref="EG11:EJ11"/>
    <mergeCell ref="EL11:EO11"/>
    <mergeCell ref="EQ11:ET11"/>
    <mergeCell ref="EV11:EY11"/>
    <mergeCell ref="DA11:DA18"/>
    <mergeCell ref="EG12:EJ12"/>
    <mergeCell ref="EL12:EO12"/>
    <mergeCell ref="EQ12:ET12"/>
    <mergeCell ref="EV12:EY12"/>
    <mergeCell ref="FB11:FF12"/>
    <mergeCell ref="FG11:FJ11"/>
    <mergeCell ref="FL11:FO11"/>
    <mergeCell ref="FQ11:FT11"/>
    <mergeCell ref="FV11:FY11"/>
    <mergeCell ref="EA11:EA18"/>
    <mergeCell ref="FG12:FJ12"/>
    <mergeCell ref="FL12:FO12"/>
    <mergeCell ref="FQ12:FT12"/>
    <mergeCell ref="FV12:FY12"/>
    <mergeCell ref="EL13:EO13"/>
    <mergeCell ref="EQ13:ET13"/>
    <mergeCell ref="EV13:EY13"/>
    <mergeCell ref="EZ13:EZ18"/>
    <mergeCell ref="DB13:DF14"/>
    <mergeCell ref="DG13:DJ13"/>
    <mergeCell ref="EL14:EO14"/>
    <mergeCell ref="EQ14:ET14"/>
    <mergeCell ref="EV14:EY14"/>
    <mergeCell ref="DG14:DJ14"/>
    <mergeCell ref="FQ13:FT13"/>
    <mergeCell ref="GB11:GF12"/>
    <mergeCell ref="GG11:GJ11"/>
    <mergeCell ref="GL11:GO11"/>
    <mergeCell ref="GQ11:GT11"/>
    <mergeCell ref="GV11:GY11"/>
    <mergeCell ref="FA11:FA18"/>
    <mergeCell ref="GG12:GJ12"/>
    <mergeCell ref="GL12:GO12"/>
    <mergeCell ref="GQ12:GT12"/>
    <mergeCell ref="GV12:GY12"/>
    <mergeCell ref="HB11:HF12"/>
    <mergeCell ref="HG11:HJ11"/>
    <mergeCell ref="HL11:HO11"/>
    <mergeCell ref="HQ11:HT11"/>
    <mergeCell ref="HV11:HY11"/>
    <mergeCell ref="GA11:GA18"/>
    <mergeCell ref="HG12:HJ12"/>
    <mergeCell ref="HL12:HO12"/>
    <mergeCell ref="HQ12:HT12"/>
    <mergeCell ref="HV12:HY12"/>
    <mergeCell ref="FV13:FY13"/>
    <mergeCell ref="FZ13:FZ18"/>
    <mergeCell ref="HV15:HY15"/>
    <mergeCell ref="GB15:GF17"/>
    <mergeCell ref="GG15:GJ15"/>
    <mergeCell ref="GL15:GO15"/>
    <mergeCell ref="GQ15:GT15"/>
    <mergeCell ref="GV15:GY15"/>
    <mergeCell ref="HV16:HY16"/>
    <mergeCell ref="GG16:GJ16"/>
    <mergeCell ref="GL16:GO16"/>
    <mergeCell ref="GQ16:GT16"/>
    <mergeCell ref="IB11:IF12"/>
    <mergeCell ref="IG11:IJ11"/>
    <mergeCell ref="IL11:IO11"/>
    <mergeCell ref="IQ11:IT11"/>
    <mergeCell ref="IV11:IY11"/>
    <mergeCell ref="HA11:HA18"/>
    <mergeCell ref="IG12:IJ12"/>
    <mergeCell ref="IL12:IO12"/>
    <mergeCell ref="IQ12:IT12"/>
    <mergeCell ref="IV12:IY12"/>
    <mergeCell ref="JB11:JF12"/>
    <mergeCell ref="JG11:JJ11"/>
    <mergeCell ref="JL11:JO11"/>
    <mergeCell ref="JQ11:JT11"/>
    <mergeCell ref="JV11:JY11"/>
    <mergeCell ref="IA11:IA18"/>
    <mergeCell ref="JG12:JJ12"/>
    <mergeCell ref="JL12:JO12"/>
    <mergeCell ref="JQ12:JT12"/>
    <mergeCell ref="JV12:JY12"/>
    <mergeCell ref="JG15:JJ15"/>
    <mergeCell ref="JL15:JO15"/>
    <mergeCell ref="JQ15:JT15"/>
    <mergeCell ref="JV15:JY15"/>
    <mergeCell ref="IB15:IF17"/>
    <mergeCell ref="IG15:IJ15"/>
    <mergeCell ref="JG16:JJ16"/>
    <mergeCell ref="JL16:JO16"/>
    <mergeCell ref="JQ16:JT16"/>
    <mergeCell ref="JV16:JY16"/>
    <mergeCell ref="IQ15:IT15"/>
    <mergeCell ref="IV15:IY15"/>
    <mergeCell ref="KB11:KF12"/>
    <mergeCell ref="KG11:KJ11"/>
    <mergeCell ref="KL11:KO11"/>
    <mergeCell ref="KQ11:KT11"/>
    <mergeCell ref="KV11:KY11"/>
    <mergeCell ref="JA11:JA18"/>
    <mergeCell ref="KG12:KJ12"/>
    <mergeCell ref="KL12:KO12"/>
    <mergeCell ref="KQ12:KT12"/>
    <mergeCell ref="KV12:KY12"/>
    <mergeCell ref="LB11:LF12"/>
    <mergeCell ref="LG11:LJ11"/>
    <mergeCell ref="LL11:LO11"/>
    <mergeCell ref="LQ11:LT11"/>
    <mergeCell ref="LV11:LY11"/>
    <mergeCell ref="KA11:KA18"/>
    <mergeCell ref="LG12:LJ12"/>
    <mergeCell ref="LL12:LO12"/>
    <mergeCell ref="LQ12:LT12"/>
    <mergeCell ref="LV12:LY12"/>
    <mergeCell ref="LB13:LF14"/>
    <mergeCell ref="LG13:LJ13"/>
    <mergeCell ref="LG14:LJ14"/>
    <mergeCell ref="KB13:KF14"/>
    <mergeCell ref="KG13:KJ13"/>
    <mergeCell ref="KK13:KK18"/>
    <mergeCell ref="KL13:KO13"/>
    <mergeCell ref="KP13:KP18"/>
    <mergeCell ref="KQ13:KT13"/>
    <mergeCell ref="KG14:KJ14"/>
    <mergeCell ref="KL14:KO14"/>
    <mergeCell ref="KQ14:KT14"/>
    <mergeCell ref="MB11:MF12"/>
    <mergeCell ref="MG11:MJ11"/>
    <mergeCell ref="ML11:MO11"/>
    <mergeCell ref="MQ11:MT11"/>
    <mergeCell ref="MV11:MY11"/>
    <mergeCell ref="LA11:LA18"/>
    <mergeCell ref="MG12:MJ12"/>
    <mergeCell ref="ML12:MO12"/>
    <mergeCell ref="MQ12:MT12"/>
    <mergeCell ref="MV12:MY12"/>
    <mergeCell ref="NB11:NF12"/>
    <mergeCell ref="NG11:NJ11"/>
    <mergeCell ref="NL11:NO11"/>
    <mergeCell ref="NQ11:NT11"/>
    <mergeCell ref="NV11:NY11"/>
    <mergeCell ref="MA11:MA18"/>
    <mergeCell ref="NG12:NJ12"/>
    <mergeCell ref="NL12:NO12"/>
    <mergeCell ref="NQ12:NT12"/>
    <mergeCell ref="NV12:NY12"/>
    <mergeCell ref="NB13:NF14"/>
    <mergeCell ref="NG13:NJ13"/>
    <mergeCell ref="NG15:NJ15"/>
    <mergeCell ref="NG16:NJ16"/>
    <mergeCell ref="MQ13:MT13"/>
    <mergeCell ref="MU13:MU18"/>
    <mergeCell ref="MV13:MY13"/>
    <mergeCell ref="MZ13:MZ18"/>
    <mergeCell ref="MQ14:MT14"/>
    <mergeCell ref="MV14:MY14"/>
    <mergeCell ref="MB13:MF14"/>
    <mergeCell ref="MG13:MJ13"/>
    <mergeCell ref="OB11:OF12"/>
    <mergeCell ref="OG11:OJ11"/>
    <mergeCell ref="OL11:OO11"/>
    <mergeCell ref="OQ11:OT11"/>
    <mergeCell ref="OV11:OY11"/>
    <mergeCell ref="NA11:NA18"/>
    <mergeCell ref="OG12:OJ12"/>
    <mergeCell ref="OL12:OO12"/>
    <mergeCell ref="OQ12:OT12"/>
    <mergeCell ref="OV12:OY12"/>
    <mergeCell ref="PB11:PF12"/>
    <mergeCell ref="PG11:PJ11"/>
    <mergeCell ref="PL11:PO11"/>
    <mergeCell ref="PQ11:PT11"/>
    <mergeCell ref="PV11:PY11"/>
    <mergeCell ref="OA11:OA18"/>
    <mergeCell ref="PG12:PJ12"/>
    <mergeCell ref="PL12:PO12"/>
    <mergeCell ref="PQ12:PT12"/>
    <mergeCell ref="PV12:PY12"/>
    <mergeCell ref="PB13:PF14"/>
    <mergeCell ref="PG13:PJ13"/>
    <mergeCell ref="PG14:PJ14"/>
    <mergeCell ref="OB13:OF14"/>
    <mergeCell ref="OG13:OJ13"/>
    <mergeCell ref="OL13:OO13"/>
    <mergeCell ref="OG14:OJ14"/>
    <mergeCell ref="NZ13:NZ18"/>
    <mergeCell ref="OL14:OO14"/>
    <mergeCell ref="PV16:PY16"/>
    <mergeCell ref="PB15:PF17"/>
    <mergeCell ref="PG15:PJ15"/>
    <mergeCell ref="QB11:QF12"/>
    <mergeCell ref="QG11:QJ11"/>
    <mergeCell ref="QL11:QO11"/>
    <mergeCell ref="QQ11:QT11"/>
    <mergeCell ref="QV11:QY11"/>
    <mergeCell ref="PA11:PA18"/>
    <mergeCell ref="QG12:QJ12"/>
    <mergeCell ref="QL12:QO12"/>
    <mergeCell ref="QQ12:QT12"/>
    <mergeCell ref="QV12:QY12"/>
    <mergeCell ref="RB11:RF12"/>
    <mergeCell ref="RG11:RJ11"/>
    <mergeCell ref="RL11:RO11"/>
    <mergeCell ref="RQ11:RT11"/>
    <mergeCell ref="RV11:RY11"/>
    <mergeCell ref="QA11:QA18"/>
    <mergeCell ref="RG12:RJ12"/>
    <mergeCell ref="RL12:RO12"/>
    <mergeCell ref="RQ12:RT12"/>
    <mergeCell ref="RV12:RY12"/>
    <mergeCell ref="QQ13:QT13"/>
    <mergeCell ref="QU13:QU18"/>
    <mergeCell ref="QV13:QY13"/>
    <mergeCell ref="QZ13:QZ18"/>
    <mergeCell ref="QQ14:QT14"/>
    <mergeCell ref="QV14:QY14"/>
    <mergeCell ref="QQ15:QT15"/>
    <mergeCell ref="QB13:QF14"/>
    <mergeCell ref="QG13:QJ13"/>
    <mergeCell ref="QK13:QK18"/>
    <mergeCell ref="QL13:QO13"/>
    <mergeCell ref="QP13:QP18"/>
    <mergeCell ref="SB11:SF12"/>
    <mergeCell ref="SG11:SJ11"/>
    <mergeCell ref="SL11:SO11"/>
    <mergeCell ref="SQ11:ST11"/>
    <mergeCell ref="SV11:SY11"/>
    <mergeCell ref="RA11:RA18"/>
    <mergeCell ref="SG12:SJ12"/>
    <mergeCell ref="SL12:SO12"/>
    <mergeCell ref="SQ12:ST12"/>
    <mergeCell ref="SV12:SY12"/>
    <mergeCell ref="TB11:TF12"/>
    <mergeCell ref="TG11:TJ11"/>
    <mergeCell ref="TL11:TO11"/>
    <mergeCell ref="TQ11:TT11"/>
    <mergeCell ref="TV11:TY11"/>
    <mergeCell ref="SA11:SA18"/>
    <mergeCell ref="TG12:TJ12"/>
    <mergeCell ref="TL12:TO12"/>
    <mergeCell ref="TQ12:TT12"/>
    <mergeCell ref="TV12:TY12"/>
    <mergeCell ref="RZ13:RZ18"/>
    <mergeCell ref="TU13:TU18"/>
    <mergeCell ref="TV13:TY13"/>
    <mergeCell ref="SB13:SF14"/>
    <mergeCell ref="RB15:RF17"/>
    <mergeCell ref="RG15:RJ15"/>
    <mergeCell ref="RL15:RO15"/>
    <mergeCell ref="RQ15:RT15"/>
    <mergeCell ref="RV15:RY15"/>
    <mergeCell ref="TQ16:TT16"/>
    <mergeCell ref="TV16:TY16"/>
    <mergeCell ref="SG16:SJ16"/>
    <mergeCell ref="UB11:UF12"/>
    <mergeCell ref="UG11:UJ11"/>
    <mergeCell ref="UL11:UO11"/>
    <mergeCell ref="UQ11:UT11"/>
    <mergeCell ref="UV11:UY11"/>
    <mergeCell ref="TA11:TA18"/>
    <mergeCell ref="UG12:UJ12"/>
    <mergeCell ref="UL12:UO12"/>
    <mergeCell ref="UQ12:UT12"/>
    <mergeCell ref="UV12:UY12"/>
    <mergeCell ref="VB11:VF12"/>
    <mergeCell ref="VG11:VJ11"/>
    <mergeCell ref="VL11:VO11"/>
    <mergeCell ref="VQ11:VT11"/>
    <mergeCell ref="VV11:VY11"/>
    <mergeCell ref="UA11:UA18"/>
    <mergeCell ref="VG12:VJ12"/>
    <mergeCell ref="VL12:VO12"/>
    <mergeCell ref="VQ12:VT12"/>
    <mergeCell ref="VV12:VY12"/>
    <mergeCell ref="VG14:VJ14"/>
    <mergeCell ref="UB13:UF14"/>
    <mergeCell ref="TG17:TJ17"/>
    <mergeCell ref="TL17:TO17"/>
    <mergeCell ref="VL15:VO15"/>
    <mergeCell ref="VQ15:VT15"/>
    <mergeCell ref="VV15:VY15"/>
    <mergeCell ref="UB15:UF17"/>
    <mergeCell ref="VL17:VO17"/>
    <mergeCell ref="VQ17:VT17"/>
    <mergeCell ref="VV17:VY17"/>
    <mergeCell ref="TL15:TO15"/>
    <mergeCell ref="WB11:WF12"/>
    <mergeCell ref="WG11:WJ11"/>
    <mergeCell ref="WL11:WO11"/>
    <mergeCell ref="WQ11:WT11"/>
    <mergeCell ref="WV11:WY11"/>
    <mergeCell ref="VA11:VA18"/>
    <mergeCell ref="WG12:WJ12"/>
    <mergeCell ref="WL12:WO12"/>
    <mergeCell ref="WQ12:WT12"/>
    <mergeCell ref="WV12:WY12"/>
    <mergeCell ref="XB11:XF12"/>
    <mergeCell ref="XG11:XJ11"/>
    <mergeCell ref="XL11:XO11"/>
    <mergeCell ref="XQ11:XT11"/>
    <mergeCell ref="XV11:XY11"/>
    <mergeCell ref="WA11:WA18"/>
    <mergeCell ref="XG12:XJ12"/>
    <mergeCell ref="XL12:XO12"/>
    <mergeCell ref="XQ12:XT12"/>
    <mergeCell ref="XV12:XY12"/>
    <mergeCell ref="WL14:WO14"/>
    <mergeCell ref="WQ14:WT14"/>
    <mergeCell ref="WV14:WY14"/>
    <mergeCell ref="XL13:XO13"/>
    <mergeCell ref="XQ13:XT13"/>
    <mergeCell ref="XV13:XY13"/>
    <mergeCell ref="WB13:WF14"/>
    <mergeCell ref="WG13:WJ13"/>
    <mergeCell ref="XL14:XO14"/>
    <mergeCell ref="XQ14:XT14"/>
    <mergeCell ref="XV14:XY14"/>
    <mergeCell ref="WG14:WJ14"/>
    <mergeCell ref="YB11:YF12"/>
    <mergeCell ref="YG11:YJ11"/>
    <mergeCell ref="YL11:YO11"/>
    <mergeCell ref="YQ11:YT11"/>
    <mergeCell ref="YV11:YY11"/>
    <mergeCell ref="XA11:XA18"/>
    <mergeCell ref="YG12:YJ12"/>
    <mergeCell ref="YL12:YO12"/>
    <mergeCell ref="YQ12:YT12"/>
    <mergeCell ref="YV12:YY12"/>
    <mergeCell ref="ZB11:ZF12"/>
    <mergeCell ref="ZG11:ZJ11"/>
    <mergeCell ref="ZL11:ZO11"/>
    <mergeCell ref="ZQ11:ZT11"/>
    <mergeCell ref="ZV11:ZY11"/>
    <mergeCell ref="YA11:YA18"/>
    <mergeCell ref="ZG12:ZJ12"/>
    <mergeCell ref="ZL12:ZO12"/>
    <mergeCell ref="ZQ12:ZT12"/>
    <mergeCell ref="ZV12:ZY12"/>
    <mergeCell ref="XZ13:XZ18"/>
    <mergeCell ref="YU13:YU18"/>
    <mergeCell ref="YV13:YY13"/>
    <mergeCell ref="YZ13:YZ18"/>
    <mergeCell ref="XB13:XF14"/>
    <mergeCell ref="XG13:XJ13"/>
    <mergeCell ref="XK13:XK18"/>
    <mergeCell ref="YV14:YY14"/>
    <mergeCell ref="XG14:XJ14"/>
    <mergeCell ref="XB18:XF18"/>
    <mergeCell ref="YB13:YF14"/>
    <mergeCell ref="YG13:YJ13"/>
    <mergeCell ref="AAB11:AAF12"/>
    <mergeCell ref="AAG11:AAJ11"/>
    <mergeCell ref="AAL11:AAO11"/>
    <mergeCell ref="AAQ11:AAT11"/>
    <mergeCell ref="AAV11:AAY11"/>
    <mergeCell ref="ZA11:ZA18"/>
    <mergeCell ref="AAG12:AAJ12"/>
    <mergeCell ref="AAL12:AAO12"/>
    <mergeCell ref="AAQ12:AAT12"/>
    <mergeCell ref="AAV12:AAY12"/>
    <mergeCell ref="ABB11:ABF12"/>
    <mergeCell ref="ABG11:ABJ11"/>
    <mergeCell ref="ABL11:ABO11"/>
    <mergeCell ref="ABQ11:ABT11"/>
    <mergeCell ref="ABV11:ABY11"/>
    <mergeCell ref="AAA11:AAA18"/>
    <mergeCell ref="ABG12:ABJ12"/>
    <mergeCell ref="ABL12:ABO12"/>
    <mergeCell ref="ABQ12:ABT12"/>
    <mergeCell ref="ABV12:ABY12"/>
    <mergeCell ref="ABL13:ABO13"/>
    <mergeCell ref="ABQ13:ABT13"/>
    <mergeCell ref="ABU13:ABU18"/>
    <mergeCell ref="ABV13:ABY13"/>
    <mergeCell ref="AAG14:AAJ14"/>
    <mergeCell ref="AAL14:AAO14"/>
    <mergeCell ref="AAQ14:AAT14"/>
    <mergeCell ref="AAV14:AAY14"/>
    <mergeCell ref="ZG17:ZJ17"/>
    <mergeCell ref="ABL14:ABO14"/>
    <mergeCell ref="ABQ14:ABT14"/>
    <mergeCell ref="ABV14:ABY14"/>
    <mergeCell ref="ACB11:ACF12"/>
    <mergeCell ref="ACG11:ACJ11"/>
    <mergeCell ref="ACL11:ACO11"/>
    <mergeCell ref="ACQ11:ACT11"/>
    <mergeCell ref="ACV11:ACY11"/>
    <mergeCell ref="ABA11:ABA18"/>
    <mergeCell ref="ACG12:ACJ12"/>
    <mergeCell ref="ACL12:ACO12"/>
    <mergeCell ref="ACQ12:ACT12"/>
    <mergeCell ref="ACV12:ACY12"/>
    <mergeCell ref="ADB11:ADF12"/>
    <mergeCell ref="ADG11:ADJ11"/>
    <mergeCell ref="ADL11:ADO11"/>
    <mergeCell ref="ADQ11:ADT11"/>
    <mergeCell ref="ADV11:ADY11"/>
    <mergeCell ref="ACA11:ACA18"/>
    <mergeCell ref="ADG12:ADJ12"/>
    <mergeCell ref="ADL12:ADO12"/>
    <mergeCell ref="ADQ12:ADT12"/>
    <mergeCell ref="ADV12:ADY12"/>
    <mergeCell ref="ADL13:ADO13"/>
    <mergeCell ref="ADQ13:ADT13"/>
    <mergeCell ref="ADV13:ADY13"/>
    <mergeCell ref="ACB13:ACF14"/>
    <mergeCell ref="ACG13:ACJ13"/>
    <mergeCell ref="ACK13:ACK18"/>
    <mergeCell ref="ADV15:ADY15"/>
    <mergeCell ref="ACB15:ACF17"/>
    <mergeCell ref="ACG15:ACJ15"/>
    <mergeCell ref="ADV16:ADY16"/>
    <mergeCell ref="ADB13:ADF14"/>
    <mergeCell ref="ADG13:ADJ13"/>
    <mergeCell ref="AEB11:AEF12"/>
    <mergeCell ref="AEG11:AEJ11"/>
    <mergeCell ref="AEL11:AEO11"/>
    <mergeCell ref="AEQ11:AET11"/>
    <mergeCell ref="AEV11:AEY11"/>
    <mergeCell ref="ADA11:ADA18"/>
    <mergeCell ref="AEG12:AEJ12"/>
    <mergeCell ref="AEL12:AEO12"/>
    <mergeCell ref="AEQ12:AET12"/>
    <mergeCell ref="AEV12:AEY12"/>
    <mergeCell ref="AFB11:AFF12"/>
    <mergeCell ref="AFG11:AFJ11"/>
    <mergeCell ref="AFL11:AFO11"/>
    <mergeCell ref="AFQ11:AFT11"/>
    <mergeCell ref="AFV11:AFY11"/>
    <mergeCell ref="AEA11:AEA18"/>
    <mergeCell ref="AFG12:AFJ12"/>
    <mergeCell ref="AFL12:AFO12"/>
    <mergeCell ref="AFQ12:AFT12"/>
    <mergeCell ref="AFV12:AFY12"/>
    <mergeCell ref="AEL14:AEO14"/>
    <mergeCell ref="AEQ14:AET14"/>
    <mergeCell ref="AEV14:AEY14"/>
    <mergeCell ref="ADG14:ADJ14"/>
    <mergeCell ref="ADL14:ADO14"/>
    <mergeCell ref="ADQ14:ADT14"/>
    <mergeCell ref="ADV14:ADY14"/>
    <mergeCell ref="AEV15:AEY15"/>
    <mergeCell ref="ADB15:ADF17"/>
    <mergeCell ref="ADG15:ADJ15"/>
    <mergeCell ref="ADL15:ADO15"/>
    <mergeCell ref="ADQ15:ADT15"/>
    <mergeCell ref="AGB11:AGF12"/>
    <mergeCell ref="AGG11:AGJ11"/>
    <mergeCell ref="AGL11:AGO11"/>
    <mergeCell ref="AGQ11:AGT11"/>
    <mergeCell ref="AGV11:AGY11"/>
    <mergeCell ref="AFA11:AFA18"/>
    <mergeCell ref="AGG12:AGJ12"/>
    <mergeCell ref="AGL12:AGO12"/>
    <mergeCell ref="AGQ12:AGT12"/>
    <mergeCell ref="AGV12:AGY12"/>
    <mergeCell ref="AHB11:AHF12"/>
    <mergeCell ref="AHG11:AHJ11"/>
    <mergeCell ref="AHL11:AHO11"/>
    <mergeCell ref="AHQ11:AHT11"/>
    <mergeCell ref="AHV11:AHY11"/>
    <mergeCell ref="AGA11:AGA18"/>
    <mergeCell ref="AHG12:AHJ12"/>
    <mergeCell ref="AHL12:AHO12"/>
    <mergeCell ref="AHQ12:AHT12"/>
    <mergeCell ref="AHV12:AHY12"/>
    <mergeCell ref="AHB13:AHF14"/>
    <mergeCell ref="AHG13:AHJ13"/>
    <mergeCell ref="AHL13:AHO13"/>
    <mergeCell ref="AHQ13:AHT13"/>
    <mergeCell ref="AHV13:AHY13"/>
    <mergeCell ref="AHG14:AHJ14"/>
    <mergeCell ref="AHL14:AHO14"/>
    <mergeCell ref="AHQ14:AHT14"/>
    <mergeCell ref="AHV14:AHY14"/>
    <mergeCell ref="AGQ17:AGT17"/>
    <mergeCell ref="AGV17:AGY17"/>
    <mergeCell ref="AFG17:AFJ17"/>
    <mergeCell ref="AIB11:AIF12"/>
    <mergeCell ref="AIG11:AIJ11"/>
    <mergeCell ref="AIL11:AIO11"/>
    <mergeCell ref="AIQ11:AIT11"/>
    <mergeCell ref="AIV11:AIY11"/>
    <mergeCell ref="AHA11:AHA18"/>
    <mergeCell ref="AIG12:AIJ12"/>
    <mergeCell ref="AIL12:AIO12"/>
    <mergeCell ref="AIQ12:AIT12"/>
    <mergeCell ref="AIV12:AIY12"/>
    <mergeCell ref="AJB11:AJF12"/>
    <mergeCell ref="AJG11:AJJ11"/>
    <mergeCell ref="AJL11:AJO11"/>
    <mergeCell ref="AJQ11:AJT11"/>
    <mergeCell ref="AJV11:AJY11"/>
    <mergeCell ref="AIA11:AIA18"/>
    <mergeCell ref="AJG12:AJJ12"/>
    <mergeCell ref="AJL12:AJO12"/>
    <mergeCell ref="AJQ12:AJT12"/>
    <mergeCell ref="AJV12:AJY12"/>
    <mergeCell ref="AJV13:AJY13"/>
    <mergeCell ref="AIB13:AIF14"/>
    <mergeCell ref="AIG13:AIJ13"/>
    <mergeCell ref="AIL13:AIO13"/>
    <mergeCell ref="AIQ13:AIT13"/>
    <mergeCell ref="AIV13:AIY13"/>
    <mergeCell ref="AIG14:AIJ14"/>
    <mergeCell ref="AIL14:AIO14"/>
    <mergeCell ref="AIQ14:AIT14"/>
    <mergeCell ref="AIV14:AIY14"/>
    <mergeCell ref="AJB13:AJF14"/>
    <mergeCell ref="AJG13:AJJ13"/>
    <mergeCell ref="AKB11:AKF12"/>
    <mergeCell ref="AKG11:AKJ11"/>
    <mergeCell ref="AKL11:AKO11"/>
    <mergeCell ref="AKQ11:AKT11"/>
    <mergeCell ref="AKV11:AKY11"/>
    <mergeCell ref="AJA11:AJA18"/>
    <mergeCell ref="AKG13:AKJ13"/>
    <mergeCell ref="AKL13:AKO13"/>
    <mergeCell ref="AKP13:AKP18"/>
    <mergeCell ref="AKQ13:AKT13"/>
    <mergeCell ref="V10:Z10"/>
    <mergeCell ref="AKA11:AKA18"/>
    <mergeCell ref="AQ10:AU10"/>
    <mergeCell ref="AV10:AZ10"/>
    <mergeCell ref="A10:F10"/>
    <mergeCell ref="G10:K10"/>
    <mergeCell ref="L10:P10"/>
    <mergeCell ref="Q10:U10"/>
    <mergeCell ref="BL10:BP10"/>
    <mergeCell ref="BQ10:BU10"/>
    <mergeCell ref="BV10:BZ10"/>
    <mergeCell ref="AA10:AF10"/>
    <mergeCell ref="AG10:AK10"/>
    <mergeCell ref="AL10:AP10"/>
    <mergeCell ref="CG10:CK10"/>
    <mergeCell ref="CL10:CP10"/>
    <mergeCell ref="CQ10:CU10"/>
    <mergeCell ref="CV10:CZ10"/>
    <mergeCell ref="BA10:BF10"/>
    <mergeCell ref="BG10:BK10"/>
    <mergeCell ref="DA10:DF10"/>
    <mergeCell ref="DG10:DK10"/>
    <mergeCell ref="DL10:DP10"/>
    <mergeCell ref="DQ10:DU10"/>
    <mergeCell ref="DV10:DZ10"/>
    <mergeCell ref="CA10:CF10"/>
    <mergeCell ref="FV10:FZ10"/>
    <mergeCell ref="EA10:EF10"/>
    <mergeCell ref="EG10:EK10"/>
    <mergeCell ref="EL10:EP10"/>
    <mergeCell ref="EQ10:EU10"/>
    <mergeCell ref="EV10:EZ10"/>
    <mergeCell ref="GQ10:GU10"/>
    <mergeCell ref="GV10:GZ10"/>
    <mergeCell ref="FA10:FF10"/>
    <mergeCell ref="FG10:FK10"/>
    <mergeCell ref="FL10:FP10"/>
    <mergeCell ref="FQ10:FU10"/>
    <mergeCell ref="HL10:HP10"/>
    <mergeCell ref="HQ10:HU10"/>
    <mergeCell ref="HV10:HZ10"/>
    <mergeCell ref="GA10:GF10"/>
    <mergeCell ref="GG10:GK10"/>
    <mergeCell ref="GL10:GP10"/>
    <mergeCell ref="IG10:IK10"/>
    <mergeCell ref="IL10:IP10"/>
    <mergeCell ref="IQ10:IU10"/>
    <mergeCell ref="IV10:IZ10"/>
    <mergeCell ref="HA10:HF10"/>
    <mergeCell ref="HG10:HK10"/>
    <mergeCell ref="JA10:JF10"/>
    <mergeCell ref="JG10:JK10"/>
    <mergeCell ref="JL10:JP10"/>
    <mergeCell ref="JQ10:JU10"/>
    <mergeCell ref="JV10:JZ10"/>
    <mergeCell ref="IA10:IF10"/>
    <mergeCell ref="LV10:LZ10"/>
    <mergeCell ref="KA10:KF10"/>
    <mergeCell ref="KG10:KK10"/>
    <mergeCell ref="KL10:KP10"/>
    <mergeCell ref="KQ10:KU10"/>
    <mergeCell ref="KV10:KZ10"/>
    <mergeCell ref="MQ10:MU10"/>
    <mergeCell ref="MV10:MZ10"/>
    <mergeCell ref="LA10:LF10"/>
    <mergeCell ref="LG10:LK10"/>
    <mergeCell ref="LL10:LP10"/>
    <mergeCell ref="LQ10:LU10"/>
    <mergeCell ref="NL10:NP10"/>
    <mergeCell ref="NQ10:NU10"/>
    <mergeCell ref="NV10:NZ10"/>
    <mergeCell ref="MA10:MF10"/>
    <mergeCell ref="MG10:MK10"/>
    <mergeCell ref="ML10:MP10"/>
    <mergeCell ref="OG10:OK10"/>
    <mergeCell ref="OL10:OP10"/>
    <mergeCell ref="OQ10:OU10"/>
    <mergeCell ref="OV10:OZ10"/>
    <mergeCell ref="NA10:NF10"/>
    <mergeCell ref="NG10:NK10"/>
    <mergeCell ref="PA10:PF10"/>
    <mergeCell ref="PG10:PK10"/>
    <mergeCell ref="PL10:PP10"/>
    <mergeCell ref="PQ10:PU10"/>
    <mergeCell ref="PV10:PZ10"/>
    <mergeCell ref="OA10:OF10"/>
    <mergeCell ref="RV10:RZ10"/>
    <mergeCell ref="QA10:QF10"/>
    <mergeCell ref="QG10:QK10"/>
    <mergeCell ref="QL10:QP10"/>
    <mergeCell ref="QQ10:QU10"/>
    <mergeCell ref="QV10:QZ10"/>
    <mergeCell ref="SQ10:SU10"/>
    <mergeCell ref="SV10:SZ10"/>
    <mergeCell ref="RA10:RF10"/>
    <mergeCell ref="RG10:RK10"/>
    <mergeCell ref="RL10:RP10"/>
    <mergeCell ref="RQ10:RU10"/>
    <mergeCell ref="TL10:TP10"/>
    <mergeCell ref="TQ10:TU10"/>
    <mergeCell ref="TV10:TZ10"/>
    <mergeCell ref="SA10:SF10"/>
    <mergeCell ref="SG10:SK10"/>
    <mergeCell ref="SL10:SP10"/>
    <mergeCell ref="UG10:UK10"/>
    <mergeCell ref="UL10:UP10"/>
    <mergeCell ref="UQ10:UU10"/>
    <mergeCell ref="UV10:UZ10"/>
    <mergeCell ref="TA10:TF10"/>
    <mergeCell ref="TG10:TK10"/>
    <mergeCell ref="VA10:VF10"/>
    <mergeCell ref="VG10:VK10"/>
    <mergeCell ref="VL10:VP10"/>
    <mergeCell ref="VQ10:VU10"/>
    <mergeCell ref="VV10:VZ10"/>
    <mergeCell ref="UA10:UF10"/>
    <mergeCell ref="XV10:XZ10"/>
    <mergeCell ref="WA10:WF10"/>
    <mergeCell ref="WG10:WK10"/>
    <mergeCell ref="WL10:WP10"/>
    <mergeCell ref="WQ10:WU10"/>
    <mergeCell ref="WV10:WZ10"/>
    <mergeCell ref="YQ10:YU10"/>
    <mergeCell ref="YV10:YZ10"/>
    <mergeCell ref="XA10:XF10"/>
    <mergeCell ref="XG10:XK10"/>
    <mergeCell ref="XL10:XP10"/>
    <mergeCell ref="XQ10:XU10"/>
    <mergeCell ref="ZL10:ZP10"/>
    <mergeCell ref="ZQ10:ZU10"/>
    <mergeCell ref="ZV10:ZZ10"/>
    <mergeCell ref="YA10:YF10"/>
    <mergeCell ref="YG10:YK10"/>
    <mergeCell ref="YL10:YP10"/>
    <mergeCell ref="AAG10:AAK10"/>
    <mergeCell ref="AAL10:AAP10"/>
    <mergeCell ref="AAQ10:AAU10"/>
    <mergeCell ref="AAV10:AAZ10"/>
    <mergeCell ref="ZA10:ZF10"/>
    <mergeCell ref="ZG10:ZK10"/>
    <mergeCell ref="ABA10:ABF10"/>
    <mergeCell ref="ABG10:ABK10"/>
    <mergeCell ref="ABL10:ABP10"/>
    <mergeCell ref="ABQ10:ABU10"/>
    <mergeCell ref="ABV10:ABZ10"/>
    <mergeCell ref="AAA10:AAF10"/>
    <mergeCell ref="ADV10:ADZ10"/>
    <mergeCell ref="ACA10:ACF10"/>
    <mergeCell ref="ACG10:ACK10"/>
    <mergeCell ref="ACL10:ACP10"/>
    <mergeCell ref="ACQ10:ACU10"/>
    <mergeCell ref="ACV10:ACZ10"/>
    <mergeCell ref="AEQ10:AEU10"/>
    <mergeCell ref="AEV10:AEZ10"/>
    <mergeCell ref="ADA10:ADF10"/>
    <mergeCell ref="ADG10:ADK10"/>
    <mergeCell ref="ADL10:ADP10"/>
    <mergeCell ref="ADQ10:ADU10"/>
    <mergeCell ref="AFL10:AFP10"/>
    <mergeCell ref="AFQ10:AFU10"/>
    <mergeCell ref="AFV10:AFZ10"/>
    <mergeCell ref="AEA10:AEF10"/>
    <mergeCell ref="AEG10:AEK10"/>
    <mergeCell ref="AEL10:AEP10"/>
    <mergeCell ref="AGG10:AGK10"/>
    <mergeCell ref="AGL10:AGP10"/>
    <mergeCell ref="AGQ10:AGU10"/>
    <mergeCell ref="AGV10:AGZ10"/>
    <mergeCell ref="AFA10:AFF10"/>
    <mergeCell ref="AFG10:AFK10"/>
    <mergeCell ref="AHA10:AHF10"/>
    <mergeCell ref="AHG10:AHK10"/>
    <mergeCell ref="AHL10:AHP10"/>
    <mergeCell ref="AHQ10:AHU10"/>
    <mergeCell ref="AHV10:AHZ10"/>
    <mergeCell ref="AGA10:AGF10"/>
    <mergeCell ref="AJV10:AJZ10"/>
    <mergeCell ref="AIA10:AIF10"/>
    <mergeCell ref="AIG10:AIK10"/>
    <mergeCell ref="AIL10:AIP10"/>
    <mergeCell ref="AIQ10:AIU10"/>
    <mergeCell ref="AIV10:AIZ10"/>
    <mergeCell ref="AKQ10:AKU10"/>
    <mergeCell ref="AKV10:AKY10"/>
    <mergeCell ref="AJA10:AJF10"/>
    <mergeCell ref="AJG10:AJK10"/>
    <mergeCell ref="AJL10:AJP10"/>
    <mergeCell ref="AJQ10:AJU10"/>
    <mergeCell ref="AA9:AD9"/>
    <mergeCell ref="A9:D9"/>
    <mergeCell ref="AKA10:AKF10"/>
    <mergeCell ref="AKG10:AKK10"/>
    <mergeCell ref="AKL10:AKP10"/>
    <mergeCell ref="GA9:GD9"/>
    <mergeCell ref="FA9:FD9"/>
    <mergeCell ref="EA9:ED9"/>
    <mergeCell ref="DA9:DD9"/>
    <mergeCell ref="CA9:CD9"/>
    <mergeCell ref="BA9:BD9"/>
    <mergeCell ref="MA9:MD9"/>
    <mergeCell ref="LA9:LD9"/>
    <mergeCell ref="KA9:KD9"/>
    <mergeCell ref="JA9:JD9"/>
    <mergeCell ref="IA9:ID9"/>
    <mergeCell ref="HA9:HD9"/>
    <mergeCell ref="SA9:SD9"/>
    <mergeCell ref="RA9:RD9"/>
    <mergeCell ref="QA9:QD9"/>
    <mergeCell ref="PA9:PD9"/>
    <mergeCell ref="OA9:OD9"/>
    <mergeCell ref="NA9:ND9"/>
    <mergeCell ref="YA9:YD9"/>
    <mergeCell ref="XA9:XD9"/>
    <mergeCell ref="WA9:WD9"/>
    <mergeCell ref="VA9:VD9"/>
    <mergeCell ref="UA9:UD9"/>
    <mergeCell ref="TA9:TD9"/>
    <mergeCell ref="AEA9:AED9"/>
    <mergeCell ref="ADA9:ADD9"/>
    <mergeCell ref="ACA9:ACD9"/>
    <mergeCell ref="ABA9:ABD9"/>
    <mergeCell ref="AAA9:AAD9"/>
    <mergeCell ref="ZA9:ZD9"/>
    <mergeCell ref="AKA9:AKD9"/>
    <mergeCell ref="AJA9:AJD9"/>
    <mergeCell ref="AIA9:AID9"/>
    <mergeCell ref="AHA9:AHD9"/>
    <mergeCell ref="AGA9:AGD9"/>
    <mergeCell ref="AFA9:AFD9"/>
    <mergeCell ref="CA2:CZ2"/>
    <mergeCell ref="BA2:BZ2"/>
    <mergeCell ref="AAA2:AAZ2"/>
    <mergeCell ref="ZA2:ZZ2"/>
    <mergeCell ref="YA2:YZ2"/>
    <mergeCell ref="XA2:XZ2"/>
    <mergeCell ref="WA2:WZ2"/>
    <mergeCell ref="VA2:VZ2"/>
    <mergeCell ref="AGA2:AGZ2"/>
    <mergeCell ref="AFA2:AFZ2"/>
    <mergeCell ref="AEA2:AEZ2"/>
    <mergeCell ref="ADA2:ADZ2"/>
    <mergeCell ref="ACA2:ACZ2"/>
    <mergeCell ref="ABA2:ABZ2"/>
    <mergeCell ref="AKA2:AKZ2"/>
    <mergeCell ref="AJA2:AJZ2"/>
    <mergeCell ref="AIA2:AIZ2"/>
    <mergeCell ref="AHA2:AHZ2"/>
    <mergeCell ref="AA2:AZ2"/>
    <mergeCell ref="A2:Z2"/>
    <mergeCell ref="IA2:IZ2"/>
    <mergeCell ref="HA2:HZ2"/>
    <mergeCell ref="GA2:GZ2"/>
    <mergeCell ref="FA2:FZ2"/>
    <mergeCell ref="EA2:EZ2"/>
    <mergeCell ref="DA2:DZ2"/>
    <mergeCell ref="OA2:OZ2"/>
    <mergeCell ref="NA2:NZ2"/>
    <mergeCell ref="MA2:MZ2"/>
    <mergeCell ref="LA2:LZ2"/>
    <mergeCell ref="KA2:KZ2"/>
    <mergeCell ref="JA2:JZ2"/>
    <mergeCell ref="UA2:UZ2"/>
    <mergeCell ref="TA2:TZ2"/>
    <mergeCell ref="SA2:SZ2"/>
    <mergeCell ref="RA2:RZ2"/>
    <mergeCell ref="QA2:QZ2"/>
    <mergeCell ref="PA2:PZ2"/>
  </mergeCells>
  <phoneticPr fontId="28"/>
  <printOptions horizontalCentered="1"/>
  <pageMargins left="0.23622047244094488" right="0.23622047244094488" top="0.74803149606299213" bottom="0.74803149606299213" header="0.31496062992125984" footer="0.31496062992125984"/>
  <pageSetup paperSize="9" scale="36" orientation="landscape" r:id="rId1"/>
  <headerFooter alignWithMargins="0"/>
  <colBreaks count="37" manualBreakCount="37">
    <brk id="26" max="33" man="1"/>
    <brk id="52" max="33" man="1"/>
    <brk id="78" max="33" man="1"/>
    <brk id="104" max="33" man="1"/>
    <brk id="130" max="33" man="1"/>
    <brk id="156" max="33" man="1"/>
    <brk id="182" max="33" man="1"/>
    <brk id="208" max="33" man="1"/>
    <brk id="234" max="33" man="1"/>
    <brk id="260" max="33" man="1"/>
    <brk id="286" max="33" man="1"/>
    <brk id="312" max="33" man="1"/>
    <brk id="338" max="33" man="1"/>
    <brk id="364" max="33" man="1"/>
    <brk id="390" max="33" man="1"/>
    <brk id="416" max="33" man="1"/>
    <brk id="442" max="33" man="1"/>
    <brk id="468" max="33" man="1"/>
    <brk id="494" max="33" man="1"/>
    <brk id="520" max="33" man="1"/>
    <brk id="546" max="33" man="1"/>
    <brk id="572" max="33" man="1"/>
    <brk id="598" max="33" man="1"/>
    <brk id="624" max="33" man="1"/>
    <brk id="650" max="33" man="1"/>
    <brk id="676" max="33" man="1"/>
    <brk id="702" max="33" man="1"/>
    <brk id="728" max="33" man="1"/>
    <brk id="754" max="33" man="1"/>
    <brk id="780" max="33" man="1"/>
    <brk id="806" max="33" man="1"/>
    <brk id="832" max="33" man="1"/>
    <brk id="858" max="33" man="1"/>
    <brk id="884" max="33" man="1"/>
    <brk id="910" max="33" man="1"/>
    <brk id="936" max="33" man="1"/>
    <brk id="96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00EB-51EE-4A77-9B4F-E1DA0D9EEDB3}">
  <sheetPr codeName="Sheet6"/>
  <dimension ref="A1:APE49"/>
  <sheetViews>
    <sheetView view="pageBreakPreview" zoomScale="40" zoomScaleNormal="70" zoomScaleSheetLayoutView="40" workbookViewId="0">
      <selection activeCell="A37" sqref="A37"/>
    </sheetView>
  </sheetViews>
  <sheetFormatPr defaultColWidth="8" defaultRowHeight="21" x14ac:dyDescent="0.4"/>
  <cols>
    <col min="1" max="1" width="6.625" style="2" bestFit="1" customWidth="1"/>
    <col min="2" max="2" width="3.625" style="2" customWidth="1"/>
    <col min="3" max="5" width="14.625" style="2" customWidth="1"/>
    <col min="6" max="6" width="7.125" style="2" bestFit="1" customWidth="1"/>
    <col min="7" max="7" width="11.625" style="2" customWidth="1"/>
    <col min="8" max="8" width="2.125" style="2" customWidth="1"/>
    <col min="9" max="9" width="5.125" style="2" customWidth="1"/>
    <col min="10" max="10" width="11.625" style="2" customWidth="1"/>
    <col min="11" max="11" width="29.625" style="2" customWidth="1"/>
    <col min="12" max="12" width="11.625" style="2" customWidth="1"/>
    <col min="13" max="13" width="2.125" style="2" customWidth="1"/>
    <col min="14" max="14" width="5.125" style="2" customWidth="1"/>
    <col min="15" max="15" width="11.625" style="2" customWidth="1"/>
    <col min="16" max="16" width="29.625" style="2" customWidth="1"/>
    <col min="17" max="17" width="11.625" style="2" customWidth="1"/>
    <col min="18" max="18" width="2.125" style="2" customWidth="1"/>
    <col min="19" max="19" width="5.125" style="2" customWidth="1"/>
    <col min="20" max="20" width="11.625" style="2" customWidth="1"/>
    <col min="21" max="21" width="29.625" style="2" customWidth="1"/>
    <col min="22" max="22" width="11.625" style="2" customWidth="1"/>
    <col min="23" max="23" width="2.125" style="2" customWidth="1"/>
    <col min="24" max="24" width="5.125" style="2" customWidth="1"/>
    <col min="25" max="25" width="11.625" style="2" customWidth="1"/>
    <col min="26" max="26" width="29.625" style="2" customWidth="1"/>
    <col min="27" max="27" width="6.625" style="2" bestFit="1" customWidth="1"/>
    <col min="28" max="28" width="3.625" style="2" customWidth="1"/>
    <col min="29" max="31" width="14.625" style="2" customWidth="1"/>
    <col min="32" max="32" width="7.125" style="2" bestFit="1" customWidth="1"/>
    <col min="33" max="33" width="11.625" style="2" customWidth="1"/>
    <col min="34" max="34" width="2.125" style="2" customWidth="1"/>
    <col min="35" max="35" width="5.125" style="2" customWidth="1"/>
    <col min="36" max="36" width="11.625" style="2" customWidth="1"/>
    <col min="37" max="37" width="29.625" style="2" customWidth="1"/>
    <col min="38" max="38" width="11.625" style="2" customWidth="1"/>
    <col min="39" max="39" width="2.125" style="2" customWidth="1"/>
    <col min="40" max="40" width="5.125" style="2" customWidth="1"/>
    <col min="41" max="41" width="11.625" style="2" customWidth="1"/>
    <col min="42" max="42" width="29.625" style="2" customWidth="1"/>
    <col min="43" max="43" width="11.625" style="2" customWidth="1"/>
    <col min="44" max="44" width="2.125" style="2" customWidth="1"/>
    <col min="45" max="45" width="5.125" style="2" customWidth="1"/>
    <col min="46" max="46" width="11.625" style="2" customWidth="1"/>
    <col min="47" max="47" width="29.625" style="2" customWidth="1"/>
    <col min="48" max="48" width="11.625" style="2" customWidth="1"/>
    <col min="49" max="49" width="2.125" style="2" customWidth="1"/>
    <col min="50" max="50" width="5.125" style="2" customWidth="1"/>
    <col min="51" max="51" width="11.625" style="2" customWidth="1"/>
    <col min="52" max="52" width="29.625" style="2" customWidth="1"/>
    <col min="53" max="53" width="6.625" style="2" bestFit="1" customWidth="1"/>
    <col min="54" max="54" width="3.625" style="2" customWidth="1"/>
    <col min="55" max="57" width="14.625" style="2" customWidth="1"/>
    <col min="58" max="58" width="7.125" style="2" bestFit="1" customWidth="1"/>
    <col min="59" max="59" width="11.625" style="2" customWidth="1"/>
    <col min="60" max="60" width="2.125" style="2" customWidth="1"/>
    <col min="61" max="61" width="5.125" style="2" customWidth="1"/>
    <col min="62" max="62" width="11.625" style="2" customWidth="1"/>
    <col min="63" max="63" width="29.625" style="2" customWidth="1"/>
    <col min="64" max="64" width="11.625" style="2" customWidth="1"/>
    <col min="65" max="65" width="2.125" style="2" customWidth="1"/>
    <col min="66" max="66" width="5.125" style="2" customWidth="1"/>
    <col min="67" max="67" width="11.625" style="2" customWidth="1"/>
    <col min="68" max="68" width="29.625" style="2" customWidth="1"/>
    <col min="69" max="69" width="11.625" style="2" customWidth="1"/>
    <col min="70" max="70" width="2.125" style="2" customWidth="1"/>
    <col min="71" max="71" width="5.125" style="2" customWidth="1"/>
    <col min="72" max="72" width="11.625" style="2" customWidth="1"/>
    <col min="73" max="73" width="29.625" style="2" customWidth="1"/>
    <col min="74" max="74" width="11.625" style="2" customWidth="1"/>
    <col min="75" max="75" width="2.125" style="2" customWidth="1"/>
    <col min="76" max="76" width="5.125" style="2" customWidth="1"/>
    <col min="77" max="77" width="11.625" style="2" customWidth="1"/>
    <col min="78" max="78" width="29.625" style="2" customWidth="1"/>
    <col min="79" max="79" width="6.625" style="2" bestFit="1" customWidth="1"/>
    <col min="80" max="80" width="3.625" style="2" customWidth="1"/>
    <col min="81" max="83" width="14.625" style="2" customWidth="1"/>
    <col min="84" max="84" width="7.125" style="2" bestFit="1" customWidth="1"/>
    <col min="85" max="85" width="11.625" style="2" customWidth="1"/>
    <col min="86" max="86" width="2.125" style="2" customWidth="1"/>
    <col min="87" max="87" width="5.125" style="2" customWidth="1"/>
    <col min="88" max="88" width="11.625" style="2" customWidth="1"/>
    <col min="89" max="89" width="29.625" style="2" customWidth="1"/>
    <col min="90" max="90" width="11.625" style="2" customWidth="1"/>
    <col min="91" max="91" width="2.125" style="2" customWidth="1"/>
    <col min="92" max="92" width="5.125" style="2" customWidth="1"/>
    <col min="93" max="93" width="11.625" style="2" customWidth="1"/>
    <col min="94" max="94" width="29.625" style="2" customWidth="1"/>
    <col min="95" max="95" width="11.625" style="2" customWidth="1"/>
    <col min="96" max="96" width="2.125" style="2" customWidth="1"/>
    <col min="97" max="97" width="5.125" style="2" customWidth="1"/>
    <col min="98" max="98" width="11.625" style="2" customWidth="1"/>
    <col min="99" max="99" width="29.625" style="2" customWidth="1"/>
    <col min="100" max="100" width="11.625" style="2" customWidth="1"/>
    <col min="101" max="101" width="2.125" style="2" customWidth="1"/>
    <col min="102" max="102" width="5.125" style="2" customWidth="1"/>
    <col min="103" max="103" width="11.625" style="2" customWidth="1"/>
    <col min="104" max="104" width="29.625" style="2" customWidth="1"/>
    <col min="105" max="105" width="6.625" style="2" bestFit="1" customWidth="1"/>
    <col min="106" max="106" width="3.625" style="2" customWidth="1"/>
    <col min="107" max="109" width="14.625" style="2" customWidth="1"/>
    <col min="110" max="110" width="7.125" style="2" bestFit="1" customWidth="1"/>
    <col min="111" max="111" width="11.625" style="2" customWidth="1"/>
    <col min="112" max="112" width="2.125" style="2" customWidth="1"/>
    <col min="113" max="113" width="5.125" style="2" customWidth="1"/>
    <col min="114" max="114" width="11.625" style="2" customWidth="1"/>
    <col min="115" max="115" width="29.625" style="2" customWidth="1"/>
    <col min="116" max="116" width="11.625" style="2" customWidth="1"/>
    <col min="117" max="117" width="2.125" style="2" customWidth="1"/>
    <col min="118" max="118" width="5.125" style="2" customWidth="1"/>
    <col min="119" max="119" width="11.625" style="2" customWidth="1"/>
    <col min="120" max="120" width="29.625" style="2" customWidth="1"/>
    <col min="121" max="121" width="11.625" style="2" customWidth="1"/>
    <col min="122" max="122" width="2.125" style="2" customWidth="1"/>
    <col min="123" max="123" width="5.125" style="2" customWidth="1"/>
    <col min="124" max="124" width="11.625" style="2" customWidth="1"/>
    <col min="125" max="125" width="29.625" style="2" customWidth="1"/>
    <col min="126" max="126" width="11.625" style="2" customWidth="1"/>
    <col min="127" max="127" width="2.125" style="2" customWidth="1"/>
    <col min="128" max="128" width="5.125" style="2" customWidth="1"/>
    <col min="129" max="129" width="11.625" style="2" customWidth="1"/>
    <col min="130" max="130" width="29.625" style="2" customWidth="1"/>
    <col min="131" max="131" width="6.625" style="2" bestFit="1" customWidth="1"/>
    <col min="132" max="132" width="3.625" style="2" customWidth="1"/>
    <col min="133" max="135" width="14.625" style="2" customWidth="1"/>
    <col min="136" max="136" width="7.125" style="2" bestFit="1" customWidth="1"/>
    <col min="137" max="137" width="11.625" style="2" customWidth="1"/>
    <col min="138" max="138" width="2.125" style="2" customWidth="1"/>
    <col min="139" max="139" width="5.125" style="2" customWidth="1"/>
    <col min="140" max="140" width="11.625" style="2" customWidth="1"/>
    <col min="141" max="141" width="29.625" style="2" customWidth="1"/>
    <col min="142" max="142" width="11.625" style="2" customWidth="1"/>
    <col min="143" max="143" width="2.125" style="2" customWidth="1"/>
    <col min="144" max="144" width="5.125" style="2" customWidth="1"/>
    <col min="145" max="145" width="11.625" style="2" customWidth="1"/>
    <col min="146" max="146" width="29.625" style="2" customWidth="1"/>
    <col min="147" max="147" width="11.625" style="2" customWidth="1"/>
    <col min="148" max="148" width="2.125" style="2" customWidth="1"/>
    <col min="149" max="149" width="5.125" style="2" customWidth="1"/>
    <col min="150" max="150" width="11.625" style="2" customWidth="1"/>
    <col min="151" max="151" width="29.625" style="2" customWidth="1"/>
    <col min="152" max="152" width="11.625" style="2" customWidth="1"/>
    <col min="153" max="153" width="2.125" style="2" customWidth="1"/>
    <col min="154" max="154" width="5.125" style="2" customWidth="1"/>
    <col min="155" max="155" width="11.625" style="2" customWidth="1"/>
    <col min="156" max="156" width="29.625" style="2" customWidth="1"/>
    <col min="157" max="157" width="6.625" style="2" bestFit="1" customWidth="1"/>
    <col min="158" max="158" width="3.625" style="2" customWidth="1"/>
    <col min="159" max="161" width="14.625" style="2" customWidth="1"/>
    <col min="162" max="162" width="7.125" style="2" bestFit="1" customWidth="1"/>
    <col min="163" max="163" width="11.625" style="2" customWidth="1"/>
    <col min="164" max="164" width="2.125" style="2" customWidth="1"/>
    <col min="165" max="165" width="5.125" style="2" customWidth="1"/>
    <col min="166" max="166" width="11.625" style="2" customWidth="1"/>
    <col min="167" max="167" width="29.625" style="2" customWidth="1"/>
    <col min="168" max="168" width="11.625" style="2" customWidth="1"/>
    <col min="169" max="169" width="2.125" style="2" customWidth="1"/>
    <col min="170" max="170" width="5.125" style="2" customWidth="1"/>
    <col min="171" max="171" width="11.625" style="2" customWidth="1"/>
    <col min="172" max="172" width="29.625" style="2" customWidth="1"/>
    <col min="173" max="173" width="11.625" style="2" customWidth="1"/>
    <col min="174" max="174" width="2.125" style="2" customWidth="1"/>
    <col min="175" max="175" width="5.125" style="2" customWidth="1"/>
    <col min="176" max="176" width="11.625" style="2" customWidth="1"/>
    <col min="177" max="177" width="29.625" style="2" customWidth="1"/>
    <col min="178" max="178" width="11.625" style="2" customWidth="1"/>
    <col min="179" max="179" width="2.125" style="2" customWidth="1"/>
    <col min="180" max="180" width="5.125" style="2" customWidth="1"/>
    <col min="181" max="181" width="11.625" style="2" customWidth="1"/>
    <col min="182" max="182" width="29.625" style="2" customWidth="1"/>
    <col min="183" max="183" width="6.625" style="2" bestFit="1" customWidth="1"/>
    <col min="184" max="184" width="3.625" style="2" customWidth="1"/>
    <col min="185" max="187" width="14.625" style="2" customWidth="1"/>
    <col min="188" max="188" width="7.125" style="2" bestFit="1" customWidth="1"/>
    <col min="189" max="189" width="11.625" style="2" customWidth="1"/>
    <col min="190" max="190" width="2.125" style="2" customWidth="1"/>
    <col min="191" max="191" width="5.125" style="2" customWidth="1"/>
    <col min="192" max="192" width="11.625" style="2" customWidth="1"/>
    <col min="193" max="193" width="29.625" style="2" customWidth="1"/>
    <col min="194" max="194" width="11.625" style="2" customWidth="1"/>
    <col min="195" max="195" width="2.125" style="2" customWidth="1"/>
    <col min="196" max="196" width="5.125" style="2" customWidth="1"/>
    <col min="197" max="197" width="11.625" style="2" customWidth="1"/>
    <col min="198" max="198" width="29.625" style="2" customWidth="1"/>
    <col min="199" max="199" width="11.625" style="2" customWidth="1"/>
    <col min="200" max="200" width="2.125" style="2" customWidth="1"/>
    <col min="201" max="201" width="5.125" style="2" customWidth="1"/>
    <col min="202" max="202" width="11.625" style="2" customWidth="1"/>
    <col min="203" max="203" width="29.625" style="2" customWidth="1"/>
    <col min="204" max="204" width="11.625" style="2" customWidth="1"/>
    <col min="205" max="205" width="2.125" style="2" customWidth="1"/>
    <col min="206" max="206" width="5.125" style="2" customWidth="1"/>
    <col min="207" max="207" width="11.625" style="2" customWidth="1"/>
    <col min="208" max="208" width="29.625" style="2" customWidth="1"/>
    <col min="209" max="209" width="6.625" style="2" bestFit="1" customWidth="1"/>
    <col min="210" max="210" width="3.625" style="2" customWidth="1"/>
    <col min="211" max="213" width="14.625" style="2" customWidth="1"/>
    <col min="214" max="214" width="7.125" style="2" bestFit="1" customWidth="1"/>
    <col min="215" max="215" width="11.625" style="2" customWidth="1"/>
    <col min="216" max="216" width="2.125" style="2" customWidth="1"/>
    <col min="217" max="217" width="5.125" style="2" customWidth="1"/>
    <col min="218" max="218" width="11.625" style="2" customWidth="1"/>
    <col min="219" max="219" width="29.625" style="2" customWidth="1"/>
    <col min="220" max="220" width="11.625" style="2" customWidth="1"/>
    <col min="221" max="221" width="2.125" style="2" customWidth="1"/>
    <col min="222" max="222" width="5.125" style="2" customWidth="1"/>
    <col min="223" max="223" width="11.625" style="2" customWidth="1"/>
    <col min="224" max="224" width="29.625" style="2" customWidth="1"/>
    <col min="225" max="225" width="11.625" style="2" customWidth="1"/>
    <col min="226" max="226" width="2.125" style="2" customWidth="1"/>
    <col min="227" max="227" width="5.125" style="2" customWidth="1"/>
    <col min="228" max="228" width="11.625" style="2" customWidth="1"/>
    <col min="229" max="229" width="29.625" style="2" customWidth="1"/>
    <col min="230" max="230" width="11.625" style="2" customWidth="1"/>
    <col min="231" max="231" width="2.125" style="2" customWidth="1"/>
    <col min="232" max="232" width="5.125" style="2" customWidth="1"/>
    <col min="233" max="233" width="11.625" style="2" customWidth="1"/>
    <col min="234" max="234" width="29.625" style="2" customWidth="1"/>
    <col min="235" max="235" width="6.625" style="2" bestFit="1" customWidth="1"/>
    <col min="236" max="236" width="3.625" style="2" customWidth="1"/>
    <col min="237" max="239" width="14.625" style="2" customWidth="1"/>
    <col min="240" max="240" width="7.125" style="2" bestFit="1" customWidth="1"/>
    <col min="241" max="241" width="11.625" style="2" customWidth="1"/>
    <col min="242" max="242" width="2.125" style="2" customWidth="1"/>
    <col min="243" max="243" width="5.125" style="2" customWidth="1"/>
    <col min="244" max="244" width="11.625" style="2" customWidth="1"/>
    <col min="245" max="245" width="29.625" style="2" customWidth="1"/>
    <col min="246" max="246" width="11.625" style="2" customWidth="1"/>
    <col min="247" max="247" width="2.125" style="2" customWidth="1"/>
    <col min="248" max="248" width="5.125" style="2" customWidth="1"/>
    <col min="249" max="249" width="11.625" style="2" customWidth="1"/>
    <col min="250" max="250" width="29.625" style="2" customWidth="1"/>
    <col min="251" max="251" width="11.625" style="2" customWidth="1"/>
    <col min="252" max="252" width="2.125" style="2" customWidth="1"/>
    <col min="253" max="253" width="5.125" style="2" customWidth="1"/>
    <col min="254" max="254" width="11.625" style="2" customWidth="1"/>
    <col min="255" max="255" width="29.625" style="2" customWidth="1"/>
    <col min="256" max="256" width="11.625" style="2" customWidth="1"/>
    <col min="257" max="257" width="2.125" style="2" customWidth="1"/>
    <col min="258" max="258" width="5.125" style="2" customWidth="1"/>
    <col min="259" max="259" width="11.625" style="2" customWidth="1"/>
    <col min="260" max="260" width="29.625" style="2" customWidth="1"/>
    <col min="261" max="261" width="6.625" style="2" bestFit="1" customWidth="1"/>
    <col min="262" max="262" width="3.625" style="2" customWidth="1"/>
    <col min="263" max="265" width="14.625" style="2" customWidth="1"/>
    <col min="266" max="266" width="7.125" style="2" bestFit="1" customWidth="1"/>
    <col min="267" max="267" width="11.625" style="2" customWidth="1"/>
    <col min="268" max="268" width="2.125" style="2" customWidth="1"/>
    <col min="269" max="269" width="5.125" style="2" customWidth="1"/>
    <col min="270" max="270" width="11.625" style="2" customWidth="1"/>
    <col min="271" max="271" width="29.625" style="2" customWidth="1"/>
    <col min="272" max="272" width="11.625" style="2" customWidth="1"/>
    <col min="273" max="273" width="2.125" style="2" customWidth="1"/>
    <col min="274" max="274" width="5.125" style="2" customWidth="1"/>
    <col min="275" max="275" width="11.625" style="2" customWidth="1"/>
    <col min="276" max="276" width="29.625" style="2" customWidth="1"/>
    <col min="277" max="277" width="11.625" style="2" customWidth="1"/>
    <col min="278" max="278" width="2.125" style="2" customWidth="1"/>
    <col min="279" max="279" width="5.125" style="2" customWidth="1"/>
    <col min="280" max="280" width="11.625" style="2" customWidth="1"/>
    <col min="281" max="281" width="29.625" style="2" customWidth="1"/>
    <col min="282" max="282" width="11.625" style="2" customWidth="1"/>
    <col min="283" max="283" width="2.125" style="2" customWidth="1"/>
    <col min="284" max="284" width="5.125" style="2" customWidth="1"/>
    <col min="285" max="285" width="11.625" style="2" customWidth="1"/>
    <col min="286" max="286" width="29.625" style="2" customWidth="1"/>
    <col min="287" max="287" width="6.625" style="2" bestFit="1" customWidth="1"/>
    <col min="288" max="288" width="3.625" style="2" customWidth="1"/>
    <col min="289" max="291" width="14.625" style="2" customWidth="1"/>
    <col min="292" max="292" width="7.125" style="2" bestFit="1" customWidth="1"/>
    <col min="293" max="293" width="11.625" style="2" customWidth="1"/>
    <col min="294" max="294" width="2.125" style="2" customWidth="1"/>
    <col min="295" max="295" width="5.125" style="2" customWidth="1"/>
    <col min="296" max="296" width="11.625" style="2" customWidth="1"/>
    <col min="297" max="297" width="29.625" style="2" customWidth="1"/>
    <col min="298" max="298" width="11.625" style="2" customWidth="1"/>
    <col min="299" max="299" width="2.125" style="2" customWidth="1"/>
    <col min="300" max="300" width="5.125" style="2" customWidth="1"/>
    <col min="301" max="301" width="11.625" style="2" customWidth="1"/>
    <col min="302" max="302" width="29.625" style="2" customWidth="1"/>
    <col min="303" max="303" width="11.625" style="2" customWidth="1"/>
    <col min="304" max="304" width="2.125" style="2" customWidth="1"/>
    <col min="305" max="305" width="5.125" style="2" customWidth="1"/>
    <col min="306" max="306" width="11.625" style="2" customWidth="1"/>
    <col min="307" max="307" width="29.625" style="2" customWidth="1"/>
    <col min="308" max="308" width="11.625" style="2" customWidth="1"/>
    <col min="309" max="309" width="2.125" style="2" customWidth="1"/>
    <col min="310" max="310" width="5.125" style="2" customWidth="1"/>
    <col min="311" max="311" width="11.625" style="2" customWidth="1"/>
    <col min="312" max="312" width="29.625" style="2" customWidth="1"/>
    <col min="313" max="313" width="6.625" style="2" bestFit="1" customWidth="1"/>
    <col min="314" max="314" width="3.625" style="2" customWidth="1"/>
    <col min="315" max="317" width="14.625" style="2" customWidth="1"/>
    <col min="318" max="318" width="7.125" style="2" bestFit="1" customWidth="1"/>
    <col min="319" max="319" width="11.625" style="2" customWidth="1"/>
    <col min="320" max="320" width="2.125" style="2" customWidth="1"/>
    <col min="321" max="321" width="5.125" style="2" customWidth="1"/>
    <col min="322" max="322" width="11.625" style="2" customWidth="1"/>
    <col min="323" max="323" width="29.625" style="2" customWidth="1"/>
    <col min="324" max="324" width="11.625" style="2" customWidth="1"/>
    <col min="325" max="325" width="2.125" style="2" customWidth="1"/>
    <col min="326" max="326" width="5.125" style="2" customWidth="1"/>
    <col min="327" max="327" width="11.625" style="2" customWidth="1"/>
    <col min="328" max="328" width="29.625" style="2" customWidth="1"/>
    <col min="329" max="329" width="11.625" style="2" customWidth="1"/>
    <col min="330" max="330" width="2.125" style="2" customWidth="1"/>
    <col min="331" max="331" width="5.125" style="2" customWidth="1"/>
    <col min="332" max="332" width="11.625" style="2" customWidth="1"/>
    <col min="333" max="333" width="29.625" style="2" customWidth="1"/>
    <col min="334" max="334" width="11.625" style="2" customWidth="1"/>
    <col min="335" max="335" width="2.125" style="2" customWidth="1"/>
    <col min="336" max="336" width="5.125" style="2" customWidth="1"/>
    <col min="337" max="337" width="11.625" style="2" customWidth="1"/>
    <col min="338" max="338" width="29.625" style="2" customWidth="1"/>
    <col min="339" max="339" width="6.625" style="2" bestFit="1" customWidth="1"/>
    <col min="340" max="340" width="3.625" style="2" customWidth="1"/>
    <col min="341" max="343" width="14.625" style="2" customWidth="1"/>
    <col min="344" max="344" width="7.125" style="2" bestFit="1" customWidth="1"/>
    <col min="345" max="345" width="11.625" style="2" customWidth="1"/>
    <col min="346" max="346" width="2.125" style="2" customWidth="1"/>
    <col min="347" max="347" width="5.125" style="2" customWidth="1"/>
    <col min="348" max="348" width="11.625" style="2" customWidth="1"/>
    <col min="349" max="349" width="29.625" style="2" customWidth="1"/>
    <col min="350" max="350" width="11.625" style="2" customWidth="1"/>
    <col min="351" max="351" width="2.125" style="2" customWidth="1"/>
    <col min="352" max="352" width="5.125" style="2" customWidth="1"/>
    <col min="353" max="353" width="11.625" style="2" customWidth="1"/>
    <col min="354" max="354" width="29.625" style="2" customWidth="1"/>
    <col min="355" max="355" width="11.625" style="2" customWidth="1"/>
    <col min="356" max="356" width="2.125" style="2" customWidth="1"/>
    <col min="357" max="357" width="5.125" style="2" customWidth="1"/>
    <col min="358" max="358" width="11.625" style="2" customWidth="1"/>
    <col min="359" max="359" width="29.625" style="2" customWidth="1"/>
    <col min="360" max="360" width="11.625" style="2" customWidth="1"/>
    <col min="361" max="361" width="2.125" style="2" customWidth="1"/>
    <col min="362" max="362" width="5.125" style="2" customWidth="1"/>
    <col min="363" max="363" width="11.625" style="2" customWidth="1"/>
    <col min="364" max="364" width="29.625" style="2" customWidth="1"/>
    <col min="365" max="365" width="6.625" style="2" bestFit="1" customWidth="1"/>
    <col min="366" max="366" width="3.625" style="2" customWidth="1"/>
    <col min="367" max="369" width="14.625" style="2" customWidth="1"/>
    <col min="370" max="370" width="7.125" style="2" bestFit="1" customWidth="1"/>
    <col min="371" max="371" width="11.625" style="2" customWidth="1"/>
    <col min="372" max="372" width="2.125" style="2" customWidth="1"/>
    <col min="373" max="373" width="5.125" style="2" customWidth="1"/>
    <col min="374" max="374" width="11.625" style="2" customWidth="1"/>
    <col min="375" max="375" width="29.625" style="2" customWidth="1"/>
    <col min="376" max="376" width="11.625" style="2" customWidth="1"/>
    <col min="377" max="377" width="2.125" style="2" customWidth="1"/>
    <col min="378" max="378" width="5.125" style="2" customWidth="1"/>
    <col min="379" max="379" width="11.625" style="2" customWidth="1"/>
    <col min="380" max="380" width="29.625" style="2" customWidth="1"/>
    <col min="381" max="381" width="11.625" style="2" customWidth="1"/>
    <col min="382" max="382" width="2.125" style="2" customWidth="1"/>
    <col min="383" max="383" width="5.125" style="2" customWidth="1"/>
    <col min="384" max="384" width="11.625" style="2" customWidth="1"/>
    <col min="385" max="385" width="29.625" style="2" customWidth="1"/>
    <col min="386" max="386" width="11.625" style="2" customWidth="1"/>
    <col min="387" max="387" width="2.125" style="2" customWidth="1"/>
    <col min="388" max="388" width="5.125" style="2" customWidth="1"/>
    <col min="389" max="389" width="11.625" style="2" customWidth="1"/>
    <col min="390" max="390" width="29.625" style="2" customWidth="1"/>
    <col min="391" max="391" width="6.625" style="2" bestFit="1" customWidth="1"/>
    <col min="392" max="392" width="3.625" style="2" customWidth="1"/>
    <col min="393" max="395" width="14.625" style="2" customWidth="1"/>
    <col min="396" max="396" width="7.125" style="2" bestFit="1" customWidth="1"/>
    <col min="397" max="397" width="11.625" style="2" customWidth="1"/>
    <col min="398" max="398" width="2.125" style="2" customWidth="1"/>
    <col min="399" max="399" width="5.125" style="2" customWidth="1"/>
    <col min="400" max="400" width="11.625" style="2" customWidth="1"/>
    <col min="401" max="401" width="29.625" style="2" customWidth="1"/>
    <col min="402" max="402" width="11.625" style="2" customWidth="1"/>
    <col min="403" max="403" width="2.125" style="2" customWidth="1"/>
    <col min="404" max="404" width="5.125" style="2" customWidth="1"/>
    <col min="405" max="405" width="11.625" style="2" customWidth="1"/>
    <col min="406" max="406" width="29.625" style="2" customWidth="1"/>
    <col min="407" max="407" width="11.625" style="2" customWidth="1"/>
    <col min="408" max="408" width="2.125" style="2" customWidth="1"/>
    <col min="409" max="409" width="5.125" style="2" customWidth="1"/>
    <col min="410" max="410" width="11.625" style="2" customWidth="1"/>
    <col min="411" max="411" width="29.625" style="2" customWidth="1"/>
    <col min="412" max="412" width="11.625" style="2" customWidth="1"/>
    <col min="413" max="413" width="2.125" style="2" customWidth="1"/>
    <col min="414" max="414" width="5.125" style="2" customWidth="1"/>
    <col min="415" max="415" width="11.625" style="2" customWidth="1"/>
    <col min="416" max="416" width="29.625" style="2" customWidth="1"/>
    <col min="417" max="417" width="6.625" style="2" bestFit="1" customWidth="1"/>
    <col min="418" max="418" width="3.625" style="2" customWidth="1"/>
    <col min="419" max="421" width="14.625" style="2" customWidth="1"/>
    <col min="422" max="422" width="7.125" style="2" bestFit="1" customWidth="1"/>
    <col min="423" max="423" width="11.625" style="2" customWidth="1"/>
    <col min="424" max="424" width="2.125" style="2" customWidth="1"/>
    <col min="425" max="425" width="5.125" style="2" customWidth="1"/>
    <col min="426" max="426" width="11.625" style="2" customWidth="1"/>
    <col min="427" max="427" width="29.625" style="2" customWidth="1"/>
    <col min="428" max="428" width="11.625" style="2" customWidth="1"/>
    <col min="429" max="429" width="2.125" style="2" customWidth="1"/>
    <col min="430" max="430" width="5.125" style="2" customWidth="1"/>
    <col min="431" max="431" width="11.625" style="2" customWidth="1"/>
    <col min="432" max="432" width="29.625" style="2" customWidth="1"/>
    <col min="433" max="433" width="11.625" style="2" customWidth="1"/>
    <col min="434" max="434" width="2.125" style="2" customWidth="1"/>
    <col min="435" max="435" width="5.125" style="2" customWidth="1"/>
    <col min="436" max="436" width="11.625" style="2" customWidth="1"/>
    <col min="437" max="437" width="29.625" style="2" customWidth="1"/>
    <col min="438" max="438" width="11.625" style="2" customWidth="1"/>
    <col min="439" max="439" width="2.125" style="2" customWidth="1"/>
    <col min="440" max="440" width="5.125" style="2" customWidth="1"/>
    <col min="441" max="441" width="11.625" style="2" customWidth="1"/>
    <col min="442" max="442" width="29.625" style="2" customWidth="1"/>
    <col min="443" max="443" width="6.625" style="2" bestFit="1" customWidth="1"/>
    <col min="444" max="444" width="3.625" style="2" customWidth="1"/>
    <col min="445" max="447" width="14.625" style="2" customWidth="1"/>
    <col min="448" max="448" width="7.125" style="2" bestFit="1" customWidth="1"/>
    <col min="449" max="449" width="11.625" style="2" customWidth="1"/>
    <col min="450" max="450" width="2.125" style="2" customWidth="1"/>
    <col min="451" max="451" width="5.125" style="2" customWidth="1"/>
    <col min="452" max="452" width="11.625" style="2" customWidth="1"/>
    <col min="453" max="453" width="29.625" style="2" customWidth="1"/>
    <col min="454" max="454" width="11.625" style="2" customWidth="1"/>
    <col min="455" max="455" width="2.125" style="2" customWidth="1"/>
    <col min="456" max="456" width="5.125" style="2" customWidth="1"/>
    <col min="457" max="457" width="11.625" style="2" customWidth="1"/>
    <col min="458" max="458" width="29.625" style="2" customWidth="1"/>
    <col min="459" max="459" width="11.625" style="2" customWidth="1"/>
    <col min="460" max="460" width="2.125" style="2" customWidth="1"/>
    <col min="461" max="461" width="5.125" style="2" customWidth="1"/>
    <col min="462" max="462" width="11.625" style="2" customWidth="1"/>
    <col min="463" max="463" width="29.625" style="2" customWidth="1"/>
    <col min="464" max="464" width="11.625" style="2" customWidth="1"/>
    <col min="465" max="465" width="2.125" style="2" customWidth="1"/>
    <col min="466" max="466" width="5.125" style="2" customWidth="1"/>
    <col min="467" max="467" width="11.625" style="2" customWidth="1"/>
    <col min="468" max="468" width="29.625" style="2" customWidth="1"/>
    <col min="469" max="469" width="6.625" style="2" bestFit="1" customWidth="1"/>
    <col min="470" max="470" width="3.625" style="2" customWidth="1"/>
    <col min="471" max="473" width="14.625" style="2" customWidth="1"/>
    <col min="474" max="474" width="7.125" style="2" bestFit="1" customWidth="1"/>
    <col min="475" max="475" width="11.625" style="2" customWidth="1"/>
    <col min="476" max="476" width="2.125" style="2" customWidth="1"/>
    <col min="477" max="477" width="5.125" style="2" customWidth="1"/>
    <col min="478" max="478" width="11.625" style="2" customWidth="1"/>
    <col min="479" max="479" width="29.625" style="2" customWidth="1"/>
    <col min="480" max="480" width="11.625" style="2" customWidth="1"/>
    <col min="481" max="481" width="2.125" style="2" customWidth="1"/>
    <col min="482" max="482" width="5.125" style="2" customWidth="1"/>
    <col min="483" max="483" width="11.625" style="2" customWidth="1"/>
    <col min="484" max="484" width="29.625" style="2" customWidth="1"/>
    <col min="485" max="485" width="11.625" style="2" customWidth="1"/>
    <col min="486" max="486" width="2.125" style="2" customWidth="1"/>
    <col min="487" max="487" width="5.125" style="2" customWidth="1"/>
    <col min="488" max="488" width="11.625" style="2" customWidth="1"/>
    <col min="489" max="489" width="29.625" style="2" customWidth="1"/>
    <col min="490" max="490" width="11.625" style="2" customWidth="1"/>
    <col min="491" max="491" width="2.125" style="2" customWidth="1"/>
    <col min="492" max="492" width="5.125" style="2" customWidth="1"/>
    <col min="493" max="493" width="11.625" style="2" customWidth="1"/>
    <col min="494" max="494" width="29.625" style="2" customWidth="1"/>
    <col min="495" max="495" width="6.625" style="2" bestFit="1" customWidth="1"/>
    <col min="496" max="496" width="3.625" style="2" customWidth="1"/>
    <col min="497" max="499" width="14.625" style="2" customWidth="1"/>
    <col min="500" max="500" width="7.125" style="2" bestFit="1" customWidth="1"/>
    <col min="501" max="501" width="11.625" style="2" customWidth="1"/>
    <col min="502" max="502" width="2.125" style="2" customWidth="1"/>
    <col min="503" max="503" width="5.125" style="2" customWidth="1"/>
    <col min="504" max="504" width="11.625" style="2" customWidth="1"/>
    <col min="505" max="505" width="29.625" style="2" customWidth="1"/>
    <col min="506" max="506" width="11.625" style="2" customWidth="1"/>
    <col min="507" max="507" width="2.125" style="2" customWidth="1"/>
    <col min="508" max="508" width="5.125" style="2" customWidth="1"/>
    <col min="509" max="509" width="11.625" style="2" customWidth="1"/>
    <col min="510" max="510" width="29.625" style="2" customWidth="1"/>
    <col min="511" max="511" width="11.625" style="2" customWidth="1"/>
    <col min="512" max="512" width="2.125" style="2" customWidth="1"/>
    <col min="513" max="513" width="5.125" style="2" customWidth="1"/>
    <col min="514" max="514" width="11.625" style="2" customWidth="1"/>
    <col min="515" max="515" width="29.625" style="2" customWidth="1"/>
    <col min="516" max="516" width="11.625" style="2" customWidth="1"/>
    <col min="517" max="517" width="2.125" style="2" customWidth="1"/>
    <col min="518" max="518" width="5.125" style="2" customWidth="1"/>
    <col min="519" max="519" width="11.625" style="2" customWidth="1"/>
    <col min="520" max="520" width="29.625" style="2" customWidth="1"/>
    <col min="521" max="521" width="6.625" style="2" bestFit="1" customWidth="1"/>
    <col min="522" max="522" width="3.625" style="2" customWidth="1"/>
    <col min="523" max="525" width="14.625" style="2" customWidth="1"/>
    <col min="526" max="526" width="7.125" style="2" bestFit="1" customWidth="1"/>
    <col min="527" max="527" width="11.625" style="2" customWidth="1"/>
    <col min="528" max="528" width="2.125" style="2" customWidth="1"/>
    <col min="529" max="529" width="5.125" style="2" customWidth="1"/>
    <col min="530" max="530" width="11.625" style="2" customWidth="1"/>
    <col min="531" max="531" width="29.625" style="2" customWidth="1"/>
    <col min="532" max="532" width="11.625" style="2" customWidth="1"/>
    <col min="533" max="533" width="2.125" style="2" customWidth="1"/>
    <col min="534" max="534" width="5.125" style="2" customWidth="1"/>
    <col min="535" max="535" width="11.625" style="2" customWidth="1"/>
    <col min="536" max="536" width="29.625" style="2" hidden="1" customWidth="1"/>
    <col min="537" max="537" width="29.625" style="2" customWidth="1"/>
    <col min="538" max="538" width="11.625" style="2" customWidth="1"/>
    <col min="539" max="539" width="2.125" style="2" customWidth="1"/>
    <col min="540" max="540" width="5.125" style="2" customWidth="1"/>
    <col min="541" max="541" width="11.625" style="2" customWidth="1"/>
    <col min="542" max="542" width="29.625" style="2" customWidth="1"/>
    <col min="543" max="543" width="11.625" style="2" customWidth="1"/>
    <col min="544" max="544" width="2.125" style="2" customWidth="1"/>
    <col min="545" max="545" width="5.125" style="2" customWidth="1"/>
    <col min="546" max="546" width="11.625" style="2" customWidth="1"/>
    <col min="547" max="547" width="29.625" style="2" customWidth="1"/>
    <col min="548" max="548" width="6.625" style="2" bestFit="1" customWidth="1"/>
    <col min="549" max="549" width="3.625" style="2" customWidth="1"/>
    <col min="550" max="552" width="14.625" style="2" customWidth="1"/>
    <col min="553" max="553" width="7.125" style="2" bestFit="1" customWidth="1"/>
    <col min="554" max="554" width="11.625" style="2" customWidth="1"/>
    <col min="555" max="555" width="2.125" style="2" customWidth="1"/>
    <col min="556" max="556" width="5.125" style="2" customWidth="1"/>
    <col min="557" max="557" width="11.625" style="2" customWidth="1"/>
    <col min="558" max="558" width="29.625" style="2" customWidth="1"/>
    <col min="559" max="559" width="11.625" style="2" customWidth="1"/>
    <col min="560" max="560" width="2.125" style="2" customWidth="1"/>
    <col min="561" max="561" width="5.125" style="2" customWidth="1"/>
    <col min="562" max="562" width="11.625" style="2" customWidth="1"/>
    <col min="563" max="563" width="29.625" style="2" customWidth="1"/>
    <col min="564" max="564" width="11.625" style="2" customWidth="1"/>
    <col min="565" max="565" width="2.125" style="2" customWidth="1"/>
    <col min="566" max="566" width="5.125" style="2" customWidth="1"/>
    <col min="567" max="567" width="11.625" style="2" customWidth="1"/>
    <col min="568" max="568" width="29.625" style="2" customWidth="1"/>
    <col min="569" max="569" width="11.625" style="2" customWidth="1"/>
    <col min="570" max="570" width="2.125" style="2" customWidth="1"/>
    <col min="571" max="571" width="5.125" style="2" customWidth="1"/>
    <col min="572" max="572" width="11.625" style="2" customWidth="1"/>
    <col min="573" max="573" width="29.625" style="2" customWidth="1"/>
    <col min="574" max="574" width="6.625" style="2" bestFit="1" customWidth="1"/>
    <col min="575" max="575" width="3.625" style="2" customWidth="1"/>
    <col min="576" max="578" width="14.625" style="2" customWidth="1"/>
    <col min="579" max="579" width="7.125" style="2" bestFit="1" customWidth="1"/>
    <col min="580" max="580" width="11.625" style="2" customWidth="1"/>
    <col min="581" max="581" width="2.125" style="2" customWidth="1"/>
    <col min="582" max="582" width="5.125" style="2" customWidth="1"/>
    <col min="583" max="583" width="11.625" style="2" customWidth="1"/>
    <col min="584" max="584" width="29.625" style="2" customWidth="1"/>
    <col min="585" max="585" width="11.625" style="2" customWidth="1"/>
    <col min="586" max="586" width="2.125" style="2" customWidth="1"/>
    <col min="587" max="587" width="5.125" style="2" customWidth="1"/>
    <col min="588" max="588" width="11.625" style="2" customWidth="1"/>
    <col min="589" max="589" width="29.625" style="2" customWidth="1"/>
    <col min="590" max="590" width="11.625" style="2" customWidth="1"/>
    <col min="591" max="591" width="2.125" style="2" customWidth="1"/>
    <col min="592" max="592" width="5.125" style="2" customWidth="1"/>
    <col min="593" max="593" width="11.625" style="2" customWidth="1"/>
    <col min="594" max="594" width="29.625" style="2" customWidth="1"/>
    <col min="595" max="595" width="11.625" style="2" customWidth="1"/>
    <col min="596" max="596" width="2.125" style="2" customWidth="1"/>
    <col min="597" max="597" width="5.125" style="2" customWidth="1"/>
    <col min="598" max="598" width="11.625" style="2" customWidth="1"/>
    <col min="599" max="599" width="29.625" style="2" customWidth="1"/>
    <col min="600" max="600" width="6.625" style="2" bestFit="1" customWidth="1"/>
    <col min="601" max="601" width="3.625" style="2" customWidth="1"/>
    <col min="602" max="604" width="14.625" style="2" customWidth="1"/>
    <col min="605" max="605" width="7.125" style="2" bestFit="1" customWidth="1"/>
    <col min="606" max="606" width="11.625" style="2" customWidth="1"/>
    <col min="607" max="607" width="2.125" style="2" customWidth="1"/>
    <col min="608" max="608" width="5.125" style="2" customWidth="1"/>
    <col min="609" max="609" width="11.625" style="2" customWidth="1"/>
    <col min="610" max="610" width="29.625" style="2" customWidth="1"/>
    <col min="611" max="611" width="11.625" style="2" customWidth="1"/>
    <col min="612" max="612" width="2.125" style="2" customWidth="1"/>
    <col min="613" max="613" width="5.125" style="2" customWidth="1"/>
    <col min="614" max="614" width="11.625" style="2" customWidth="1"/>
    <col min="615" max="615" width="29.625" style="2" customWidth="1"/>
    <col min="616" max="616" width="11.625" style="2" customWidth="1"/>
    <col min="617" max="617" width="2.125" style="2" customWidth="1"/>
    <col min="618" max="618" width="5.125" style="2" customWidth="1"/>
    <col min="619" max="619" width="11.625" style="2" customWidth="1"/>
    <col min="620" max="620" width="29.625" style="2" customWidth="1"/>
    <col min="621" max="621" width="11.625" style="2" customWidth="1"/>
    <col min="622" max="622" width="2.125" style="2" customWidth="1"/>
    <col min="623" max="623" width="5.125" style="2" customWidth="1"/>
    <col min="624" max="624" width="11.625" style="2" customWidth="1"/>
    <col min="625" max="625" width="29.625" style="2" customWidth="1"/>
    <col min="626" max="626" width="6.625" style="2" bestFit="1" customWidth="1"/>
    <col min="627" max="627" width="3.625" style="2" customWidth="1"/>
    <col min="628" max="630" width="14.625" style="2" customWidth="1"/>
    <col min="631" max="631" width="7.125" style="2" bestFit="1" customWidth="1"/>
    <col min="632" max="632" width="11.625" style="2" customWidth="1"/>
    <col min="633" max="633" width="2.125" style="2" customWidth="1"/>
    <col min="634" max="634" width="5.125" style="2" customWidth="1"/>
    <col min="635" max="635" width="11.625" style="2" customWidth="1"/>
    <col min="636" max="636" width="29.625" style="2" customWidth="1"/>
    <col min="637" max="637" width="11.625" style="2" customWidth="1"/>
    <col min="638" max="638" width="2.125" style="2" customWidth="1"/>
    <col min="639" max="639" width="5.125" style="2" customWidth="1"/>
    <col min="640" max="640" width="11.625" style="2" customWidth="1"/>
    <col min="641" max="641" width="29.625" style="2" customWidth="1"/>
    <col min="642" max="642" width="11.625" style="2" customWidth="1"/>
    <col min="643" max="643" width="2.125" style="2" customWidth="1"/>
    <col min="644" max="644" width="5.125" style="2" customWidth="1"/>
    <col min="645" max="645" width="11.625" style="2" customWidth="1"/>
    <col min="646" max="646" width="29.625" style="2" customWidth="1"/>
    <col min="647" max="647" width="11.625" style="2" customWidth="1"/>
    <col min="648" max="648" width="2.125" style="2" customWidth="1"/>
    <col min="649" max="649" width="5.125" style="2" customWidth="1"/>
    <col min="650" max="650" width="11.625" style="2" customWidth="1"/>
    <col min="651" max="651" width="29.625" style="2" customWidth="1"/>
    <col min="652" max="652" width="6.625" style="2" bestFit="1" customWidth="1"/>
    <col min="653" max="653" width="3.625" style="2" customWidth="1"/>
    <col min="654" max="656" width="14.625" style="2" customWidth="1"/>
    <col min="657" max="657" width="7.125" style="2" bestFit="1" customWidth="1"/>
    <col min="658" max="658" width="11.625" style="2" customWidth="1"/>
    <col min="659" max="659" width="2.125" style="2" customWidth="1"/>
    <col min="660" max="660" width="5.125" style="2" customWidth="1"/>
    <col min="661" max="661" width="11.625" style="2" customWidth="1"/>
    <col min="662" max="662" width="29.625" style="2" customWidth="1"/>
    <col min="663" max="663" width="11.625" style="2" customWidth="1"/>
    <col min="664" max="664" width="2.125" style="2" customWidth="1"/>
    <col min="665" max="665" width="5.125" style="2" customWidth="1"/>
    <col min="666" max="666" width="11.625" style="2" customWidth="1"/>
    <col min="667" max="667" width="29.625" style="2" customWidth="1"/>
    <col min="668" max="668" width="11.625" style="2" customWidth="1"/>
    <col min="669" max="669" width="2.125" style="2" customWidth="1"/>
    <col min="670" max="670" width="5.125" style="2" customWidth="1"/>
    <col min="671" max="671" width="11.625" style="2" customWidth="1"/>
    <col min="672" max="672" width="29.625" style="2" customWidth="1"/>
    <col min="673" max="673" width="11.625" style="2" customWidth="1"/>
    <col min="674" max="674" width="2.125" style="2" customWidth="1"/>
    <col min="675" max="675" width="5.125" style="2" customWidth="1"/>
    <col min="676" max="676" width="11.625" style="2" customWidth="1"/>
    <col min="677" max="677" width="29.625" style="2" customWidth="1"/>
    <col min="678" max="678" width="6.625" style="2" bestFit="1" customWidth="1"/>
    <col min="679" max="679" width="3.625" style="2" customWidth="1"/>
    <col min="680" max="682" width="14.625" style="2" customWidth="1"/>
    <col min="683" max="683" width="7.125" style="2" customWidth="1"/>
    <col min="684" max="684" width="11.625" style="2" customWidth="1"/>
    <col min="685" max="685" width="2.125" style="2" customWidth="1"/>
    <col min="686" max="686" width="5.125" style="2" customWidth="1"/>
    <col min="687" max="687" width="11.625" style="2" customWidth="1"/>
    <col min="688" max="688" width="29.625" style="2" customWidth="1"/>
    <col min="689" max="689" width="11.625" style="2" customWidth="1"/>
    <col min="690" max="690" width="2.125" style="2" customWidth="1"/>
    <col min="691" max="691" width="5.125" style="2" customWidth="1"/>
    <col min="692" max="692" width="11.625" style="2" customWidth="1"/>
    <col min="693" max="693" width="29.625" style="2" customWidth="1"/>
    <col min="694" max="694" width="11.625" style="2" customWidth="1"/>
    <col min="695" max="695" width="2.125" style="2" customWidth="1"/>
    <col min="696" max="696" width="5.125" style="2" customWidth="1"/>
    <col min="697" max="697" width="11.625" style="2" customWidth="1"/>
    <col min="698" max="698" width="29.625" style="2" customWidth="1"/>
    <col min="699" max="699" width="11.625" style="2" customWidth="1"/>
    <col min="700" max="700" width="2.125" style="2" customWidth="1"/>
    <col min="701" max="701" width="5.125" style="2" customWidth="1"/>
    <col min="702" max="702" width="11.625" style="2" customWidth="1"/>
    <col min="703" max="703" width="29.625" style="2" customWidth="1"/>
    <col min="704" max="704" width="6.625" style="2" bestFit="1" customWidth="1"/>
    <col min="705" max="705" width="3.625" style="2" customWidth="1"/>
    <col min="706" max="708" width="14.625" style="2" customWidth="1"/>
    <col min="709" max="709" width="7.125" style="2" customWidth="1"/>
    <col min="710" max="710" width="11.625" style="2" customWidth="1"/>
    <col min="711" max="711" width="2.125" style="2" customWidth="1"/>
    <col min="712" max="712" width="5.125" style="2" customWidth="1"/>
    <col min="713" max="713" width="11.625" style="2" customWidth="1"/>
    <col min="714" max="714" width="29.625" style="2" customWidth="1"/>
    <col min="715" max="715" width="11.625" style="2" customWidth="1"/>
    <col min="716" max="716" width="2.125" style="2" customWidth="1"/>
    <col min="717" max="717" width="5.125" style="2" customWidth="1"/>
    <col min="718" max="718" width="11.625" style="2" customWidth="1"/>
    <col min="719" max="719" width="29.625" style="2" customWidth="1"/>
    <col min="720" max="720" width="11.625" style="2" customWidth="1"/>
    <col min="721" max="721" width="2.125" style="2" customWidth="1"/>
    <col min="722" max="722" width="5.125" style="2" customWidth="1"/>
    <col min="723" max="723" width="11.625" style="2" customWidth="1"/>
    <col min="724" max="724" width="29.625" style="2" customWidth="1"/>
    <col min="725" max="725" width="11.625" style="2" customWidth="1"/>
    <col min="726" max="726" width="2.125" style="2" customWidth="1"/>
    <col min="727" max="727" width="5.125" style="2" customWidth="1"/>
    <col min="728" max="728" width="11.625" style="2" customWidth="1"/>
    <col min="729" max="729" width="29.625" style="2" customWidth="1"/>
    <col min="730" max="730" width="6.625" style="2" bestFit="1" customWidth="1"/>
    <col min="731" max="731" width="3.625" style="2" customWidth="1"/>
    <col min="732" max="734" width="14.625" style="2" customWidth="1"/>
    <col min="735" max="735" width="7.125" style="2" customWidth="1"/>
    <col min="736" max="736" width="11.625" style="2" customWidth="1"/>
    <col min="737" max="737" width="2.125" style="2" customWidth="1"/>
    <col min="738" max="738" width="5.125" style="2" customWidth="1"/>
    <col min="739" max="739" width="11.625" style="2" customWidth="1"/>
    <col min="740" max="740" width="29.625" style="2" customWidth="1"/>
    <col min="741" max="741" width="11.625" style="2" customWidth="1"/>
    <col min="742" max="742" width="2.125" style="2" customWidth="1"/>
    <col min="743" max="743" width="5.125" style="2" customWidth="1"/>
    <col min="744" max="744" width="11.625" style="2" customWidth="1"/>
    <col min="745" max="745" width="29.625" style="2" customWidth="1"/>
    <col min="746" max="746" width="11.625" style="2" customWidth="1"/>
    <col min="747" max="747" width="2.125" style="2" customWidth="1"/>
    <col min="748" max="748" width="5.125" style="2" customWidth="1"/>
    <col min="749" max="749" width="11.625" style="2" customWidth="1"/>
    <col min="750" max="750" width="29.625" style="2" customWidth="1"/>
    <col min="751" max="751" width="11.625" style="2" customWidth="1"/>
    <col min="752" max="752" width="2.125" style="2" customWidth="1"/>
    <col min="753" max="753" width="5.125" style="2" customWidth="1"/>
    <col min="754" max="754" width="11.625" style="2" customWidth="1"/>
    <col min="755" max="755" width="29.625" style="2" customWidth="1"/>
    <col min="756" max="756" width="6.625" style="2" bestFit="1" customWidth="1"/>
    <col min="757" max="757" width="3.625" style="2" customWidth="1"/>
    <col min="758" max="760" width="14.625" style="2" customWidth="1"/>
    <col min="761" max="761" width="7.125" style="2" customWidth="1"/>
    <col min="762" max="762" width="11.625" style="2" customWidth="1"/>
    <col min="763" max="763" width="2.125" style="2" customWidth="1"/>
    <col min="764" max="764" width="5.125" style="2" customWidth="1"/>
    <col min="765" max="765" width="11.625" style="2" customWidth="1"/>
    <col min="766" max="766" width="29.625" style="2" customWidth="1"/>
    <col min="767" max="767" width="11.625" style="2" customWidth="1"/>
    <col min="768" max="768" width="2.125" style="2" customWidth="1"/>
    <col min="769" max="769" width="5.125" style="2" customWidth="1"/>
    <col min="770" max="770" width="11.625" style="2" customWidth="1"/>
    <col min="771" max="771" width="29.625" style="2" customWidth="1"/>
    <col min="772" max="772" width="11.625" style="2" customWidth="1"/>
    <col min="773" max="773" width="2.125" style="2" customWidth="1"/>
    <col min="774" max="774" width="5.125" style="2" customWidth="1"/>
    <col min="775" max="775" width="11.625" style="2" customWidth="1"/>
    <col min="776" max="776" width="29.625" style="2" customWidth="1"/>
    <col min="777" max="777" width="11.625" style="2" customWidth="1"/>
    <col min="778" max="778" width="2.125" style="2" customWidth="1"/>
    <col min="779" max="779" width="5.125" style="2" customWidth="1"/>
    <col min="780" max="780" width="11.625" style="2" customWidth="1"/>
    <col min="781" max="781" width="29.625" style="2" customWidth="1"/>
    <col min="782" max="782" width="6.625" style="2" bestFit="1" customWidth="1"/>
    <col min="783" max="783" width="3.625" style="2" customWidth="1"/>
    <col min="784" max="786" width="14.625" style="2" customWidth="1"/>
    <col min="787" max="787" width="7.125" style="2" customWidth="1"/>
    <col min="788" max="788" width="11.625" style="2" customWidth="1"/>
    <col min="789" max="789" width="2.125" style="2" customWidth="1"/>
    <col min="790" max="790" width="5.125" style="2" customWidth="1"/>
    <col min="791" max="791" width="11.625" style="2" customWidth="1"/>
    <col min="792" max="792" width="29.625" style="2" customWidth="1"/>
    <col min="793" max="793" width="11.625" style="2" customWidth="1"/>
    <col min="794" max="794" width="2.125" style="2" customWidth="1"/>
    <col min="795" max="795" width="5.125" style="2" customWidth="1"/>
    <col min="796" max="796" width="11.625" style="2" customWidth="1"/>
    <col min="797" max="797" width="29.625" style="2" customWidth="1"/>
    <col min="798" max="798" width="11.625" style="2" customWidth="1"/>
    <col min="799" max="799" width="2.125" style="2" customWidth="1"/>
    <col min="800" max="800" width="5.125" style="2" customWidth="1"/>
    <col min="801" max="801" width="11.625" style="2" customWidth="1"/>
    <col min="802" max="802" width="29.625" style="2" customWidth="1"/>
    <col min="803" max="803" width="11.625" style="2" customWidth="1"/>
    <col min="804" max="804" width="2.125" style="2" customWidth="1"/>
    <col min="805" max="805" width="5.125" style="2" customWidth="1"/>
    <col min="806" max="806" width="11.625" style="2" customWidth="1"/>
    <col min="807" max="807" width="29.625" style="2" customWidth="1"/>
    <col min="808" max="808" width="6.625" style="2" bestFit="1" customWidth="1"/>
    <col min="809" max="809" width="3.625" style="2" customWidth="1"/>
    <col min="810" max="812" width="14.625" style="2" customWidth="1"/>
    <col min="813" max="813" width="7.125" style="2" customWidth="1"/>
    <col min="814" max="814" width="11.625" style="2" customWidth="1"/>
    <col min="815" max="815" width="2.125" style="2" customWidth="1"/>
    <col min="816" max="816" width="5.125" style="2" customWidth="1"/>
    <col min="817" max="817" width="11.625" style="2" customWidth="1"/>
    <col min="818" max="818" width="29.625" style="2" customWidth="1"/>
    <col min="819" max="819" width="11.625" style="2" customWidth="1"/>
    <col min="820" max="820" width="2.125" style="2" customWidth="1"/>
    <col min="821" max="821" width="5.125" style="2" customWidth="1"/>
    <col min="822" max="822" width="11.625" style="2" customWidth="1"/>
    <col min="823" max="823" width="29.625" style="2" hidden="1" customWidth="1"/>
    <col min="824" max="824" width="29.625" style="2" customWidth="1"/>
    <col min="825" max="825" width="11.625" style="2" customWidth="1"/>
    <col min="826" max="826" width="2.125" style="2" customWidth="1"/>
    <col min="827" max="827" width="5.125" style="2" customWidth="1"/>
    <col min="828" max="828" width="11.625" style="2" customWidth="1"/>
    <col min="829" max="829" width="29.625" style="2" customWidth="1"/>
    <col min="830" max="830" width="11.625" style="2" customWidth="1"/>
    <col min="831" max="831" width="2.125" style="2" customWidth="1"/>
    <col min="832" max="832" width="5.125" style="2" customWidth="1"/>
    <col min="833" max="833" width="11.625" style="2" customWidth="1"/>
    <col min="834" max="834" width="29.625" style="2" customWidth="1"/>
    <col min="835" max="835" width="6.625" style="2" bestFit="1" customWidth="1"/>
    <col min="836" max="836" width="3.625" style="2" customWidth="1"/>
    <col min="837" max="839" width="14.625" style="2" customWidth="1"/>
    <col min="840" max="840" width="7.125" style="2" customWidth="1"/>
    <col min="841" max="841" width="11.625" style="2" customWidth="1"/>
    <col min="842" max="842" width="2.125" style="2" customWidth="1"/>
    <col min="843" max="843" width="5.125" style="2" customWidth="1"/>
    <col min="844" max="844" width="11.625" style="2" customWidth="1"/>
    <col min="845" max="845" width="29.625" style="2" customWidth="1"/>
    <col min="846" max="846" width="11.625" style="2" customWidth="1"/>
    <col min="847" max="847" width="2.125" style="2" customWidth="1"/>
    <col min="848" max="848" width="5.125" style="2" customWidth="1"/>
    <col min="849" max="849" width="11.625" style="2" customWidth="1"/>
    <col min="850" max="850" width="29.625" style="2" customWidth="1"/>
    <col min="851" max="851" width="11.625" style="2" customWidth="1"/>
    <col min="852" max="852" width="2.125" style="2" customWidth="1"/>
    <col min="853" max="853" width="5.125" style="2" customWidth="1"/>
    <col min="854" max="854" width="11.625" style="2" customWidth="1"/>
    <col min="855" max="855" width="29.625" style="2" customWidth="1"/>
    <col min="856" max="856" width="11.625" style="2" customWidth="1"/>
    <col min="857" max="857" width="2.125" style="2" customWidth="1"/>
    <col min="858" max="858" width="5.125" style="2" customWidth="1"/>
    <col min="859" max="859" width="11.625" style="2" customWidth="1"/>
    <col min="860" max="860" width="29.625" style="2" customWidth="1"/>
    <col min="861" max="861" width="6.625" style="2" bestFit="1" customWidth="1"/>
    <col min="862" max="862" width="3.625" style="2" customWidth="1"/>
    <col min="863" max="865" width="14.625" style="2" customWidth="1"/>
    <col min="866" max="866" width="7.125" style="2" customWidth="1"/>
    <col min="867" max="867" width="11.625" style="2" customWidth="1"/>
    <col min="868" max="868" width="2.125" style="2" customWidth="1"/>
    <col min="869" max="869" width="5.125" style="2" customWidth="1"/>
    <col min="870" max="870" width="11.625" style="2" customWidth="1"/>
    <col min="871" max="871" width="29.625" style="2" customWidth="1"/>
    <col min="872" max="872" width="11.625" style="2" customWidth="1"/>
    <col min="873" max="873" width="2.125" style="2" customWidth="1"/>
    <col min="874" max="874" width="5.125" style="2" customWidth="1"/>
    <col min="875" max="875" width="11.625" style="2" customWidth="1"/>
    <col min="876" max="876" width="29.625" style="2" customWidth="1"/>
    <col min="877" max="877" width="11.625" style="2" customWidth="1"/>
    <col min="878" max="878" width="2.125" style="2" customWidth="1"/>
    <col min="879" max="879" width="5.125" style="2" customWidth="1"/>
    <col min="880" max="880" width="11.625" style="2" customWidth="1"/>
    <col min="881" max="881" width="29.625" style="2" customWidth="1"/>
    <col min="882" max="882" width="11.625" style="2" customWidth="1"/>
    <col min="883" max="883" width="2.125" style="2" customWidth="1"/>
    <col min="884" max="884" width="5.125" style="2" customWidth="1"/>
    <col min="885" max="885" width="11.625" style="2" customWidth="1"/>
    <col min="886" max="886" width="29.625" style="2" customWidth="1"/>
    <col min="887" max="887" width="6.625" style="2" bestFit="1" customWidth="1"/>
    <col min="888" max="888" width="3.625" style="2" customWidth="1"/>
    <col min="889" max="891" width="14.625" style="2" customWidth="1"/>
    <col min="892" max="892" width="7.125" style="2" customWidth="1"/>
    <col min="893" max="893" width="11.625" style="2" customWidth="1"/>
    <col min="894" max="894" width="2.125" style="2" customWidth="1"/>
    <col min="895" max="895" width="5.125" style="2" customWidth="1"/>
    <col min="896" max="896" width="11.625" style="2" customWidth="1"/>
    <col min="897" max="897" width="29.625" style="2" customWidth="1"/>
    <col min="898" max="898" width="11.625" style="2" customWidth="1"/>
    <col min="899" max="899" width="2.125" style="2" customWidth="1"/>
    <col min="900" max="900" width="5.125" style="2" customWidth="1"/>
    <col min="901" max="901" width="11.625" style="2" customWidth="1"/>
    <col min="902" max="902" width="29.625" style="2" customWidth="1"/>
    <col min="903" max="903" width="11.625" style="2" customWidth="1"/>
    <col min="904" max="904" width="2.125" style="2" customWidth="1"/>
    <col min="905" max="905" width="5.125" style="2" customWidth="1"/>
    <col min="906" max="906" width="11.625" style="2" customWidth="1"/>
    <col min="907" max="907" width="29.625" style="2" customWidth="1"/>
    <col min="908" max="908" width="11.625" style="2" customWidth="1"/>
    <col min="909" max="909" width="2.125" style="2" customWidth="1"/>
    <col min="910" max="910" width="5.125" style="2" customWidth="1"/>
    <col min="911" max="911" width="11.625" style="2" customWidth="1"/>
    <col min="912" max="912" width="29.625" style="2" customWidth="1"/>
    <col min="913" max="913" width="6.625" style="2" bestFit="1" customWidth="1"/>
    <col min="914" max="914" width="3.625" style="2" customWidth="1"/>
    <col min="915" max="917" width="14.625" style="2" customWidth="1"/>
    <col min="918" max="918" width="7.125" style="2" customWidth="1"/>
    <col min="919" max="919" width="11.625" style="2" customWidth="1"/>
    <col min="920" max="920" width="2.125" style="2" customWidth="1"/>
    <col min="921" max="921" width="5.125" style="2" customWidth="1"/>
    <col min="922" max="922" width="11.625" style="2" customWidth="1"/>
    <col min="923" max="923" width="29.625" style="2" customWidth="1"/>
    <col min="924" max="924" width="11.625" style="2" customWidth="1"/>
    <col min="925" max="925" width="2.125" style="2" customWidth="1"/>
    <col min="926" max="926" width="5.125" style="2" customWidth="1"/>
    <col min="927" max="927" width="11.625" style="2" customWidth="1"/>
    <col min="928" max="928" width="29.625" style="2" customWidth="1"/>
    <col min="929" max="929" width="11.625" style="2" customWidth="1"/>
    <col min="930" max="930" width="2.125" style="2" customWidth="1"/>
    <col min="931" max="931" width="5.125" style="2" customWidth="1"/>
    <col min="932" max="932" width="11.625" style="2" customWidth="1"/>
    <col min="933" max="933" width="29.625" style="2" customWidth="1"/>
    <col min="934" max="934" width="11.625" style="2" customWidth="1"/>
    <col min="935" max="935" width="2.125" style="2" customWidth="1"/>
    <col min="936" max="936" width="5.125" style="2" customWidth="1"/>
    <col min="937" max="937" width="11.625" style="2" customWidth="1"/>
    <col min="938" max="938" width="29.625" style="2" customWidth="1"/>
    <col min="939" max="939" width="6.625" style="2" bestFit="1" customWidth="1"/>
    <col min="940" max="940" width="3.625" style="2" customWidth="1"/>
    <col min="941" max="943" width="14.625" style="2" customWidth="1"/>
    <col min="944" max="944" width="7.125" style="2" customWidth="1"/>
    <col min="945" max="945" width="11.625" style="2" customWidth="1"/>
    <col min="946" max="946" width="2.125" style="2" customWidth="1"/>
    <col min="947" max="947" width="5.125" style="2" customWidth="1"/>
    <col min="948" max="948" width="11.625" style="2" customWidth="1"/>
    <col min="949" max="949" width="29.625" style="2" customWidth="1"/>
    <col min="950" max="950" width="11.625" style="2" customWidth="1"/>
    <col min="951" max="951" width="2.125" style="2" customWidth="1"/>
    <col min="952" max="952" width="5.125" style="2" customWidth="1"/>
    <col min="953" max="953" width="11.625" style="2" customWidth="1"/>
    <col min="954" max="954" width="29.625" style="2" customWidth="1"/>
    <col min="955" max="955" width="11.625" style="2" customWidth="1"/>
    <col min="956" max="956" width="2.125" style="2" customWidth="1"/>
    <col min="957" max="957" width="5.125" style="2" customWidth="1"/>
    <col min="958" max="958" width="11.625" style="2" customWidth="1"/>
    <col min="959" max="959" width="29.625" style="2" customWidth="1"/>
    <col min="960" max="960" width="11.625" style="2" customWidth="1"/>
    <col min="961" max="961" width="2.125" style="2" customWidth="1"/>
    <col min="962" max="962" width="5.125" style="2" customWidth="1"/>
    <col min="963" max="963" width="11.625" style="2" customWidth="1"/>
    <col min="964" max="964" width="29.625" style="2" customWidth="1"/>
    <col min="965" max="965" width="6.625" style="2" bestFit="1" customWidth="1"/>
    <col min="966" max="966" width="3.625" style="2" customWidth="1"/>
    <col min="967" max="969" width="14.625" style="2" customWidth="1"/>
    <col min="970" max="970" width="7.125" style="2" customWidth="1"/>
    <col min="971" max="971" width="11.625" style="2" customWidth="1"/>
    <col min="972" max="972" width="2.125" style="2" customWidth="1"/>
    <col min="973" max="973" width="5.125" style="2" customWidth="1"/>
    <col min="974" max="974" width="11.625" style="2" customWidth="1"/>
    <col min="975" max="975" width="29.625" style="2" customWidth="1"/>
    <col min="976" max="976" width="11.625" style="2" customWidth="1"/>
    <col min="977" max="977" width="2.125" style="2" customWidth="1"/>
    <col min="978" max="978" width="5.125" style="2" customWidth="1"/>
    <col min="979" max="979" width="11.625" style="2" customWidth="1"/>
    <col min="980" max="980" width="29.625" style="2" customWidth="1"/>
    <col min="981" max="981" width="11.625" style="2" customWidth="1"/>
    <col min="982" max="982" width="2.125" style="2" customWidth="1"/>
    <col min="983" max="983" width="5.125" style="2" customWidth="1"/>
    <col min="984" max="984" width="11.625" style="2" customWidth="1"/>
    <col min="985" max="985" width="29.625" style="2" customWidth="1"/>
    <col min="986" max="986" width="11.625" style="2" customWidth="1"/>
    <col min="987" max="987" width="2.125" style="2" customWidth="1"/>
    <col min="988" max="988" width="5.125" style="2" customWidth="1"/>
    <col min="989" max="989" width="11.625" style="2" customWidth="1"/>
    <col min="990" max="990" width="29.625" style="2" customWidth="1"/>
    <col min="991" max="991" width="6.625" style="2" bestFit="1" customWidth="1"/>
    <col min="992" max="992" width="3.625" style="2" customWidth="1"/>
    <col min="993" max="995" width="14.625" style="2" customWidth="1"/>
    <col min="996" max="996" width="7.125" style="2" customWidth="1"/>
    <col min="997" max="997" width="11.625" style="2" customWidth="1"/>
    <col min="998" max="998" width="2.125" style="2" customWidth="1"/>
    <col min="999" max="999" width="5.125" style="2" customWidth="1"/>
    <col min="1000" max="1000" width="11.625" style="2" customWidth="1"/>
    <col min="1001" max="1001" width="29.625" style="2" customWidth="1"/>
    <col min="1002" max="1002" width="11.625" style="2" customWidth="1"/>
    <col min="1003" max="1003" width="2.125" style="2" customWidth="1"/>
    <col min="1004" max="1004" width="5.125" style="2" customWidth="1"/>
    <col min="1005" max="1005" width="11.625" style="2" customWidth="1"/>
    <col min="1006" max="1006" width="29.625" style="2" customWidth="1"/>
    <col min="1007" max="1007" width="11.625" style="2" customWidth="1"/>
    <col min="1008" max="1008" width="2.125" style="2" customWidth="1"/>
    <col min="1009" max="1009" width="5.125" style="2" customWidth="1"/>
    <col min="1010" max="1010" width="11.625" style="2" customWidth="1"/>
    <col min="1011" max="1011" width="29.625" style="2" customWidth="1"/>
    <col min="1012" max="1012" width="11.625" style="2" customWidth="1"/>
    <col min="1013" max="1013" width="2.125" style="2" customWidth="1"/>
    <col min="1014" max="1014" width="5.125" style="2" customWidth="1"/>
    <col min="1015" max="1015" width="11.625" style="2" customWidth="1"/>
    <col min="1016" max="1016" width="29.625" style="2" customWidth="1"/>
    <col min="1017" max="1017" width="6.625" style="2" bestFit="1" customWidth="1"/>
    <col min="1018" max="1018" width="3.625" style="2" customWidth="1"/>
    <col min="1019" max="1021" width="14.625" style="2" customWidth="1"/>
    <col min="1022" max="1022" width="7.125" style="2" customWidth="1"/>
    <col min="1023" max="1023" width="11.625" style="2" customWidth="1"/>
    <col min="1024" max="1024" width="2.125" style="2" customWidth="1"/>
    <col min="1025" max="1025" width="5.125" style="2" customWidth="1"/>
    <col min="1026" max="1026" width="11.625" style="2" customWidth="1"/>
    <col min="1027" max="1027" width="29.625" style="2" customWidth="1"/>
    <col min="1028" max="1028" width="11.625" style="2" customWidth="1"/>
    <col min="1029" max="1029" width="2.125" style="2" customWidth="1"/>
    <col min="1030" max="1030" width="5.125" style="2" customWidth="1"/>
    <col min="1031" max="1031" width="11.625" style="2" customWidth="1"/>
    <col min="1032" max="1032" width="29.625" style="2" customWidth="1"/>
    <col min="1033" max="1033" width="29.625" style="2" hidden="1" customWidth="1"/>
    <col min="1034" max="1034" width="11.625" style="2" customWidth="1"/>
    <col min="1035" max="1035" width="2.125" style="2" customWidth="1"/>
    <col min="1036" max="1036" width="5.125" style="2" customWidth="1"/>
    <col min="1037" max="1037" width="11.625" style="2" customWidth="1"/>
    <col min="1038" max="1038" width="29.625" style="2" customWidth="1"/>
    <col min="1039" max="1039" width="11.625" style="2" customWidth="1"/>
    <col min="1040" max="1040" width="2.125" style="2" customWidth="1"/>
    <col min="1041" max="1041" width="5.125" style="2" customWidth="1"/>
    <col min="1042" max="1042" width="11.625" style="2" customWidth="1"/>
    <col min="1043" max="1043" width="29.625" style="2" customWidth="1"/>
    <col min="1044" max="1044" width="6.625" style="2" bestFit="1" customWidth="1"/>
    <col min="1045" max="1045" width="3.625" style="2" customWidth="1"/>
    <col min="1046" max="1048" width="14.625" style="2" customWidth="1"/>
    <col min="1049" max="1049" width="7.125" style="2" customWidth="1"/>
    <col min="1050" max="1050" width="11.625" style="2" customWidth="1"/>
    <col min="1051" max="1051" width="2.125" style="2" customWidth="1"/>
    <col min="1052" max="1052" width="5.125" style="2" customWidth="1"/>
    <col min="1053" max="1053" width="11.625" style="2" customWidth="1"/>
    <col min="1054" max="1054" width="29.625" style="2" customWidth="1"/>
    <col min="1055" max="1055" width="11.625" style="2" customWidth="1"/>
    <col min="1056" max="1056" width="2.125" style="2" customWidth="1"/>
    <col min="1057" max="1057" width="5.125" style="2" customWidth="1"/>
    <col min="1058" max="1058" width="11.625" style="2" customWidth="1"/>
    <col min="1059" max="1059" width="29.625" style="2" customWidth="1"/>
    <col min="1060" max="1060" width="29.625" style="2" hidden="1" customWidth="1"/>
    <col min="1061" max="1061" width="11.625" style="2" customWidth="1"/>
    <col min="1062" max="1062" width="2.125" style="2" customWidth="1"/>
    <col min="1063" max="1063" width="5.125" style="2" customWidth="1"/>
    <col min="1064" max="1064" width="11.625" style="2" customWidth="1"/>
    <col min="1065" max="1065" width="29.625" style="2" customWidth="1"/>
    <col min="1066" max="1066" width="11.625" style="2" customWidth="1"/>
    <col min="1067" max="1067" width="2.125" style="2" customWidth="1"/>
    <col min="1068" max="1068" width="5.125" style="2" customWidth="1"/>
    <col min="1069" max="1069" width="11.625" style="2" customWidth="1"/>
    <col min="1070" max="1070" width="29.625" style="2" customWidth="1"/>
    <col min="1071" max="1071" width="6.625" style="2" bestFit="1" customWidth="1"/>
    <col min="1072" max="1072" width="3.625" style="2" customWidth="1"/>
    <col min="1073" max="1075" width="14.625" style="2" customWidth="1"/>
    <col min="1076" max="1076" width="7.125" style="2" customWidth="1"/>
    <col min="1077" max="1077" width="11.625" style="2" customWidth="1"/>
    <col min="1078" max="1078" width="2.125" style="2" customWidth="1"/>
    <col min="1079" max="1079" width="5.125" style="2" customWidth="1"/>
    <col min="1080" max="1080" width="11.625" style="2" customWidth="1"/>
    <col min="1081" max="1081" width="29.625" style="2" customWidth="1"/>
    <col min="1082" max="1082" width="11.625" style="2" customWidth="1"/>
    <col min="1083" max="1083" width="2.125" style="2" customWidth="1"/>
    <col min="1084" max="1084" width="5.125" style="2" customWidth="1"/>
    <col min="1085" max="1085" width="11.625" style="2" customWidth="1"/>
    <col min="1086" max="1086" width="29.625" style="2" customWidth="1"/>
    <col min="1087" max="1087" width="29.625" style="2" hidden="1" customWidth="1"/>
    <col min="1088" max="1088" width="11.625" style="2" customWidth="1"/>
    <col min="1089" max="1089" width="2.125" style="2" customWidth="1"/>
    <col min="1090" max="1090" width="5.125" style="2" customWidth="1"/>
    <col min="1091" max="1091" width="11.625" style="2" customWidth="1"/>
    <col min="1092" max="1092" width="29.625" style="2" customWidth="1"/>
    <col min="1093" max="1093" width="11.625" style="2" customWidth="1"/>
    <col min="1094" max="1094" width="2.125" style="2" customWidth="1"/>
    <col min="1095" max="1095" width="5.125" style="2" customWidth="1"/>
    <col min="1096" max="1096" width="11.625" style="2" customWidth="1"/>
    <col min="1097" max="1097" width="29.625" style="2" customWidth="1"/>
    <col min="1098" max="16384" width="8" style="2"/>
  </cols>
  <sheetData>
    <row r="1" spans="1:1097" ht="27.75" customHeight="1" x14ac:dyDescent="0.4">
      <c r="B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B1" s="1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B1" s="1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B1" s="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B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B1" s="1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B1" s="1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B1" s="1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B1" s="1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B1" s="1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B1" s="1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B1" s="1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B1" s="1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B1" s="1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B1" s="1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B1" s="1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B1" s="1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B1" s="1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B1" s="1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B1" s="1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C1" s="1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C1" s="1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C1" s="1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C1" s="1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C1" s="1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C1" s="1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C1" s="1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C1" s="1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C1" s="1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C1" s="1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C1" s="1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D1" s="1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D1" s="1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D1" s="1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D1" s="1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D1" s="1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D1" s="1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D1" s="1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D1" s="1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E1" s="1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F1" s="1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</row>
    <row r="2" spans="1:1097" ht="39" customHeight="1" x14ac:dyDescent="0.4">
      <c r="A2" s="454" t="s">
        <v>76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 t="s">
        <v>76</v>
      </c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 t="s">
        <v>76</v>
      </c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 t="s">
        <v>76</v>
      </c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 t="s">
        <v>76</v>
      </c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 t="s">
        <v>76</v>
      </c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 t="s">
        <v>76</v>
      </c>
      <c r="FB2" s="454"/>
      <c r="FC2" s="454"/>
      <c r="FD2" s="454"/>
      <c r="FE2" s="454"/>
      <c r="FF2" s="454"/>
      <c r="FG2" s="454"/>
      <c r="FH2" s="454"/>
      <c r="FI2" s="454"/>
      <c r="FJ2" s="454"/>
      <c r="FK2" s="454"/>
      <c r="FL2" s="454"/>
      <c r="FM2" s="454"/>
      <c r="FN2" s="454"/>
      <c r="FO2" s="454"/>
      <c r="FP2" s="454"/>
      <c r="FQ2" s="454"/>
      <c r="FR2" s="454"/>
      <c r="FS2" s="454"/>
      <c r="FT2" s="454"/>
      <c r="FU2" s="454"/>
      <c r="FV2" s="454"/>
      <c r="FW2" s="454"/>
      <c r="FX2" s="454"/>
      <c r="FY2" s="454"/>
      <c r="FZ2" s="454"/>
      <c r="GA2" s="454" t="s">
        <v>560</v>
      </c>
      <c r="GB2" s="454"/>
      <c r="GC2" s="454"/>
      <c r="GD2" s="454"/>
      <c r="GE2" s="454"/>
      <c r="GF2" s="454"/>
      <c r="GG2" s="454"/>
      <c r="GH2" s="454"/>
      <c r="GI2" s="454"/>
      <c r="GJ2" s="454"/>
      <c r="GK2" s="454"/>
      <c r="GL2" s="454"/>
      <c r="GM2" s="454"/>
      <c r="GN2" s="454"/>
      <c r="GO2" s="454"/>
      <c r="GP2" s="454"/>
      <c r="GQ2" s="454"/>
      <c r="GR2" s="454"/>
      <c r="GS2" s="454"/>
      <c r="GT2" s="454"/>
      <c r="GU2" s="454"/>
      <c r="GV2" s="454"/>
      <c r="GW2" s="454"/>
      <c r="GX2" s="454"/>
      <c r="GY2" s="454"/>
      <c r="GZ2" s="454"/>
      <c r="HA2" s="454" t="s">
        <v>560</v>
      </c>
      <c r="HB2" s="454"/>
      <c r="HC2" s="454"/>
      <c r="HD2" s="454"/>
      <c r="HE2" s="454"/>
      <c r="HF2" s="454"/>
      <c r="HG2" s="454"/>
      <c r="HH2" s="454"/>
      <c r="HI2" s="454"/>
      <c r="HJ2" s="454"/>
      <c r="HK2" s="454"/>
      <c r="HL2" s="454"/>
      <c r="HM2" s="454"/>
      <c r="HN2" s="454"/>
      <c r="HO2" s="454"/>
      <c r="HP2" s="454"/>
      <c r="HQ2" s="454"/>
      <c r="HR2" s="454"/>
      <c r="HS2" s="454"/>
      <c r="HT2" s="454"/>
      <c r="HU2" s="454"/>
      <c r="HV2" s="454"/>
      <c r="HW2" s="454"/>
      <c r="HX2" s="454"/>
      <c r="HY2" s="454"/>
      <c r="HZ2" s="454"/>
      <c r="IA2" s="454" t="s">
        <v>560</v>
      </c>
      <c r="IB2" s="454"/>
      <c r="IC2" s="454"/>
      <c r="ID2" s="454"/>
      <c r="IE2" s="454"/>
      <c r="IF2" s="454"/>
      <c r="IG2" s="454"/>
      <c r="IH2" s="454"/>
      <c r="II2" s="454"/>
      <c r="IJ2" s="454"/>
      <c r="IK2" s="454"/>
      <c r="IL2" s="454"/>
      <c r="IM2" s="454"/>
      <c r="IN2" s="454"/>
      <c r="IO2" s="454"/>
      <c r="IP2" s="454"/>
      <c r="IQ2" s="454"/>
      <c r="IR2" s="454"/>
      <c r="IS2" s="454"/>
      <c r="IT2" s="454"/>
      <c r="IU2" s="454"/>
      <c r="IV2" s="454"/>
      <c r="IW2" s="454"/>
      <c r="IX2" s="454"/>
      <c r="IY2" s="454"/>
      <c r="IZ2" s="454"/>
      <c r="JA2" s="454" t="s">
        <v>682</v>
      </c>
      <c r="JB2" s="454"/>
      <c r="JC2" s="454"/>
      <c r="JD2" s="454"/>
      <c r="JE2" s="454"/>
      <c r="JF2" s="454"/>
      <c r="JG2" s="454"/>
      <c r="JH2" s="454"/>
      <c r="JI2" s="454"/>
      <c r="JJ2" s="454"/>
      <c r="JK2" s="454"/>
      <c r="JL2" s="454"/>
      <c r="JM2" s="454"/>
      <c r="JN2" s="454"/>
      <c r="JO2" s="454"/>
      <c r="JP2" s="454"/>
      <c r="JQ2" s="454"/>
      <c r="JR2" s="454"/>
      <c r="JS2" s="454"/>
      <c r="JT2" s="454"/>
      <c r="JU2" s="454"/>
      <c r="JV2" s="454"/>
      <c r="JW2" s="454"/>
      <c r="JX2" s="454"/>
      <c r="JY2" s="454"/>
      <c r="JZ2" s="454"/>
      <c r="KA2" s="454" t="s">
        <v>560</v>
      </c>
      <c r="KB2" s="454"/>
      <c r="KC2" s="454"/>
      <c r="KD2" s="454"/>
      <c r="KE2" s="454"/>
      <c r="KF2" s="454"/>
      <c r="KG2" s="454"/>
      <c r="KH2" s="454"/>
      <c r="KI2" s="454"/>
      <c r="KJ2" s="454"/>
      <c r="KK2" s="454"/>
      <c r="KL2" s="454"/>
      <c r="KM2" s="454"/>
      <c r="KN2" s="454"/>
      <c r="KO2" s="454"/>
      <c r="KP2" s="454"/>
      <c r="KQ2" s="454"/>
      <c r="KR2" s="454"/>
      <c r="KS2" s="454"/>
      <c r="KT2" s="454"/>
      <c r="KU2" s="454"/>
      <c r="KV2" s="454"/>
      <c r="KW2" s="454"/>
      <c r="KX2" s="454"/>
      <c r="KY2" s="454"/>
      <c r="KZ2" s="454"/>
      <c r="LA2" s="454" t="s">
        <v>560</v>
      </c>
      <c r="LB2" s="454"/>
      <c r="LC2" s="454"/>
      <c r="LD2" s="454"/>
      <c r="LE2" s="454"/>
      <c r="LF2" s="454"/>
      <c r="LG2" s="454"/>
      <c r="LH2" s="454"/>
      <c r="LI2" s="454"/>
      <c r="LJ2" s="454"/>
      <c r="LK2" s="454"/>
      <c r="LL2" s="454"/>
      <c r="LM2" s="454"/>
      <c r="LN2" s="454"/>
      <c r="LO2" s="454"/>
      <c r="LP2" s="454"/>
      <c r="LQ2" s="454"/>
      <c r="LR2" s="454"/>
      <c r="LS2" s="454"/>
      <c r="LT2" s="454"/>
      <c r="LU2" s="454"/>
      <c r="LV2" s="454"/>
      <c r="LW2" s="454"/>
      <c r="LX2" s="454"/>
      <c r="LY2" s="454"/>
      <c r="LZ2" s="454"/>
      <c r="MA2" s="454" t="s">
        <v>560</v>
      </c>
      <c r="MB2" s="454"/>
      <c r="MC2" s="454"/>
      <c r="MD2" s="454"/>
      <c r="ME2" s="454"/>
      <c r="MF2" s="454"/>
      <c r="MG2" s="454"/>
      <c r="MH2" s="454"/>
      <c r="MI2" s="454"/>
      <c r="MJ2" s="454"/>
      <c r="MK2" s="454"/>
      <c r="ML2" s="454"/>
      <c r="MM2" s="454"/>
      <c r="MN2" s="454"/>
      <c r="MO2" s="454"/>
      <c r="MP2" s="454"/>
      <c r="MQ2" s="454"/>
      <c r="MR2" s="454"/>
      <c r="MS2" s="454"/>
      <c r="MT2" s="454"/>
      <c r="MU2" s="454"/>
      <c r="MV2" s="454"/>
      <c r="MW2" s="454"/>
      <c r="MX2" s="454"/>
      <c r="MY2" s="454"/>
      <c r="MZ2" s="454"/>
      <c r="NA2" s="454" t="s">
        <v>560</v>
      </c>
      <c r="NB2" s="454"/>
      <c r="NC2" s="454"/>
      <c r="ND2" s="454"/>
      <c r="NE2" s="454"/>
      <c r="NF2" s="454"/>
      <c r="NG2" s="454"/>
      <c r="NH2" s="454"/>
      <c r="NI2" s="454"/>
      <c r="NJ2" s="454"/>
      <c r="NK2" s="454"/>
      <c r="NL2" s="454"/>
      <c r="NM2" s="454"/>
      <c r="NN2" s="454"/>
      <c r="NO2" s="454"/>
      <c r="NP2" s="454"/>
      <c r="NQ2" s="454"/>
      <c r="NR2" s="454"/>
      <c r="NS2" s="454"/>
      <c r="NT2" s="454"/>
      <c r="NU2" s="454"/>
      <c r="NV2" s="454"/>
      <c r="NW2" s="454"/>
      <c r="NX2" s="454"/>
      <c r="NY2" s="454"/>
      <c r="NZ2" s="454"/>
      <c r="OA2" s="454" t="s">
        <v>560</v>
      </c>
      <c r="OB2" s="454"/>
      <c r="OC2" s="454"/>
      <c r="OD2" s="454"/>
      <c r="OE2" s="454"/>
      <c r="OF2" s="454"/>
      <c r="OG2" s="454"/>
      <c r="OH2" s="454"/>
      <c r="OI2" s="454"/>
      <c r="OJ2" s="454"/>
      <c r="OK2" s="454"/>
      <c r="OL2" s="454"/>
      <c r="OM2" s="454"/>
      <c r="ON2" s="454"/>
      <c r="OO2" s="454"/>
      <c r="OP2" s="454"/>
      <c r="OQ2" s="454"/>
      <c r="OR2" s="454"/>
      <c r="OS2" s="454"/>
      <c r="OT2" s="454"/>
      <c r="OU2" s="454"/>
      <c r="OV2" s="454"/>
      <c r="OW2" s="454"/>
      <c r="OX2" s="454"/>
      <c r="OY2" s="454"/>
      <c r="OZ2" s="454"/>
      <c r="PA2" s="454" t="s">
        <v>560</v>
      </c>
      <c r="PB2" s="454"/>
      <c r="PC2" s="454"/>
      <c r="PD2" s="454"/>
      <c r="PE2" s="454"/>
      <c r="PF2" s="454"/>
      <c r="PG2" s="454"/>
      <c r="PH2" s="454"/>
      <c r="PI2" s="454"/>
      <c r="PJ2" s="454"/>
      <c r="PK2" s="454"/>
      <c r="PL2" s="454"/>
      <c r="PM2" s="454"/>
      <c r="PN2" s="454"/>
      <c r="PO2" s="454"/>
      <c r="PP2" s="454"/>
      <c r="PQ2" s="454"/>
      <c r="PR2" s="454"/>
      <c r="PS2" s="454"/>
      <c r="PT2" s="454"/>
      <c r="PU2" s="454"/>
      <c r="PV2" s="454"/>
      <c r="PW2" s="454"/>
      <c r="PX2" s="454"/>
      <c r="PY2" s="454"/>
      <c r="PZ2" s="454"/>
      <c r="QA2" s="454" t="s">
        <v>560</v>
      </c>
      <c r="QB2" s="454"/>
      <c r="QC2" s="454"/>
      <c r="QD2" s="454"/>
      <c r="QE2" s="454"/>
      <c r="QF2" s="454"/>
      <c r="QG2" s="454"/>
      <c r="QH2" s="454"/>
      <c r="QI2" s="454"/>
      <c r="QJ2" s="454"/>
      <c r="QK2" s="454"/>
      <c r="QL2" s="454"/>
      <c r="QM2" s="454"/>
      <c r="QN2" s="454"/>
      <c r="QO2" s="454"/>
      <c r="QP2" s="454"/>
      <c r="QQ2" s="454"/>
      <c r="QR2" s="454"/>
      <c r="QS2" s="454"/>
      <c r="QT2" s="454"/>
      <c r="QU2" s="454"/>
      <c r="QV2" s="454"/>
      <c r="QW2" s="454"/>
      <c r="QX2" s="454"/>
      <c r="QY2" s="454"/>
      <c r="QZ2" s="454"/>
      <c r="RA2" s="454" t="s">
        <v>560</v>
      </c>
      <c r="RB2" s="454"/>
      <c r="RC2" s="454"/>
      <c r="RD2" s="454"/>
      <c r="RE2" s="454"/>
      <c r="RF2" s="454"/>
      <c r="RG2" s="454"/>
      <c r="RH2" s="454"/>
      <c r="RI2" s="454"/>
      <c r="RJ2" s="454"/>
      <c r="RK2" s="454"/>
      <c r="RL2" s="454"/>
      <c r="RM2" s="454"/>
      <c r="RN2" s="454"/>
      <c r="RO2" s="454"/>
      <c r="RP2" s="454"/>
      <c r="RQ2" s="454"/>
      <c r="RR2" s="454"/>
      <c r="RS2" s="454"/>
      <c r="RT2" s="454"/>
      <c r="RU2" s="454"/>
      <c r="RV2" s="454"/>
      <c r="RW2" s="454"/>
      <c r="RX2" s="454"/>
      <c r="RY2" s="454"/>
      <c r="RZ2" s="454"/>
      <c r="SA2" s="454" t="s">
        <v>560</v>
      </c>
      <c r="SB2" s="454"/>
      <c r="SC2" s="454"/>
      <c r="SD2" s="454"/>
      <c r="SE2" s="454"/>
      <c r="SF2" s="454"/>
      <c r="SG2" s="454"/>
      <c r="SH2" s="454"/>
      <c r="SI2" s="454"/>
      <c r="SJ2" s="454"/>
      <c r="SK2" s="454"/>
      <c r="SL2" s="454"/>
      <c r="SM2" s="454"/>
      <c r="SN2" s="454"/>
      <c r="SO2" s="454"/>
      <c r="SP2" s="454"/>
      <c r="SQ2" s="454"/>
      <c r="SR2" s="454"/>
      <c r="SS2" s="454"/>
      <c r="ST2" s="454"/>
      <c r="SU2" s="454"/>
      <c r="SV2" s="454"/>
      <c r="SW2" s="454"/>
      <c r="SX2" s="454"/>
      <c r="SY2" s="454"/>
      <c r="SZ2" s="454"/>
      <c r="TA2" s="454" t="s">
        <v>682</v>
      </c>
      <c r="TB2" s="454"/>
      <c r="TC2" s="454"/>
      <c r="TD2" s="454"/>
      <c r="TE2" s="454"/>
      <c r="TF2" s="454"/>
      <c r="TG2" s="454"/>
      <c r="TH2" s="454"/>
      <c r="TI2" s="454"/>
      <c r="TJ2" s="454"/>
      <c r="TK2" s="454"/>
      <c r="TL2" s="454"/>
      <c r="TM2" s="454"/>
      <c r="TN2" s="454"/>
      <c r="TO2" s="454"/>
      <c r="TP2" s="454"/>
      <c r="TQ2" s="454"/>
      <c r="TR2" s="454"/>
      <c r="TS2" s="454"/>
      <c r="TT2" s="454"/>
      <c r="TU2" s="454"/>
      <c r="TV2" s="454"/>
      <c r="TW2" s="454"/>
      <c r="TX2" s="454"/>
      <c r="TY2" s="454"/>
      <c r="TZ2" s="454"/>
      <c r="UA2" s="454"/>
      <c r="UB2" s="454" t="s">
        <v>682</v>
      </c>
      <c r="UC2" s="454"/>
      <c r="UD2" s="454"/>
      <c r="UE2" s="454"/>
      <c r="UF2" s="454"/>
      <c r="UG2" s="454"/>
      <c r="UH2" s="454"/>
      <c r="UI2" s="454"/>
      <c r="UJ2" s="454"/>
      <c r="UK2" s="454"/>
      <c r="UL2" s="454"/>
      <c r="UM2" s="454"/>
      <c r="UN2" s="454"/>
      <c r="UO2" s="454"/>
      <c r="UP2" s="454"/>
      <c r="UQ2" s="454"/>
      <c r="UR2" s="454"/>
      <c r="US2" s="454"/>
      <c r="UT2" s="454"/>
      <c r="UU2" s="454"/>
      <c r="UV2" s="454"/>
      <c r="UW2" s="454"/>
      <c r="UX2" s="454"/>
      <c r="UY2" s="454"/>
      <c r="UZ2" s="454"/>
      <c r="VA2" s="454"/>
      <c r="VB2" s="454" t="s">
        <v>682</v>
      </c>
      <c r="VC2" s="454"/>
      <c r="VD2" s="454"/>
      <c r="VE2" s="454"/>
      <c r="VF2" s="454"/>
      <c r="VG2" s="454"/>
      <c r="VH2" s="454"/>
      <c r="VI2" s="454"/>
      <c r="VJ2" s="454"/>
      <c r="VK2" s="454"/>
      <c r="VL2" s="454"/>
      <c r="VM2" s="454"/>
      <c r="VN2" s="454"/>
      <c r="VO2" s="454"/>
      <c r="VP2" s="454"/>
      <c r="VQ2" s="454"/>
      <c r="VR2" s="454"/>
      <c r="VS2" s="454"/>
      <c r="VT2" s="454"/>
      <c r="VU2" s="454"/>
      <c r="VV2" s="454"/>
      <c r="VW2" s="454"/>
      <c r="VX2" s="454"/>
      <c r="VY2" s="454"/>
      <c r="VZ2" s="454"/>
      <c r="WA2" s="454"/>
      <c r="WB2" s="454" t="s">
        <v>682</v>
      </c>
      <c r="WC2" s="454"/>
      <c r="WD2" s="454"/>
      <c r="WE2" s="454"/>
      <c r="WF2" s="454"/>
      <c r="WG2" s="454"/>
      <c r="WH2" s="454"/>
      <c r="WI2" s="454"/>
      <c r="WJ2" s="454"/>
      <c r="WK2" s="454"/>
      <c r="WL2" s="454"/>
      <c r="WM2" s="454"/>
      <c r="WN2" s="454"/>
      <c r="WO2" s="454"/>
      <c r="WP2" s="454"/>
      <c r="WQ2" s="454"/>
      <c r="WR2" s="454"/>
      <c r="WS2" s="454"/>
      <c r="WT2" s="454"/>
      <c r="WU2" s="454"/>
      <c r="WV2" s="454"/>
      <c r="WW2" s="454"/>
      <c r="WX2" s="454"/>
      <c r="WY2" s="454"/>
      <c r="WZ2" s="454"/>
      <c r="XA2" s="454"/>
      <c r="XB2" s="454" t="s">
        <v>682</v>
      </c>
      <c r="XC2" s="454"/>
      <c r="XD2" s="454"/>
      <c r="XE2" s="454"/>
      <c r="XF2" s="454"/>
      <c r="XG2" s="454"/>
      <c r="XH2" s="454"/>
      <c r="XI2" s="454"/>
      <c r="XJ2" s="454"/>
      <c r="XK2" s="454"/>
      <c r="XL2" s="454"/>
      <c r="XM2" s="454"/>
      <c r="XN2" s="454"/>
      <c r="XO2" s="454"/>
      <c r="XP2" s="454"/>
      <c r="XQ2" s="454"/>
      <c r="XR2" s="454"/>
      <c r="XS2" s="454"/>
      <c r="XT2" s="454"/>
      <c r="XU2" s="454"/>
      <c r="XV2" s="454"/>
      <c r="XW2" s="454"/>
      <c r="XX2" s="454"/>
      <c r="XY2" s="454"/>
      <c r="XZ2" s="454"/>
      <c r="YA2" s="454"/>
      <c r="YB2" s="454" t="s">
        <v>682</v>
      </c>
      <c r="YC2" s="454"/>
      <c r="YD2" s="454"/>
      <c r="YE2" s="454"/>
      <c r="YF2" s="454"/>
      <c r="YG2" s="454"/>
      <c r="YH2" s="454"/>
      <c r="YI2" s="454"/>
      <c r="YJ2" s="454"/>
      <c r="YK2" s="454"/>
      <c r="YL2" s="454"/>
      <c r="YM2" s="454"/>
      <c r="YN2" s="454"/>
      <c r="YO2" s="454"/>
      <c r="YP2" s="454"/>
      <c r="YQ2" s="454"/>
      <c r="YR2" s="454"/>
      <c r="YS2" s="454"/>
      <c r="YT2" s="454"/>
      <c r="YU2" s="454"/>
      <c r="YV2" s="454"/>
      <c r="YW2" s="454"/>
      <c r="YX2" s="454"/>
      <c r="YY2" s="454"/>
      <c r="YZ2" s="454"/>
      <c r="ZA2" s="454"/>
      <c r="ZB2" s="454" t="s">
        <v>682</v>
      </c>
      <c r="ZC2" s="454"/>
      <c r="ZD2" s="454"/>
      <c r="ZE2" s="454"/>
      <c r="ZF2" s="454"/>
      <c r="ZG2" s="454"/>
      <c r="ZH2" s="454"/>
      <c r="ZI2" s="454"/>
      <c r="ZJ2" s="454"/>
      <c r="ZK2" s="454"/>
      <c r="ZL2" s="454"/>
      <c r="ZM2" s="454"/>
      <c r="ZN2" s="454"/>
      <c r="ZO2" s="454"/>
      <c r="ZP2" s="454"/>
      <c r="ZQ2" s="454"/>
      <c r="ZR2" s="454"/>
      <c r="ZS2" s="454"/>
      <c r="ZT2" s="454"/>
      <c r="ZU2" s="454"/>
      <c r="ZV2" s="454"/>
      <c r="ZW2" s="454"/>
      <c r="ZX2" s="454"/>
      <c r="ZY2" s="454"/>
      <c r="ZZ2" s="454"/>
      <c r="AAA2" s="454"/>
      <c r="AAB2" s="454" t="s">
        <v>682</v>
      </c>
      <c r="AAC2" s="454"/>
      <c r="AAD2" s="454"/>
      <c r="AAE2" s="454"/>
      <c r="AAF2" s="454"/>
      <c r="AAG2" s="454"/>
      <c r="AAH2" s="454"/>
      <c r="AAI2" s="454"/>
      <c r="AAJ2" s="454"/>
      <c r="AAK2" s="454"/>
      <c r="AAL2" s="454"/>
      <c r="AAM2" s="454"/>
      <c r="AAN2" s="454"/>
      <c r="AAO2" s="454"/>
      <c r="AAP2" s="454"/>
      <c r="AAQ2" s="454"/>
      <c r="AAR2" s="454"/>
      <c r="AAS2" s="454"/>
      <c r="AAT2" s="454"/>
      <c r="AAU2" s="454"/>
      <c r="AAV2" s="454"/>
      <c r="AAW2" s="454"/>
      <c r="AAX2" s="454"/>
      <c r="AAY2" s="454"/>
      <c r="AAZ2" s="454"/>
      <c r="ABA2" s="454"/>
      <c r="ABB2" s="454" t="s">
        <v>682</v>
      </c>
      <c r="ABC2" s="454"/>
      <c r="ABD2" s="454"/>
      <c r="ABE2" s="454"/>
      <c r="ABF2" s="454"/>
      <c r="ABG2" s="454"/>
      <c r="ABH2" s="454"/>
      <c r="ABI2" s="454"/>
      <c r="ABJ2" s="454"/>
      <c r="ABK2" s="454"/>
      <c r="ABL2" s="454"/>
      <c r="ABM2" s="454"/>
      <c r="ABN2" s="454"/>
      <c r="ABO2" s="454"/>
      <c r="ABP2" s="454"/>
      <c r="ABQ2" s="454"/>
      <c r="ABR2" s="454"/>
      <c r="ABS2" s="454"/>
      <c r="ABT2" s="454"/>
      <c r="ABU2" s="454"/>
      <c r="ABV2" s="454"/>
      <c r="ABW2" s="454"/>
      <c r="ABX2" s="454"/>
      <c r="ABY2" s="454"/>
      <c r="ABZ2" s="454"/>
      <c r="ACA2" s="454"/>
      <c r="ACB2" s="454" t="s">
        <v>682</v>
      </c>
      <c r="ACC2" s="454"/>
      <c r="ACD2" s="454"/>
      <c r="ACE2" s="454"/>
      <c r="ACF2" s="454"/>
      <c r="ACG2" s="454"/>
      <c r="ACH2" s="454"/>
      <c r="ACI2" s="454"/>
      <c r="ACJ2" s="454"/>
      <c r="ACK2" s="454"/>
      <c r="ACL2" s="454"/>
      <c r="ACM2" s="454"/>
      <c r="ACN2" s="454"/>
      <c r="ACO2" s="454"/>
      <c r="ACP2" s="454"/>
      <c r="ACQ2" s="454"/>
      <c r="ACR2" s="454"/>
      <c r="ACS2" s="454"/>
      <c r="ACT2" s="454"/>
      <c r="ACU2" s="454"/>
      <c r="ACV2" s="454"/>
      <c r="ACW2" s="454"/>
      <c r="ACX2" s="454"/>
      <c r="ACY2" s="454"/>
      <c r="ACZ2" s="454"/>
      <c r="ADA2" s="454"/>
      <c r="ADB2" s="454" t="s">
        <v>682</v>
      </c>
      <c r="ADC2" s="454"/>
      <c r="ADD2" s="454"/>
      <c r="ADE2" s="454"/>
      <c r="ADF2" s="454"/>
      <c r="ADG2" s="454"/>
      <c r="ADH2" s="454"/>
      <c r="ADI2" s="454"/>
      <c r="ADJ2" s="454"/>
      <c r="ADK2" s="454"/>
      <c r="ADL2" s="454"/>
      <c r="ADM2" s="454"/>
      <c r="ADN2" s="454"/>
      <c r="ADO2" s="454"/>
      <c r="ADP2" s="454"/>
      <c r="ADQ2" s="454"/>
      <c r="ADR2" s="454"/>
      <c r="ADS2" s="454"/>
      <c r="ADT2" s="454"/>
      <c r="ADU2" s="454"/>
      <c r="ADV2" s="454"/>
      <c r="ADW2" s="454"/>
      <c r="ADX2" s="454"/>
      <c r="ADY2" s="454"/>
      <c r="ADZ2" s="454"/>
      <c r="AEA2" s="454"/>
      <c r="AEB2" s="454" t="s">
        <v>682</v>
      </c>
      <c r="AEC2" s="454"/>
      <c r="AED2" s="454"/>
      <c r="AEE2" s="454"/>
      <c r="AEF2" s="454"/>
      <c r="AEG2" s="454"/>
      <c r="AEH2" s="454"/>
      <c r="AEI2" s="454"/>
      <c r="AEJ2" s="454"/>
      <c r="AEK2" s="454"/>
      <c r="AEL2" s="454"/>
      <c r="AEM2" s="454"/>
      <c r="AEN2" s="454"/>
      <c r="AEO2" s="454"/>
      <c r="AEP2" s="454"/>
      <c r="AEQ2" s="454"/>
      <c r="AER2" s="454"/>
      <c r="AES2" s="454"/>
      <c r="AET2" s="454"/>
      <c r="AEU2" s="454"/>
      <c r="AEV2" s="454"/>
      <c r="AEW2" s="454"/>
      <c r="AEX2" s="454"/>
      <c r="AEY2" s="454"/>
      <c r="AEZ2" s="454"/>
      <c r="AFA2" s="454"/>
      <c r="AFB2" s="454"/>
      <c r="AFC2" s="454" t="s">
        <v>682</v>
      </c>
      <c r="AFD2" s="454"/>
      <c r="AFE2" s="454"/>
      <c r="AFF2" s="454"/>
      <c r="AFG2" s="454"/>
      <c r="AFH2" s="454"/>
      <c r="AFI2" s="454"/>
      <c r="AFJ2" s="454"/>
      <c r="AFK2" s="454"/>
      <c r="AFL2" s="454"/>
      <c r="AFM2" s="454"/>
      <c r="AFN2" s="454"/>
      <c r="AFO2" s="454"/>
      <c r="AFP2" s="454"/>
      <c r="AFQ2" s="454"/>
      <c r="AFR2" s="454"/>
      <c r="AFS2" s="454"/>
      <c r="AFT2" s="454"/>
      <c r="AFU2" s="454"/>
      <c r="AFV2" s="454"/>
      <c r="AFW2" s="454"/>
      <c r="AFX2" s="454"/>
      <c r="AFY2" s="454"/>
      <c r="AFZ2" s="454"/>
      <c r="AGA2" s="454"/>
      <c r="AGB2" s="454"/>
      <c r="AGC2" s="454" t="s">
        <v>682</v>
      </c>
      <c r="AGD2" s="454"/>
      <c r="AGE2" s="454"/>
      <c r="AGF2" s="454"/>
      <c r="AGG2" s="454"/>
      <c r="AGH2" s="454"/>
      <c r="AGI2" s="454"/>
      <c r="AGJ2" s="454"/>
      <c r="AGK2" s="454"/>
      <c r="AGL2" s="454"/>
      <c r="AGM2" s="454"/>
      <c r="AGN2" s="454"/>
      <c r="AGO2" s="454"/>
      <c r="AGP2" s="454"/>
      <c r="AGQ2" s="454"/>
      <c r="AGR2" s="454"/>
      <c r="AGS2" s="454"/>
      <c r="AGT2" s="454"/>
      <c r="AGU2" s="454"/>
      <c r="AGV2" s="454"/>
      <c r="AGW2" s="454"/>
      <c r="AGX2" s="454"/>
      <c r="AGY2" s="454"/>
      <c r="AGZ2" s="454"/>
      <c r="AHA2" s="454"/>
      <c r="AHB2" s="454"/>
      <c r="AHC2" s="454" t="s">
        <v>682</v>
      </c>
      <c r="AHD2" s="454"/>
      <c r="AHE2" s="454"/>
      <c r="AHF2" s="454"/>
      <c r="AHG2" s="454"/>
      <c r="AHH2" s="454"/>
      <c r="AHI2" s="454"/>
      <c r="AHJ2" s="454"/>
      <c r="AHK2" s="454"/>
      <c r="AHL2" s="454"/>
      <c r="AHM2" s="454"/>
      <c r="AHN2" s="454"/>
      <c r="AHO2" s="454"/>
      <c r="AHP2" s="454"/>
      <c r="AHQ2" s="454"/>
      <c r="AHR2" s="454"/>
      <c r="AHS2" s="454"/>
      <c r="AHT2" s="454"/>
      <c r="AHU2" s="454"/>
      <c r="AHV2" s="454"/>
      <c r="AHW2" s="454"/>
      <c r="AHX2" s="454"/>
      <c r="AHY2" s="454"/>
      <c r="AHZ2" s="454"/>
      <c r="AIA2" s="454"/>
      <c r="AIB2" s="454"/>
      <c r="AIC2" s="454" t="s">
        <v>682</v>
      </c>
      <c r="AID2" s="454"/>
      <c r="AIE2" s="454"/>
      <c r="AIF2" s="454"/>
      <c r="AIG2" s="454"/>
      <c r="AIH2" s="454"/>
      <c r="AII2" s="454"/>
      <c r="AIJ2" s="454"/>
      <c r="AIK2" s="454"/>
      <c r="AIL2" s="454"/>
      <c r="AIM2" s="454"/>
      <c r="AIN2" s="454"/>
      <c r="AIO2" s="454"/>
      <c r="AIP2" s="454"/>
      <c r="AIQ2" s="454"/>
      <c r="AIR2" s="454"/>
      <c r="AIS2" s="454"/>
      <c r="AIT2" s="454"/>
      <c r="AIU2" s="454"/>
      <c r="AIV2" s="454"/>
      <c r="AIW2" s="454"/>
      <c r="AIX2" s="454"/>
      <c r="AIY2" s="454"/>
      <c r="AIZ2" s="454"/>
      <c r="AJA2" s="454"/>
      <c r="AJB2" s="454"/>
      <c r="AJC2" s="454" t="s">
        <v>682</v>
      </c>
      <c r="AJD2" s="454"/>
      <c r="AJE2" s="454"/>
      <c r="AJF2" s="454"/>
      <c r="AJG2" s="454"/>
      <c r="AJH2" s="454"/>
      <c r="AJI2" s="454"/>
      <c r="AJJ2" s="454"/>
      <c r="AJK2" s="454"/>
      <c r="AJL2" s="454"/>
      <c r="AJM2" s="454"/>
      <c r="AJN2" s="454"/>
      <c r="AJO2" s="454"/>
      <c r="AJP2" s="454"/>
      <c r="AJQ2" s="454"/>
      <c r="AJR2" s="454"/>
      <c r="AJS2" s="454"/>
      <c r="AJT2" s="454"/>
      <c r="AJU2" s="454"/>
      <c r="AJV2" s="454"/>
      <c r="AJW2" s="454"/>
      <c r="AJX2" s="454"/>
      <c r="AJY2" s="454"/>
      <c r="AJZ2" s="454"/>
      <c r="AKA2" s="454"/>
      <c r="AKB2" s="454"/>
      <c r="AKC2" s="454" t="s">
        <v>682</v>
      </c>
      <c r="AKD2" s="454"/>
      <c r="AKE2" s="454"/>
      <c r="AKF2" s="454"/>
      <c r="AKG2" s="454"/>
      <c r="AKH2" s="454"/>
      <c r="AKI2" s="454"/>
      <c r="AKJ2" s="454"/>
      <c r="AKK2" s="454"/>
      <c r="AKL2" s="454"/>
      <c r="AKM2" s="454"/>
      <c r="AKN2" s="454"/>
      <c r="AKO2" s="454"/>
      <c r="AKP2" s="454"/>
      <c r="AKQ2" s="454"/>
      <c r="AKR2" s="454"/>
      <c r="AKS2" s="454"/>
      <c r="AKT2" s="454"/>
      <c r="AKU2" s="454"/>
      <c r="AKV2" s="454"/>
      <c r="AKW2" s="454"/>
      <c r="AKX2" s="454"/>
      <c r="AKY2" s="454"/>
      <c r="AKZ2" s="454"/>
      <c r="ALA2" s="454"/>
      <c r="ALB2" s="454"/>
      <c r="ALC2" s="454" t="s">
        <v>682</v>
      </c>
      <c r="ALD2" s="454"/>
      <c r="ALE2" s="454"/>
      <c r="ALF2" s="454"/>
      <c r="ALG2" s="454"/>
      <c r="ALH2" s="454"/>
      <c r="ALI2" s="454"/>
      <c r="ALJ2" s="454"/>
      <c r="ALK2" s="454"/>
      <c r="ALL2" s="454"/>
      <c r="ALM2" s="454"/>
      <c r="ALN2" s="454"/>
      <c r="ALO2" s="454"/>
      <c r="ALP2" s="454"/>
      <c r="ALQ2" s="454"/>
      <c r="ALR2" s="454"/>
      <c r="ALS2" s="454"/>
      <c r="ALT2" s="454"/>
      <c r="ALU2" s="454"/>
      <c r="ALV2" s="454"/>
      <c r="ALW2" s="454"/>
      <c r="ALX2" s="454"/>
      <c r="ALY2" s="454"/>
      <c r="ALZ2" s="454"/>
      <c r="AMA2" s="454"/>
      <c r="AMB2" s="454"/>
      <c r="AMC2" s="454" t="s">
        <v>682</v>
      </c>
      <c r="AMD2" s="454"/>
      <c r="AME2" s="454"/>
      <c r="AMF2" s="454"/>
      <c r="AMG2" s="454"/>
      <c r="AMH2" s="454"/>
      <c r="AMI2" s="454"/>
      <c r="AMJ2" s="454"/>
      <c r="AMK2" s="454"/>
      <c r="AML2" s="454"/>
      <c r="AMM2" s="454"/>
      <c r="AMN2" s="454"/>
      <c r="AMO2" s="454"/>
      <c r="AMP2" s="454"/>
      <c r="AMQ2" s="454"/>
      <c r="AMR2" s="454"/>
      <c r="AMS2" s="454"/>
      <c r="AMT2" s="454"/>
      <c r="AMU2" s="454"/>
      <c r="AMV2" s="454"/>
      <c r="AMW2" s="454"/>
      <c r="AMX2" s="454"/>
      <c r="AMY2" s="454"/>
      <c r="AMZ2" s="454"/>
      <c r="ANA2" s="454"/>
      <c r="ANB2" s="454"/>
      <c r="ANC2" s="454"/>
      <c r="AND2" s="454" t="s">
        <v>682</v>
      </c>
      <c r="ANE2" s="454"/>
      <c r="ANF2" s="454"/>
      <c r="ANG2" s="454"/>
      <c r="ANH2" s="454"/>
      <c r="ANI2" s="454"/>
      <c r="ANJ2" s="454"/>
      <c r="ANK2" s="454"/>
      <c r="ANL2" s="454"/>
      <c r="ANM2" s="454"/>
      <c r="ANN2" s="454"/>
      <c r="ANO2" s="454"/>
      <c r="ANP2" s="454"/>
      <c r="ANQ2" s="454"/>
      <c r="ANR2" s="454"/>
      <c r="ANS2" s="454"/>
      <c r="ANT2" s="454"/>
      <c r="ANU2" s="454"/>
      <c r="ANV2" s="454"/>
      <c r="ANW2" s="454"/>
      <c r="ANX2" s="454"/>
      <c r="ANY2" s="454"/>
      <c r="ANZ2" s="454"/>
      <c r="AOA2" s="454"/>
      <c r="AOB2" s="454"/>
      <c r="AOC2" s="454"/>
      <c r="AOD2" s="454"/>
      <c r="AOE2" s="454" t="s">
        <v>682</v>
      </c>
      <c r="AOF2" s="454"/>
      <c r="AOG2" s="454"/>
      <c r="AOH2" s="454"/>
      <c r="AOI2" s="454"/>
      <c r="AOJ2" s="454"/>
      <c r="AOK2" s="454"/>
      <c r="AOL2" s="454"/>
      <c r="AOM2" s="454"/>
      <c r="AON2" s="454"/>
      <c r="AOO2" s="454"/>
      <c r="AOP2" s="454"/>
      <c r="AOQ2" s="454"/>
      <c r="AOR2" s="454"/>
      <c r="AOS2" s="454"/>
      <c r="AOT2" s="454"/>
      <c r="AOU2" s="454"/>
      <c r="AOV2" s="454"/>
      <c r="AOW2" s="454"/>
      <c r="AOX2" s="454"/>
      <c r="AOY2" s="454"/>
      <c r="AOZ2" s="454"/>
      <c r="APA2" s="454"/>
      <c r="APB2" s="454"/>
      <c r="APC2" s="454"/>
      <c r="APD2" s="454"/>
      <c r="APE2" s="454"/>
    </row>
    <row r="3" spans="1:1097" ht="25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</row>
    <row r="4" spans="1:1097" ht="29.25" customHeight="1" x14ac:dyDescent="0.4">
      <c r="A4" s="2" t="s">
        <v>72</v>
      </c>
      <c r="B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 t="s">
        <v>72</v>
      </c>
      <c r="AB4" s="1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2" t="s">
        <v>72</v>
      </c>
      <c r="BB4" s="1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2" t="s">
        <v>72</v>
      </c>
      <c r="CB4" s="1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2" t="s">
        <v>72</v>
      </c>
      <c r="DB4" s="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2" t="s">
        <v>72</v>
      </c>
      <c r="EB4" s="1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2" t="s">
        <v>72</v>
      </c>
      <c r="FB4" s="1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2" t="s">
        <v>72</v>
      </c>
      <c r="GB4" s="1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2" t="s">
        <v>72</v>
      </c>
      <c r="HB4" s="1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2" t="s">
        <v>72</v>
      </c>
      <c r="IB4" s="1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2" t="s">
        <v>72</v>
      </c>
      <c r="JB4" s="1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2" t="s">
        <v>72</v>
      </c>
      <c r="KB4" s="1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2" t="s">
        <v>72</v>
      </c>
      <c r="LB4" s="1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2" t="s">
        <v>72</v>
      </c>
      <c r="MB4" s="1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2" t="s">
        <v>72</v>
      </c>
      <c r="NB4" s="1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2" t="s">
        <v>72</v>
      </c>
      <c r="OB4" s="1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2" t="s">
        <v>72</v>
      </c>
      <c r="PB4" s="1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2" t="s">
        <v>72</v>
      </c>
      <c r="QB4" s="1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2" t="s">
        <v>72</v>
      </c>
      <c r="RB4" s="1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2" t="s">
        <v>72</v>
      </c>
      <c r="SB4" s="1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2" t="s">
        <v>72</v>
      </c>
      <c r="TB4" s="1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2" t="s">
        <v>72</v>
      </c>
      <c r="UC4" s="1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2" t="s">
        <v>72</v>
      </c>
      <c r="VC4" s="1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2" t="s">
        <v>72</v>
      </c>
      <c r="WC4" s="1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2" t="s">
        <v>72</v>
      </c>
      <c r="XC4" s="1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2" t="s">
        <v>72</v>
      </c>
      <c r="YC4" s="1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2" t="s">
        <v>72</v>
      </c>
      <c r="ZC4" s="1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2" t="s">
        <v>72</v>
      </c>
      <c r="AAC4" s="1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2" t="s">
        <v>72</v>
      </c>
      <c r="ABC4" s="1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2" t="s">
        <v>72</v>
      </c>
      <c r="ACC4" s="1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2" t="s">
        <v>72</v>
      </c>
      <c r="ADC4" s="1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2" t="s">
        <v>72</v>
      </c>
      <c r="AEC4" s="1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2" t="s">
        <v>72</v>
      </c>
      <c r="AFD4" s="1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2" t="s">
        <v>72</v>
      </c>
      <c r="AGD4" s="1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2" t="s">
        <v>72</v>
      </c>
      <c r="AHD4" s="1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2" t="s">
        <v>72</v>
      </c>
      <c r="AID4" s="1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2" t="s">
        <v>72</v>
      </c>
      <c r="AJD4" s="1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2" t="s">
        <v>72</v>
      </c>
      <c r="AKD4" s="1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2" t="s">
        <v>72</v>
      </c>
      <c r="ALD4" s="1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2" t="s">
        <v>72</v>
      </c>
      <c r="AMD4" s="1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2" t="s">
        <v>72</v>
      </c>
      <c r="ANE4" s="1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2" t="s">
        <v>72</v>
      </c>
      <c r="AOF4" s="1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</row>
    <row r="5" spans="1:1097" ht="29.25" customHeight="1" x14ac:dyDescent="0.4">
      <c r="A5" s="1" t="s">
        <v>71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 t="s">
        <v>71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" t="s">
        <v>71</v>
      </c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" t="s">
        <v>71</v>
      </c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1" t="s">
        <v>71</v>
      </c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1" t="s">
        <v>71</v>
      </c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1" t="s">
        <v>71</v>
      </c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1" t="s">
        <v>71</v>
      </c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1" t="s">
        <v>71</v>
      </c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1" t="s">
        <v>71</v>
      </c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1" t="s">
        <v>71</v>
      </c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1" t="s">
        <v>71</v>
      </c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1" t="s">
        <v>71</v>
      </c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1" t="s">
        <v>71</v>
      </c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1" t="s">
        <v>71</v>
      </c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1" t="s">
        <v>71</v>
      </c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1" t="s">
        <v>71</v>
      </c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1" t="s">
        <v>71</v>
      </c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1" t="s">
        <v>71</v>
      </c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1" t="s">
        <v>71</v>
      </c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1" t="s">
        <v>71</v>
      </c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1" t="s">
        <v>71</v>
      </c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1" t="s">
        <v>71</v>
      </c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1" t="s">
        <v>71</v>
      </c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1" t="s">
        <v>71</v>
      </c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1" t="s">
        <v>71</v>
      </c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1" t="s">
        <v>71</v>
      </c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1" t="s">
        <v>71</v>
      </c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1" t="s">
        <v>71</v>
      </c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1" t="s">
        <v>71</v>
      </c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1" t="s">
        <v>71</v>
      </c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1" t="s">
        <v>71</v>
      </c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1" t="s">
        <v>71</v>
      </c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1" t="s">
        <v>71</v>
      </c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1" t="s">
        <v>71</v>
      </c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1" t="s">
        <v>71</v>
      </c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1" t="s">
        <v>71</v>
      </c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1" t="s">
        <v>71</v>
      </c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1" t="s">
        <v>71</v>
      </c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1" t="s">
        <v>71</v>
      </c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1" t="s">
        <v>71</v>
      </c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1" t="s">
        <v>71</v>
      </c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</row>
    <row r="6" spans="1:1097" ht="27" customHeight="1" x14ac:dyDescent="0.4">
      <c r="A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1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1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1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1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1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1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1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1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1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1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1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1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1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1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1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1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1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1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1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1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1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1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1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1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1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1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1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1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1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1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1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1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1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1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1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1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1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</row>
    <row r="7" spans="1:1097" ht="21.75" customHeight="1" x14ac:dyDescent="0.4">
      <c r="A7" s="1" t="s">
        <v>0</v>
      </c>
      <c r="B7" s="1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 t="s">
        <v>0</v>
      </c>
      <c r="AB7" s="1"/>
      <c r="AD7" s="4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" t="s">
        <v>0</v>
      </c>
      <c r="BB7" s="1"/>
      <c r="BD7" s="4"/>
      <c r="BE7" s="4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" t="s">
        <v>0</v>
      </c>
      <c r="CB7" s="1"/>
      <c r="CD7" s="4"/>
      <c r="CE7" s="4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" t="s">
        <v>0</v>
      </c>
      <c r="DB7" s="1"/>
      <c r="DD7" s="4"/>
      <c r="DE7" s="4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1" t="s">
        <v>0</v>
      </c>
      <c r="EB7" s="1"/>
      <c r="ED7" s="4"/>
      <c r="EE7" s="4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1" t="s">
        <v>0</v>
      </c>
      <c r="FB7" s="1"/>
      <c r="FD7" s="4"/>
      <c r="FE7" s="4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1" t="s">
        <v>0</v>
      </c>
      <c r="GB7" s="1"/>
      <c r="GD7" s="4"/>
      <c r="GE7" s="4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1" t="s">
        <v>0</v>
      </c>
      <c r="HB7" s="1"/>
      <c r="HD7" s="4"/>
      <c r="HE7" s="4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1" t="s">
        <v>0</v>
      </c>
      <c r="IB7" s="1"/>
      <c r="ID7" s="4"/>
      <c r="IE7" s="4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1" t="s">
        <v>0</v>
      </c>
      <c r="JB7" s="1"/>
      <c r="JD7" s="4"/>
      <c r="JE7" s="4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1" t="s">
        <v>0</v>
      </c>
      <c r="KB7" s="1"/>
      <c r="KD7" s="4"/>
      <c r="KE7" s="4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1" t="s">
        <v>0</v>
      </c>
      <c r="LB7" s="1"/>
      <c r="LD7" s="4"/>
      <c r="LE7" s="4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1" t="s">
        <v>0</v>
      </c>
      <c r="MB7" s="1"/>
      <c r="MD7" s="4"/>
      <c r="ME7" s="4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1" t="s">
        <v>0</v>
      </c>
      <c r="NB7" s="1"/>
      <c r="ND7" s="4"/>
      <c r="NE7" s="4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1" t="s">
        <v>0</v>
      </c>
      <c r="OB7" s="1"/>
      <c r="OD7" s="4"/>
      <c r="OE7" s="4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1" t="s">
        <v>0</v>
      </c>
      <c r="PB7" s="1"/>
      <c r="PD7" s="4"/>
      <c r="PE7" s="4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1" t="s">
        <v>0</v>
      </c>
      <c r="QB7" s="1"/>
      <c r="QD7" s="4"/>
      <c r="QE7" s="4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1" t="s">
        <v>0</v>
      </c>
      <c r="RB7" s="1"/>
      <c r="RD7" s="4"/>
      <c r="RE7" s="4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1" t="s">
        <v>0</v>
      </c>
      <c r="SB7" s="1"/>
      <c r="SD7" s="4"/>
      <c r="SE7" s="4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1" t="s">
        <v>0</v>
      </c>
      <c r="TB7" s="1"/>
      <c r="TD7" s="4"/>
      <c r="TE7" s="4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1" t="s">
        <v>0</v>
      </c>
      <c r="UC7" s="1"/>
      <c r="UE7" s="4"/>
      <c r="UF7" s="4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1" t="s">
        <v>0</v>
      </c>
      <c r="VC7" s="1"/>
      <c r="VE7" s="4"/>
      <c r="VF7" s="4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1" t="s">
        <v>0</v>
      </c>
      <c r="WC7" s="1"/>
      <c r="WE7" s="4"/>
      <c r="WF7" s="4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1" t="s">
        <v>0</v>
      </c>
      <c r="XC7" s="1"/>
      <c r="XE7" s="4"/>
      <c r="XF7" s="4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1" t="s">
        <v>0</v>
      </c>
      <c r="YC7" s="1"/>
      <c r="YE7" s="4"/>
      <c r="YF7" s="4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1" t="s">
        <v>0</v>
      </c>
      <c r="ZC7" s="1"/>
      <c r="ZE7" s="4"/>
      <c r="ZF7" s="4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1" t="s">
        <v>0</v>
      </c>
      <c r="AAC7" s="1"/>
      <c r="AAE7" s="4"/>
      <c r="AAF7" s="4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1" t="s">
        <v>0</v>
      </c>
      <c r="ABC7" s="1"/>
      <c r="ABE7" s="4"/>
      <c r="ABF7" s="4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1" t="s">
        <v>0</v>
      </c>
      <c r="ACC7" s="1"/>
      <c r="ACE7" s="4"/>
      <c r="ACF7" s="4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1" t="s">
        <v>0</v>
      </c>
      <c r="ADC7" s="1"/>
      <c r="ADE7" s="4"/>
      <c r="ADF7" s="4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1" t="s">
        <v>0</v>
      </c>
      <c r="AEC7" s="1"/>
      <c r="AEE7" s="4"/>
      <c r="AEF7" s="4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1" t="s">
        <v>0</v>
      </c>
      <c r="AFD7" s="1"/>
      <c r="AFF7" s="4"/>
      <c r="AFG7" s="4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1" t="s">
        <v>0</v>
      </c>
      <c r="AGD7" s="1"/>
      <c r="AGF7" s="4"/>
      <c r="AGG7" s="4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1" t="s">
        <v>0</v>
      </c>
      <c r="AHD7" s="1"/>
      <c r="AHF7" s="4"/>
      <c r="AHG7" s="4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1" t="s">
        <v>0</v>
      </c>
      <c r="AID7" s="1"/>
      <c r="AIF7" s="4"/>
      <c r="AIG7" s="4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1" t="s">
        <v>0</v>
      </c>
      <c r="AJD7" s="1"/>
      <c r="AJF7" s="4"/>
      <c r="AJG7" s="4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1" t="s">
        <v>0</v>
      </c>
      <c r="AKD7" s="1"/>
      <c r="AKF7" s="4"/>
      <c r="AKG7" s="4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1" t="s">
        <v>0</v>
      </c>
      <c r="ALD7" s="1"/>
      <c r="ALF7" s="4"/>
      <c r="ALG7" s="4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1" t="s">
        <v>0</v>
      </c>
      <c r="AMD7" s="1"/>
      <c r="AMF7" s="4"/>
      <c r="AMG7" s="4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1" t="s">
        <v>0</v>
      </c>
      <c r="ANE7" s="1"/>
      <c r="ANG7" s="4"/>
      <c r="ANH7" s="4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1" t="s">
        <v>0</v>
      </c>
      <c r="AOF7" s="1"/>
      <c r="AOH7" s="4"/>
      <c r="AOI7" s="4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</row>
    <row r="8" spans="1:1097" ht="29.25" customHeight="1" x14ac:dyDescent="0.4">
      <c r="A8" s="1" t="s">
        <v>683</v>
      </c>
      <c r="B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 t="s">
        <v>683</v>
      </c>
      <c r="AB8" s="1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" t="s">
        <v>683</v>
      </c>
      <c r="BB8" s="1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1" t="s">
        <v>683</v>
      </c>
      <c r="CB8" s="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" t="s">
        <v>683</v>
      </c>
      <c r="DB8" s="1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1" t="s">
        <v>683</v>
      </c>
      <c r="EB8" s="1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1" t="s">
        <v>683</v>
      </c>
      <c r="FB8" s="1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1" t="s">
        <v>683</v>
      </c>
      <c r="GB8" s="1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1" t="s">
        <v>683</v>
      </c>
      <c r="HB8" s="1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1" t="s">
        <v>683</v>
      </c>
      <c r="IB8" s="1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1" t="s">
        <v>683</v>
      </c>
      <c r="JB8" s="1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1" t="s">
        <v>683</v>
      </c>
      <c r="KB8" s="1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1" t="s">
        <v>683</v>
      </c>
      <c r="LB8" s="1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1" t="s">
        <v>683</v>
      </c>
      <c r="MB8" s="1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1" t="s">
        <v>683</v>
      </c>
      <c r="NB8" s="1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1" t="s">
        <v>683</v>
      </c>
      <c r="OB8" s="1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1" t="s">
        <v>683</v>
      </c>
      <c r="PB8" s="1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1" t="s">
        <v>683</v>
      </c>
      <c r="QB8" s="1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1" t="s">
        <v>683</v>
      </c>
      <c r="RB8" s="1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1" t="s">
        <v>683</v>
      </c>
      <c r="SB8" s="1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1" t="s">
        <v>683</v>
      </c>
      <c r="TB8" s="1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1" t="s">
        <v>683</v>
      </c>
      <c r="UC8" s="1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1" t="s">
        <v>683</v>
      </c>
      <c r="VC8" s="1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1" t="s">
        <v>683</v>
      </c>
      <c r="WC8" s="1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1" t="s">
        <v>683</v>
      </c>
      <c r="XC8" s="1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1" t="s">
        <v>683</v>
      </c>
      <c r="YC8" s="1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1" t="s">
        <v>683</v>
      </c>
      <c r="ZC8" s="1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1" t="s">
        <v>683</v>
      </c>
      <c r="AAC8" s="1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1" t="s">
        <v>683</v>
      </c>
      <c r="ABC8" s="1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1" t="s">
        <v>683</v>
      </c>
      <c r="ACC8" s="1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1" t="s">
        <v>683</v>
      </c>
      <c r="ADC8" s="1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1" t="s">
        <v>683</v>
      </c>
      <c r="AEC8" s="1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1" t="s">
        <v>683</v>
      </c>
      <c r="AFD8" s="1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1" t="s">
        <v>683</v>
      </c>
      <c r="AGD8" s="1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1" t="s">
        <v>683</v>
      </c>
      <c r="AHD8" s="1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1" t="s">
        <v>683</v>
      </c>
      <c r="AID8" s="1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1" t="s">
        <v>683</v>
      </c>
      <c r="AJD8" s="1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1" t="s">
        <v>683</v>
      </c>
      <c r="AKD8" s="1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1" t="s">
        <v>683</v>
      </c>
      <c r="ALD8" s="1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1" t="s">
        <v>683</v>
      </c>
      <c r="AMD8" s="1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1" t="s">
        <v>683</v>
      </c>
      <c r="ANE8" s="1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1" t="s">
        <v>683</v>
      </c>
      <c r="AOF8" s="1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</row>
    <row r="9" spans="1:1097" ht="30" customHeight="1" x14ac:dyDescent="0.4">
      <c r="A9" s="455"/>
      <c r="B9" s="455"/>
      <c r="C9" s="455"/>
      <c r="D9" s="455"/>
      <c r="E9" s="39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640</v>
      </c>
      <c r="AA9" s="455"/>
      <c r="AB9" s="455"/>
      <c r="AC9" s="455"/>
      <c r="AD9" s="455"/>
      <c r="AE9" s="399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 t="s">
        <v>640</v>
      </c>
      <c r="BA9" s="455"/>
      <c r="BB9" s="455"/>
      <c r="BC9" s="455"/>
      <c r="BD9" s="455"/>
      <c r="BE9" s="399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 t="s">
        <v>640</v>
      </c>
      <c r="CA9" s="455"/>
      <c r="CB9" s="455"/>
      <c r="CC9" s="455"/>
      <c r="CD9" s="455"/>
      <c r="CE9" s="399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 t="s">
        <v>640</v>
      </c>
      <c r="DA9" s="455"/>
      <c r="DB9" s="455"/>
      <c r="DC9" s="455"/>
      <c r="DD9" s="455"/>
      <c r="DE9" s="399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 t="s">
        <v>640</v>
      </c>
      <c r="EA9" s="455"/>
      <c r="EB9" s="455"/>
      <c r="EC9" s="455"/>
      <c r="ED9" s="455"/>
      <c r="EE9" s="399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 t="s">
        <v>592</v>
      </c>
      <c r="FA9" s="455"/>
      <c r="FB9" s="455"/>
      <c r="FC9" s="455"/>
      <c r="FD9" s="455"/>
      <c r="FE9" s="399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 t="s">
        <v>640</v>
      </c>
      <c r="GA9" s="455"/>
      <c r="GB9" s="455"/>
      <c r="GC9" s="455"/>
      <c r="GD9" s="455"/>
      <c r="GE9" s="399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 t="s">
        <v>640</v>
      </c>
      <c r="HA9" s="455"/>
      <c r="HB9" s="455"/>
      <c r="HC9" s="455"/>
      <c r="HD9" s="455"/>
      <c r="HE9" s="399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 t="s">
        <v>640</v>
      </c>
      <c r="IA9" s="455"/>
      <c r="IB9" s="455"/>
      <c r="IC9" s="455"/>
      <c r="ID9" s="455"/>
      <c r="IE9" s="399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 t="s">
        <v>640</v>
      </c>
      <c r="JA9" s="455"/>
      <c r="JB9" s="455"/>
      <c r="JC9" s="455"/>
      <c r="JD9" s="455"/>
      <c r="JE9" s="399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 t="s">
        <v>640</v>
      </c>
      <c r="KA9" s="455"/>
      <c r="KB9" s="455"/>
      <c r="KC9" s="455"/>
      <c r="KD9" s="455"/>
      <c r="KE9" s="399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 t="s">
        <v>640</v>
      </c>
      <c r="LA9" s="455"/>
      <c r="LB9" s="455"/>
      <c r="LC9" s="455"/>
      <c r="LD9" s="455"/>
      <c r="LE9" s="399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 t="s">
        <v>640</v>
      </c>
      <c r="MA9" s="455"/>
      <c r="MB9" s="455"/>
      <c r="MC9" s="455"/>
      <c r="MD9" s="455"/>
      <c r="ME9" s="399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 t="s">
        <v>592</v>
      </c>
      <c r="NA9" s="455"/>
      <c r="NB9" s="455"/>
      <c r="NC9" s="455"/>
      <c r="ND9" s="455"/>
      <c r="NE9" s="399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 t="s">
        <v>592</v>
      </c>
      <c r="OA9" s="455"/>
      <c r="OB9" s="455"/>
      <c r="OC9" s="455"/>
      <c r="OD9" s="455"/>
      <c r="OE9" s="399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 t="s">
        <v>592</v>
      </c>
      <c r="PA9" s="455"/>
      <c r="PB9" s="455"/>
      <c r="PC9" s="455"/>
      <c r="PD9" s="455"/>
      <c r="PE9" s="399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 t="s">
        <v>592</v>
      </c>
      <c r="QA9" s="455"/>
      <c r="QB9" s="455"/>
      <c r="QC9" s="455"/>
      <c r="QD9" s="455"/>
      <c r="QE9" s="399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 t="s">
        <v>592</v>
      </c>
      <c r="RA9" s="455"/>
      <c r="RB9" s="455"/>
      <c r="RC9" s="455"/>
      <c r="RD9" s="455"/>
      <c r="RE9" s="399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 t="s">
        <v>592</v>
      </c>
      <c r="SA9" s="455"/>
      <c r="SB9" s="455"/>
      <c r="SC9" s="455"/>
      <c r="SD9" s="455"/>
      <c r="SE9" s="399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 t="s">
        <v>592</v>
      </c>
      <c r="TA9" s="455"/>
      <c r="TB9" s="455"/>
      <c r="TC9" s="455"/>
      <c r="TD9" s="455"/>
      <c r="TE9" s="399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 t="s">
        <v>592</v>
      </c>
      <c r="UB9" s="455"/>
      <c r="UC9" s="455"/>
      <c r="UD9" s="455"/>
      <c r="UE9" s="455"/>
      <c r="UF9" s="399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 t="s">
        <v>592</v>
      </c>
      <c r="VB9" s="455"/>
      <c r="VC9" s="455"/>
      <c r="VD9" s="455"/>
      <c r="VE9" s="455"/>
      <c r="VF9" s="399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 t="s">
        <v>592</v>
      </c>
      <c r="WB9" s="455"/>
      <c r="WC9" s="455"/>
      <c r="WD9" s="455"/>
      <c r="WE9" s="455"/>
      <c r="WF9" s="399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 t="s">
        <v>592</v>
      </c>
      <c r="XB9" s="455"/>
      <c r="XC9" s="455"/>
      <c r="XD9" s="455"/>
      <c r="XE9" s="455"/>
      <c r="XF9" s="399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 t="s">
        <v>592</v>
      </c>
      <c r="YB9" s="455"/>
      <c r="YC9" s="455"/>
      <c r="YD9" s="455"/>
      <c r="YE9" s="455"/>
      <c r="YF9" s="399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 t="s">
        <v>592</v>
      </c>
      <c r="ZB9" s="455"/>
      <c r="ZC9" s="455"/>
      <c r="ZD9" s="455"/>
      <c r="ZE9" s="455"/>
      <c r="ZF9" s="399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 t="s">
        <v>592</v>
      </c>
      <c r="AAB9" s="455"/>
      <c r="AAC9" s="455"/>
      <c r="AAD9" s="455"/>
      <c r="AAE9" s="455"/>
      <c r="AAF9" s="399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 t="s">
        <v>592</v>
      </c>
      <c r="ABB9" s="455"/>
      <c r="ABC9" s="455"/>
      <c r="ABD9" s="455"/>
      <c r="ABE9" s="455"/>
      <c r="ABF9" s="399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 t="s">
        <v>592</v>
      </c>
      <c r="ACB9" s="455"/>
      <c r="ACC9" s="455"/>
      <c r="ACD9" s="455"/>
      <c r="ACE9" s="455"/>
      <c r="ACF9" s="399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 t="s">
        <v>592</v>
      </c>
      <c r="ADB9" s="455"/>
      <c r="ADC9" s="455"/>
      <c r="ADD9" s="455"/>
      <c r="ADE9" s="455"/>
      <c r="ADF9" s="399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 t="s">
        <v>592</v>
      </c>
      <c r="AEB9" s="455"/>
      <c r="AEC9" s="455"/>
      <c r="AED9" s="455"/>
      <c r="AEE9" s="455"/>
      <c r="AEF9" s="399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 t="s">
        <v>592</v>
      </c>
      <c r="AFC9" s="455"/>
      <c r="AFD9" s="455"/>
      <c r="AFE9" s="455"/>
      <c r="AFF9" s="455"/>
      <c r="AFG9" s="399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 t="s">
        <v>592</v>
      </c>
      <c r="AGC9" s="455"/>
      <c r="AGD9" s="455"/>
      <c r="AGE9" s="455"/>
      <c r="AGF9" s="455"/>
      <c r="AGG9" s="399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 t="s">
        <v>592</v>
      </c>
      <c r="AHC9" s="455"/>
      <c r="AHD9" s="455"/>
      <c r="AHE9" s="455"/>
      <c r="AHF9" s="455"/>
      <c r="AHG9" s="399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 t="s">
        <v>592</v>
      </c>
      <c r="AIC9" s="455"/>
      <c r="AID9" s="455"/>
      <c r="AIE9" s="455"/>
      <c r="AIF9" s="455"/>
      <c r="AIG9" s="399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 t="s">
        <v>592</v>
      </c>
      <c r="AJC9" s="455"/>
      <c r="AJD9" s="455"/>
      <c r="AJE9" s="455"/>
      <c r="AJF9" s="455"/>
      <c r="AJG9" s="399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 t="s">
        <v>592</v>
      </c>
      <c r="AKC9" s="455"/>
      <c r="AKD9" s="455"/>
      <c r="AKE9" s="455"/>
      <c r="AKF9" s="455"/>
      <c r="AKG9" s="399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 t="s">
        <v>640</v>
      </c>
      <c r="ALC9" s="455"/>
      <c r="ALD9" s="455"/>
      <c r="ALE9" s="455"/>
      <c r="ALF9" s="455"/>
      <c r="ALG9" s="399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 t="s">
        <v>640</v>
      </c>
      <c r="AMC9" s="455"/>
      <c r="AMD9" s="455"/>
      <c r="AME9" s="455"/>
      <c r="AMF9" s="455"/>
      <c r="AMG9" s="399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 t="s">
        <v>640</v>
      </c>
      <c r="AND9" s="455"/>
      <c r="ANE9" s="455"/>
      <c r="ANF9" s="455"/>
      <c r="ANG9" s="455"/>
      <c r="ANH9" s="399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 t="s">
        <v>640</v>
      </c>
      <c r="AOE9" s="455"/>
      <c r="AOF9" s="455"/>
      <c r="AOG9" s="455"/>
      <c r="AOH9" s="455"/>
      <c r="AOI9" s="399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 t="s">
        <v>640</v>
      </c>
    </row>
    <row r="10" spans="1:1097" ht="30" customHeight="1" x14ac:dyDescent="0.4">
      <c r="A10" s="457" t="s">
        <v>9</v>
      </c>
      <c r="B10" s="459"/>
      <c r="C10" s="459"/>
      <c r="D10" s="459"/>
      <c r="E10" s="459"/>
      <c r="F10" s="460"/>
      <c r="G10" s="457">
        <v>1</v>
      </c>
      <c r="H10" s="459"/>
      <c r="I10" s="459"/>
      <c r="J10" s="459"/>
      <c r="K10" s="460"/>
      <c r="L10" s="457">
        <v>2</v>
      </c>
      <c r="M10" s="459"/>
      <c r="N10" s="459"/>
      <c r="O10" s="459"/>
      <c r="P10" s="460"/>
      <c r="Q10" s="457">
        <v>3</v>
      </c>
      <c r="R10" s="459"/>
      <c r="S10" s="459"/>
      <c r="T10" s="459"/>
      <c r="U10" s="460"/>
      <c r="V10" s="457">
        <v>4</v>
      </c>
      <c r="W10" s="459"/>
      <c r="X10" s="459"/>
      <c r="Y10" s="459"/>
      <c r="Z10" s="460"/>
      <c r="AA10" s="457" t="s">
        <v>9</v>
      </c>
      <c r="AB10" s="459"/>
      <c r="AC10" s="459"/>
      <c r="AD10" s="459"/>
      <c r="AE10" s="459"/>
      <c r="AF10" s="460"/>
      <c r="AG10" s="457">
        <v>5</v>
      </c>
      <c r="AH10" s="459"/>
      <c r="AI10" s="459"/>
      <c r="AJ10" s="459"/>
      <c r="AK10" s="460"/>
      <c r="AL10" s="457">
        <v>6</v>
      </c>
      <c r="AM10" s="459"/>
      <c r="AN10" s="459"/>
      <c r="AO10" s="459"/>
      <c r="AP10" s="460"/>
      <c r="AQ10" s="457">
        <v>7</v>
      </c>
      <c r="AR10" s="459"/>
      <c r="AS10" s="459"/>
      <c r="AT10" s="459"/>
      <c r="AU10" s="460"/>
      <c r="AV10" s="457">
        <v>8</v>
      </c>
      <c r="AW10" s="459"/>
      <c r="AX10" s="459"/>
      <c r="AY10" s="459"/>
      <c r="AZ10" s="460"/>
      <c r="BA10" s="457" t="s">
        <v>9</v>
      </c>
      <c r="BB10" s="459"/>
      <c r="BC10" s="459"/>
      <c r="BD10" s="459"/>
      <c r="BE10" s="459"/>
      <c r="BF10" s="460"/>
      <c r="BG10" s="457">
        <v>9</v>
      </c>
      <c r="BH10" s="459"/>
      <c r="BI10" s="459"/>
      <c r="BJ10" s="459"/>
      <c r="BK10" s="460"/>
      <c r="BL10" s="457">
        <v>10</v>
      </c>
      <c r="BM10" s="459"/>
      <c r="BN10" s="459"/>
      <c r="BO10" s="459"/>
      <c r="BP10" s="460"/>
      <c r="BQ10" s="457">
        <v>11</v>
      </c>
      <c r="BR10" s="459"/>
      <c r="BS10" s="459"/>
      <c r="BT10" s="459"/>
      <c r="BU10" s="460"/>
      <c r="BV10" s="457">
        <v>12</v>
      </c>
      <c r="BW10" s="459"/>
      <c r="BX10" s="459"/>
      <c r="BY10" s="459"/>
      <c r="BZ10" s="460"/>
      <c r="CA10" s="457" t="s">
        <v>9</v>
      </c>
      <c r="CB10" s="459"/>
      <c r="CC10" s="459"/>
      <c r="CD10" s="459"/>
      <c r="CE10" s="459"/>
      <c r="CF10" s="460"/>
      <c r="CG10" s="457">
        <v>13</v>
      </c>
      <c r="CH10" s="459"/>
      <c r="CI10" s="459"/>
      <c r="CJ10" s="459"/>
      <c r="CK10" s="460"/>
      <c r="CL10" s="457">
        <v>14</v>
      </c>
      <c r="CM10" s="459"/>
      <c r="CN10" s="459"/>
      <c r="CO10" s="459"/>
      <c r="CP10" s="460"/>
      <c r="CQ10" s="457">
        <v>15</v>
      </c>
      <c r="CR10" s="459"/>
      <c r="CS10" s="459"/>
      <c r="CT10" s="459"/>
      <c r="CU10" s="460"/>
      <c r="CV10" s="457">
        <v>16</v>
      </c>
      <c r="CW10" s="459"/>
      <c r="CX10" s="459"/>
      <c r="CY10" s="459"/>
      <c r="CZ10" s="460"/>
      <c r="DA10" s="457" t="s">
        <v>9</v>
      </c>
      <c r="DB10" s="459"/>
      <c r="DC10" s="459"/>
      <c r="DD10" s="459"/>
      <c r="DE10" s="459"/>
      <c r="DF10" s="460"/>
      <c r="DG10" s="457">
        <v>17</v>
      </c>
      <c r="DH10" s="459"/>
      <c r="DI10" s="459"/>
      <c r="DJ10" s="459"/>
      <c r="DK10" s="460"/>
      <c r="DL10" s="457">
        <v>18</v>
      </c>
      <c r="DM10" s="459"/>
      <c r="DN10" s="459"/>
      <c r="DO10" s="459"/>
      <c r="DP10" s="460"/>
      <c r="DQ10" s="457">
        <v>19</v>
      </c>
      <c r="DR10" s="459"/>
      <c r="DS10" s="459"/>
      <c r="DT10" s="459"/>
      <c r="DU10" s="460"/>
      <c r="DV10" s="457">
        <v>20</v>
      </c>
      <c r="DW10" s="459"/>
      <c r="DX10" s="459"/>
      <c r="DY10" s="459"/>
      <c r="DZ10" s="460"/>
      <c r="EA10" s="457" t="s">
        <v>9</v>
      </c>
      <c r="EB10" s="459"/>
      <c r="EC10" s="459"/>
      <c r="ED10" s="459"/>
      <c r="EE10" s="459"/>
      <c r="EF10" s="460"/>
      <c r="EG10" s="457">
        <v>21</v>
      </c>
      <c r="EH10" s="459"/>
      <c r="EI10" s="459"/>
      <c r="EJ10" s="459"/>
      <c r="EK10" s="460"/>
      <c r="EL10" s="457">
        <v>22</v>
      </c>
      <c r="EM10" s="459"/>
      <c r="EN10" s="459"/>
      <c r="EO10" s="459"/>
      <c r="EP10" s="460"/>
      <c r="EQ10" s="457">
        <v>23</v>
      </c>
      <c r="ER10" s="459"/>
      <c r="ES10" s="459"/>
      <c r="ET10" s="459"/>
      <c r="EU10" s="460"/>
      <c r="EV10" s="457">
        <v>24</v>
      </c>
      <c r="EW10" s="459"/>
      <c r="EX10" s="459"/>
      <c r="EY10" s="459"/>
      <c r="EZ10" s="460"/>
      <c r="FA10" s="457" t="s">
        <v>9</v>
      </c>
      <c r="FB10" s="459"/>
      <c r="FC10" s="459"/>
      <c r="FD10" s="459"/>
      <c r="FE10" s="459"/>
      <c r="FF10" s="460"/>
      <c r="FG10" s="457">
        <v>25</v>
      </c>
      <c r="FH10" s="459"/>
      <c r="FI10" s="459"/>
      <c r="FJ10" s="459"/>
      <c r="FK10" s="460"/>
      <c r="FL10" s="457">
        <v>26</v>
      </c>
      <c r="FM10" s="459"/>
      <c r="FN10" s="459"/>
      <c r="FO10" s="459"/>
      <c r="FP10" s="460"/>
      <c r="FQ10" s="457">
        <v>27</v>
      </c>
      <c r="FR10" s="459"/>
      <c r="FS10" s="459"/>
      <c r="FT10" s="459"/>
      <c r="FU10" s="460"/>
      <c r="FV10" s="457">
        <v>28</v>
      </c>
      <c r="FW10" s="459"/>
      <c r="FX10" s="459"/>
      <c r="FY10" s="459"/>
      <c r="FZ10" s="460"/>
      <c r="GA10" s="457" t="s">
        <v>9</v>
      </c>
      <c r="GB10" s="459"/>
      <c r="GC10" s="459"/>
      <c r="GD10" s="459"/>
      <c r="GE10" s="459"/>
      <c r="GF10" s="460"/>
      <c r="GG10" s="457">
        <v>29</v>
      </c>
      <c r="GH10" s="459"/>
      <c r="GI10" s="459"/>
      <c r="GJ10" s="459"/>
      <c r="GK10" s="460"/>
      <c r="GL10" s="457">
        <v>30</v>
      </c>
      <c r="GM10" s="459"/>
      <c r="GN10" s="459"/>
      <c r="GO10" s="459"/>
      <c r="GP10" s="460"/>
      <c r="GQ10" s="457">
        <v>31</v>
      </c>
      <c r="GR10" s="459"/>
      <c r="GS10" s="459"/>
      <c r="GT10" s="459"/>
      <c r="GU10" s="460"/>
      <c r="GV10" s="457">
        <v>32</v>
      </c>
      <c r="GW10" s="459"/>
      <c r="GX10" s="459"/>
      <c r="GY10" s="459"/>
      <c r="GZ10" s="460"/>
      <c r="HA10" s="457" t="s">
        <v>9</v>
      </c>
      <c r="HB10" s="459"/>
      <c r="HC10" s="459"/>
      <c r="HD10" s="459"/>
      <c r="HE10" s="459"/>
      <c r="HF10" s="460"/>
      <c r="HG10" s="457">
        <v>33</v>
      </c>
      <c r="HH10" s="459"/>
      <c r="HI10" s="459"/>
      <c r="HJ10" s="459"/>
      <c r="HK10" s="460"/>
      <c r="HL10" s="457">
        <v>34</v>
      </c>
      <c r="HM10" s="459"/>
      <c r="HN10" s="459"/>
      <c r="HO10" s="459"/>
      <c r="HP10" s="460"/>
      <c r="HQ10" s="457">
        <v>35</v>
      </c>
      <c r="HR10" s="459"/>
      <c r="HS10" s="459"/>
      <c r="HT10" s="459"/>
      <c r="HU10" s="460"/>
      <c r="HV10" s="457">
        <v>36</v>
      </c>
      <c r="HW10" s="459"/>
      <c r="HX10" s="459"/>
      <c r="HY10" s="459"/>
      <c r="HZ10" s="460"/>
      <c r="IA10" s="457" t="s">
        <v>9</v>
      </c>
      <c r="IB10" s="459"/>
      <c r="IC10" s="459"/>
      <c r="ID10" s="459"/>
      <c r="IE10" s="459"/>
      <c r="IF10" s="460"/>
      <c r="IG10" s="457">
        <v>37</v>
      </c>
      <c r="IH10" s="459"/>
      <c r="II10" s="459"/>
      <c r="IJ10" s="459"/>
      <c r="IK10" s="460"/>
      <c r="IL10" s="457">
        <v>38</v>
      </c>
      <c r="IM10" s="459"/>
      <c r="IN10" s="459"/>
      <c r="IO10" s="459"/>
      <c r="IP10" s="460"/>
      <c r="IQ10" s="457">
        <v>39</v>
      </c>
      <c r="IR10" s="459"/>
      <c r="IS10" s="459"/>
      <c r="IT10" s="459"/>
      <c r="IU10" s="460"/>
      <c r="IV10" s="457">
        <v>40</v>
      </c>
      <c r="IW10" s="459"/>
      <c r="IX10" s="459"/>
      <c r="IY10" s="459"/>
      <c r="IZ10" s="460"/>
      <c r="JA10" s="457" t="s">
        <v>9</v>
      </c>
      <c r="JB10" s="459"/>
      <c r="JC10" s="459"/>
      <c r="JD10" s="459"/>
      <c r="JE10" s="459"/>
      <c r="JF10" s="460"/>
      <c r="JG10" s="457">
        <v>41</v>
      </c>
      <c r="JH10" s="459"/>
      <c r="JI10" s="459"/>
      <c r="JJ10" s="459"/>
      <c r="JK10" s="460"/>
      <c r="JL10" s="457">
        <v>42</v>
      </c>
      <c r="JM10" s="459"/>
      <c r="JN10" s="459"/>
      <c r="JO10" s="459"/>
      <c r="JP10" s="460"/>
      <c r="JQ10" s="457">
        <v>43</v>
      </c>
      <c r="JR10" s="459"/>
      <c r="JS10" s="459"/>
      <c r="JT10" s="459"/>
      <c r="JU10" s="460"/>
      <c r="JV10" s="457">
        <v>44</v>
      </c>
      <c r="JW10" s="459"/>
      <c r="JX10" s="459"/>
      <c r="JY10" s="459"/>
      <c r="JZ10" s="460"/>
      <c r="KA10" s="457" t="s">
        <v>9</v>
      </c>
      <c r="KB10" s="459"/>
      <c r="KC10" s="459"/>
      <c r="KD10" s="459"/>
      <c r="KE10" s="459"/>
      <c r="KF10" s="460"/>
      <c r="KG10" s="457">
        <v>45</v>
      </c>
      <c r="KH10" s="459"/>
      <c r="KI10" s="459"/>
      <c r="KJ10" s="459"/>
      <c r="KK10" s="460"/>
      <c r="KL10" s="457">
        <v>46</v>
      </c>
      <c r="KM10" s="459"/>
      <c r="KN10" s="459"/>
      <c r="KO10" s="459"/>
      <c r="KP10" s="460"/>
      <c r="KQ10" s="457">
        <v>47</v>
      </c>
      <c r="KR10" s="459"/>
      <c r="KS10" s="459"/>
      <c r="KT10" s="459"/>
      <c r="KU10" s="460"/>
      <c r="KV10" s="457">
        <v>48</v>
      </c>
      <c r="KW10" s="459"/>
      <c r="KX10" s="459"/>
      <c r="KY10" s="459"/>
      <c r="KZ10" s="460"/>
      <c r="LA10" s="457" t="s">
        <v>9</v>
      </c>
      <c r="LB10" s="459"/>
      <c r="LC10" s="459"/>
      <c r="LD10" s="459"/>
      <c r="LE10" s="459"/>
      <c r="LF10" s="460"/>
      <c r="LG10" s="457">
        <v>49</v>
      </c>
      <c r="LH10" s="459"/>
      <c r="LI10" s="459"/>
      <c r="LJ10" s="459"/>
      <c r="LK10" s="460"/>
      <c r="LL10" s="457">
        <v>50</v>
      </c>
      <c r="LM10" s="459"/>
      <c r="LN10" s="459"/>
      <c r="LO10" s="459"/>
      <c r="LP10" s="460"/>
      <c r="LQ10" s="457">
        <v>51</v>
      </c>
      <c r="LR10" s="459"/>
      <c r="LS10" s="459"/>
      <c r="LT10" s="459"/>
      <c r="LU10" s="460"/>
      <c r="LV10" s="457">
        <v>52</v>
      </c>
      <c r="LW10" s="459"/>
      <c r="LX10" s="459"/>
      <c r="LY10" s="459"/>
      <c r="LZ10" s="460"/>
      <c r="MA10" s="457" t="s">
        <v>9</v>
      </c>
      <c r="MB10" s="459"/>
      <c r="MC10" s="459"/>
      <c r="MD10" s="459"/>
      <c r="ME10" s="459"/>
      <c r="MF10" s="460"/>
      <c r="MG10" s="542">
        <v>53</v>
      </c>
      <c r="MH10" s="543"/>
      <c r="MI10" s="543"/>
      <c r="MJ10" s="543"/>
      <c r="MK10" s="583"/>
      <c r="ML10" s="457">
        <v>54</v>
      </c>
      <c r="MM10" s="459"/>
      <c r="MN10" s="459"/>
      <c r="MO10" s="459"/>
      <c r="MP10" s="460"/>
      <c r="MQ10" s="457">
        <v>55</v>
      </c>
      <c r="MR10" s="459"/>
      <c r="MS10" s="459"/>
      <c r="MT10" s="459"/>
      <c r="MU10" s="460"/>
      <c r="MV10" s="457">
        <v>56</v>
      </c>
      <c r="MW10" s="459"/>
      <c r="MX10" s="459"/>
      <c r="MY10" s="459"/>
      <c r="MZ10" s="460"/>
      <c r="NA10" s="457" t="s">
        <v>9</v>
      </c>
      <c r="NB10" s="459"/>
      <c r="NC10" s="459"/>
      <c r="ND10" s="459"/>
      <c r="NE10" s="459"/>
      <c r="NF10" s="460"/>
      <c r="NG10" s="457">
        <v>57</v>
      </c>
      <c r="NH10" s="459"/>
      <c r="NI10" s="459"/>
      <c r="NJ10" s="459"/>
      <c r="NK10" s="460"/>
      <c r="NL10" s="457">
        <v>58</v>
      </c>
      <c r="NM10" s="459"/>
      <c r="NN10" s="459"/>
      <c r="NO10" s="459"/>
      <c r="NP10" s="460"/>
      <c r="NQ10" s="457">
        <v>59</v>
      </c>
      <c r="NR10" s="459"/>
      <c r="NS10" s="459"/>
      <c r="NT10" s="459"/>
      <c r="NU10" s="460"/>
      <c r="NV10" s="457">
        <v>60</v>
      </c>
      <c r="NW10" s="459"/>
      <c r="NX10" s="459"/>
      <c r="NY10" s="459"/>
      <c r="NZ10" s="460"/>
      <c r="OA10" s="457" t="s">
        <v>9</v>
      </c>
      <c r="OB10" s="459"/>
      <c r="OC10" s="459"/>
      <c r="OD10" s="459"/>
      <c r="OE10" s="459"/>
      <c r="OF10" s="460"/>
      <c r="OG10" s="457">
        <v>61</v>
      </c>
      <c r="OH10" s="459"/>
      <c r="OI10" s="459"/>
      <c r="OJ10" s="459"/>
      <c r="OK10" s="460"/>
      <c r="OL10" s="457">
        <v>62</v>
      </c>
      <c r="OM10" s="459"/>
      <c r="ON10" s="459"/>
      <c r="OO10" s="459"/>
      <c r="OP10" s="460"/>
      <c r="OQ10" s="457">
        <v>63</v>
      </c>
      <c r="OR10" s="459"/>
      <c r="OS10" s="459"/>
      <c r="OT10" s="459"/>
      <c r="OU10" s="460"/>
      <c r="OV10" s="457">
        <v>64</v>
      </c>
      <c r="OW10" s="459"/>
      <c r="OX10" s="459"/>
      <c r="OY10" s="459"/>
      <c r="OZ10" s="460"/>
      <c r="PA10" s="457" t="s">
        <v>9</v>
      </c>
      <c r="PB10" s="459"/>
      <c r="PC10" s="459"/>
      <c r="PD10" s="459"/>
      <c r="PE10" s="459"/>
      <c r="PF10" s="460"/>
      <c r="PG10" s="457">
        <v>65</v>
      </c>
      <c r="PH10" s="459"/>
      <c r="PI10" s="459"/>
      <c r="PJ10" s="459"/>
      <c r="PK10" s="460"/>
      <c r="PL10" s="457">
        <v>66</v>
      </c>
      <c r="PM10" s="459"/>
      <c r="PN10" s="459"/>
      <c r="PO10" s="459"/>
      <c r="PP10" s="460"/>
      <c r="PQ10" s="457">
        <v>67</v>
      </c>
      <c r="PR10" s="459"/>
      <c r="PS10" s="459"/>
      <c r="PT10" s="459"/>
      <c r="PU10" s="460"/>
      <c r="PV10" s="457">
        <v>68</v>
      </c>
      <c r="PW10" s="459"/>
      <c r="PX10" s="459"/>
      <c r="PY10" s="459"/>
      <c r="PZ10" s="460"/>
      <c r="QA10" s="457" t="s">
        <v>9</v>
      </c>
      <c r="QB10" s="459"/>
      <c r="QC10" s="459"/>
      <c r="QD10" s="459"/>
      <c r="QE10" s="459"/>
      <c r="QF10" s="460"/>
      <c r="QG10" s="457">
        <v>69</v>
      </c>
      <c r="QH10" s="459"/>
      <c r="QI10" s="459"/>
      <c r="QJ10" s="459"/>
      <c r="QK10" s="460"/>
      <c r="QL10" s="457">
        <v>70</v>
      </c>
      <c r="QM10" s="459"/>
      <c r="QN10" s="459"/>
      <c r="QO10" s="459"/>
      <c r="QP10" s="460"/>
      <c r="QQ10" s="457">
        <v>71</v>
      </c>
      <c r="QR10" s="459"/>
      <c r="QS10" s="459"/>
      <c r="QT10" s="459"/>
      <c r="QU10" s="460"/>
      <c r="QV10" s="457">
        <v>72</v>
      </c>
      <c r="QW10" s="459"/>
      <c r="QX10" s="459"/>
      <c r="QY10" s="459"/>
      <c r="QZ10" s="460"/>
      <c r="RA10" s="457" t="s">
        <v>684</v>
      </c>
      <c r="RB10" s="459"/>
      <c r="RC10" s="459"/>
      <c r="RD10" s="459"/>
      <c r="RE10" s="459"/>
      <c r="RF10" s="460"/>
      <c r="RG10" s="457">
        <v>73</v>
      </c>
      <c r="RH10" s="459"/>
      <c r="RI10" s="459"/>
      <c r="RJ10" s="459"/>
      <c r="RK10" s="460"/>
      <c r="RL10" s="457">
        <v>74</v>
      </c>
      <c r="RM10" s="459"/>
      <c r="RN10" s="459"/>
      <c r="RO10" s="459"/>
      <c r="RP10" s="460"/>
      <c r="RQ10" s="457">
        <v>75</v>
      </c>
      <c r="RR10" s="459"/>
      <c r="RS10" s="459"/>
      <c r="RT10" s="459"/>
      <c r="RU10" s="460"/>
      <c r="RV10" s="457">
        <v>76</v>
      </c>
      <c r="RW10" s="459"/>
      <c r="RX10" s="459"/>
      <c r="RY10" s="459"/>
      <c r="RZ10" s="460"/>
      <c r="SA10" s="457" t="s">
        <v>684</v>
      </c>
      <c r="SB10" s="459"/>
      <c r="SC10" s="459"/>
      <c r="SD10" s="459"/>
      <c r="SE10" s="459"/>
      <c r="SF10" s="460"/>
      <c r="SG10" s="457">
        <v>77</v>
      </c>
      <c r="SH10" s="459"/>
      <c r="SI10" s="459"/>
      <c r="SJ10" s="459"/>
      <c r="SK10" s="460"/>
      <c r="SL10" s="457">
        <v>78</v>
      </c>
      <c r="SM10" s="459"/>
      <c r="SN10" s="459"/>
      <c r="SO10" s="459"/>
      <c r="SP10" s="460"/>
      <c r="SQ10" s="457">
        <v>79</v>
      </c>
      <c r="SR10" s="459"/>
      <c r="SS10" s="459"/>
      <c r="ST10" s="459"/>
      <c r="SU10" s="460"/>
      <c r="SV10" s="457">
        <v>80</v>
      </c>
      <c r="SW10" s="459"/>
      <c r="SX10" s="459"/>
      <c r="SY10" s="459"/>
      <c r="SZ10" s="460"/>
      <c r="TA10" s="457" t="s">
        <v>684</v>
      </c>
      <c r="TB10" s="459"/>
      <c r="TC10" s="459"/>
      <c r="TD10" s="459"/>
      <c r="TE10" s="459"/>
      <c r="TF10" s="460"/>
      <c r="TG10" s="457">
        <v>81</v>
      </c>
      <c r="TH10" s="459"/>
      <c r="TI10" s="459"/>
      <c r="TJ10" s="459"/>
      <c r="TK10" s="460"/>
      <c r="TL10" s="457">
        <v>82</v>
      </c>
      <c r="TM10" s="459"/>
      <c r="TN10" s="459"/>
      <c r="TO10" s="459"/>
      <c r="TP10" s="459"/>
      <c r="TQ10" s="460"/>
      <c r="TR10" s="457">
        <v>83</v>
      </c>
      <c r="TS10" s="459"/>
      <c r="TT10" s="459"/>
      <c r="TU10" s="459"/>
      <c r="TV10" s="460"/>
      <c r="TW10" s="457">
        <v>84</v>
      </c>
      <c r="TX10" s="459"/>
      <c r="TY10" s="459"/>
      <c r="TZ10" s="459"/>
      <c r="UA10" s="460"/>
      <c r="UB10" s="457" t="s">
        <v>684</v>
      </c>
      <c r="UC10" s="459"/>
      <c r="UD10" s="459"/>
      <c r="UE10" s="459"/>
      <c r="UF10" s="459"/>
      <c r="UG10" s="460"/>
      <c r="UH10" s="457">
        <v>85</v>
      </c>
      <c r="UI10" s="459"/>
      <c r="UJ10" s="459"/>
      <c r="UK10" s="459"/>
      <c r="UL10" s="460"/>
      <c r="UM10" s="457">
        <v>86</v>
      </c>
      <c r="UN10" s="459"/>
      <c r="UO10" s="459"/>
      <c r="UP10" s="459"/>
      <c r="UQ10" s="460"/>
      <c r="UR10" s="457">
        <v>87</v>
      </c>
      <c r="US10" s="459"/>
      <c r="UT10" s="459"/>
      <c r="UU10" s="459"/>
      <c r="UV10" s="460"/>
      <c r="UW10" s="457">
        <v>88</v>
      </c>
      <c r="UX10" s="459"/>
      <c r="UY10" s="459"/>
      <c r="UZ10" s="459"/>
      <c r="VA10" s="460"/>
      <c r="VB10" s="457" t="s">
        <v>684</v>
      </c>
      <c r="VC10" s="459"/>
      <c r="VD10" s="459"/>
      <c r="VE10" s="459"/>
      <c r="VF10" s="459"/>
      <c r="VG10" s="460"/>
      <c r="VH10" s="457">
        <v>89</v>
      </c>
      <c r="VI10" s="459"/>
      <c r="VJ10" s="459"/>
      <c r="VK10" s="459"/>
      <c r="VL10" s="460"/>
      <c r="VM10" s="457">
        <v>90</v>
      </c>
      <c r="VN10" s="459"/>
      <c r="VO10" s="459"/>
      <c r="VP10" s="459"/>
      <c r="VQ10" s="460"/>
      <c r="VR10" s="457">
        <v>91</v>
      </c>
      <c r="VS10" s="459"/>
      <c r="VT10" s="459"/>
      <c r="VU10" s="459"/>
      <c r="VV10" s="460"/>
      <c r="VW10" s="457">
        <v>92</v>
      </c>
      <c r="VX10" s="459"/>
      <c r="VY10" s="459"/>
      <c r="VZ10" s="459"/>
      <c r="WA10" s="460"/>
      <c r="WB10" s="457" t="s">
        <v>684</v>
      </c>
      <c r="WC10" s="459"/>
      <c r="WD10" s="459"/>
      <c r="WE10" s="459"/>
      <c r="WF10" s="459"/>
      <c r="WG10" s="460"/>
      <c r="WH10" s="457">
        <v>93</v>
      </c>
      <c r="WI10" s="459"/>
      <c r="WJ10" s="459"/>
      <c r="WK10" s="459"/>
      <c r="WL10" s="460"/>
      <c r="WM10" s="457">
        <v>94</v>
      </c>
      <c r="WN10" s="459"/>
      <c r="WO10" s="459"/>
      <c r="WP10" s="459"/>
      <c r="WQ10" s="460"/>
      <c r="WR10" s="457">
        <v>95</v>
      </c>
      <c r="WS10" s="459"/>
      <c r="WT10" s="459"/>
      <c r="WU10" s="459"/>
      <c r="WV10" s="460"/>
      <c r="WW10" s="457">
        <v>96</v>
      </c>
      <c r="WX10" s="459"/>
      <c r="WY10" s="459"/>
      <c r="WZ10" s="459"/>
      <c r="XA10" s="460"/>
      <c r="XB10" s="457" t="s">
        <v>684</v>
      </c>
      <c r="XC10" s="459"/>
      <c r="XD10" s="459"/>
      <c r="XE10" s="459"/>
      <c r="XF10" s="459"/>
      <c r="XG10" s="460"/>
      <c r="XH10" s="457">
        <v>97</v>
      </c>
      <c r="XI10" s="459"/>
      <c r="XJ10" s="459"/>
      <c r="XK10" s="459"/>
      <c r="XL10" s="460"/>
      <c r="XM10" s="457">
        <v>98</v>
      </c>
      <c r="XN10" s="459"/>
      <c r="XO10" s="459"/>
      <c r="XP10" s="459"/>
      <c r="XQ10" s="460"/>
      <c r="XR10" s="457">
        <v>99</v>
      </c>
      <c r="XS10" s="459"/>
      <c r="XT10" s="459"/>
      <c r="XU10" s="459"/>
      <c r="XV10" s="460"/>
      <c r="XW10" s="457">
        <v>100</v>
      </c>
      <c r="XX10" s="459"/>
      <c r="XY10" s="459"/>
      <c r="XZ10" s="459"/>
      <c r="YA10" s="460"/>
      <c r="YB10" s="457" t="s">
        <v>684</v>
      </c>
      <c r="YC10" s="459"/>
      <c r="YD10" s="459"/>
      <c r="YE10" s="459"/>
      <c r="YF10" s="459"/>
      <c r="YG10" s="460"/>
      <c r="YH10" s="457">
        <v>101</v>
      </c>
      <c r="YI10" s="459"/>
      <c r="YJ10" s="459"/>
      <c r="YK10" s="459"/>
      <c r="YL10" s="460"/>
      <c r="YM10" s="457">
        <v>102</v>
      </c>
      <c r="YN10" s="459"/>
      <c r="YO10" s="459"/>
      <c r="YP10" s="459"/>
      <c r="YQ10" s="460"/>
      <c r="YR10" s="457">
        <v>103</v>
      </c>
      <c r="YS10" s="459"/>
      <c r="YT10" s="459"/>
      <c r="YU10" s="459"/>
      <c r="YV10" s="460"/>
      <c r="YW10" s="457">
        <v>104</v>
      </c>
      <c r="YX10" s="459"/>
      <c r="YY10" s="459"/>
      <c r="YZ10" s="459"/>
      <c r="ZA10" s="460"/>
      <c r="ZB10" s="457" t="s">
        <v>684</v>
      </c>
      <c r="ZC10" s="459"/>
      <c r="ZD10" s="459"/>
      <c r="ZE10" s="459"/>
      <c r="ZF10" s="459"/>
      <c r="ZG10" s="460"/>
      <c r="ZH10" s="457">
        <v>105</v>
      </c>
      <c r="ZI10" s="459"/>
      <c r="ZJ10" s="459"/>
      <c r="ZK10" s="459"/>
      <c r="ZL10" s="460"/>
      <c r="ZM10" s="457">
        <v>106</v>
      </c>
      <c r="ZN10" s="459"/>
      <c r="ZO10" s="459"/>
      <c r="ZP10" s="459"/>
      <c r="ZQ10" s="460"/>
      <c r="ZR10" s="457">
        <v>107</v>
      </c>
      <c r="ZS10" s="459"/>
      <c r="ZT10" s="459"/>
      <c r="ZU10" s="459"/>
      <c r="ZV10" s="460"/>
      <c r="ZW10" s="457">
        <v>108</v>
      </c>
      <c r="ZX10" s="459"/>
      <c r="ZY10" s="459"/>
      <c r="ZZ10" s="459"/>
      <c r="AAA10" s="460"/>
      <c r="AAB10" s="457" t="s">
        <v>684</v>
      </c>
      <c r="AAC10" s="459"/>
      <c r="AAD10" s="459"/>
      <c r="AAE10" s="459"/>
      <c r="AAF10" s="459"/>
      <c r="AAG10" s="460"/>
      <c r="AAH10" s="457">
        <v>109</v>
      </c>
      <c r="AAI10" s="459"/>
      <c r="AAJ10" s="459"/>
      <c r="AAK10" s="459"/>
      <c r="AAL10" s="460"/>
      <c r="AAM10" s="457">
        <v>110</v>
      </c>
      <c r="AAN10" s="459"/>
      <c r="AAO10" s="459"/>
      <c r="AAP10" s="459"/>
      <c r="AAQ10" s="460"/>
      <c r="AAR10" s="457">
        <v>111</v>
      </c>
      <c r="AAS10" s="459"/>
      <c r="AAT10" s="459"/>
      <c r="AAU10" s="459"/>
      <c r="AAV10" s="460"/>
      <c r="AAW10" s="457">
        <v>112</v>
      </c>
      <c r="AAX10" s="459"/>
      <c r="AAY10" s="459"/>
      <c r="AAZ10" s="459"/>
      <c r="ABA10" s="460"/>
      <c r="ABB10" s="457" t="s">
        <v>684</v>
      </c>
      <c r="ABC10" s="459"/>
      <c r="ABD10" s="459"/>
      <c r="ABE10" s="459"/>
      <c r="ABF10" s="459"/>
      <c r="ABG10" s="460"/>
      <c r="ABH10" s="457">
        <v>113</v>
      </c>
      <c r="ABI10" s="459"/>
      <c r="ABJ10" s="459"/>
      <c r="ABK10" s="459"/>
      <c r="ABL10" s="460"/>
      <c r="ABM10" s="457">
        <v>114</v>
      </c>
      <c r="ABN10" s="459"/>
      <c r="ABO10" s="459"/>
      <c r="ABP10" s="459"/>
      <c r="ABQ10" s="460"/>
      <c r="ABR10" s="457">
        <v>115</v>
      </c>
      <c r="ABS10" s="459"/>
      <c r="ABT10" s="459"/>
      <c r="ABU10" s="459"/>
      <c r="ABV10" s="460"/>
      <c r="ABW10" s="457">
        <v>116</v>
      </c>
      <c r="ABX10" s="459"/>
      <c r="ABY10" s="459"/>
      <c r="ABZ10" s="459"/>
      <c r="ACA10" s="460"/>
      <c r="ACB10" s="457" t="s">
        <v>684</v>
      </c>
      <c r="ACC10" s="459"/>
      <c r="ACD10" s="459"/>
      <c r="ACE10" s="459"/>
      <c r="ACF10" s="459"/>
      <c r="ACG10" s="460"/>
      <c r="ACH10" s="457">
        <v>117</v>
      </c>
      <c r="ACI10" s="459"/>
      <c r="ACJ10" s="459"/>
      <c r="ACK10" s="459"/>
      <c r="ACL10" s="460"/>
      <c r="ACM10" s="457">
        <v>118</v>
      </c>
      <c r="ACN10" s="459"/>
      <c r="ACO10" s="459"/>
      <c r="ACP10" s="459"/>
      <c r="ACQ10" s="460"/>
      <c r="ACR10" s="457">
        <v>119</v>
      </c>
      <c r="ACS10" s="459"/>
      <c r="ACT10" s="459"/>
      <c r="ACU10" s="459"/>
      <c r="ACV10" s="460"/>
      <c r="ACW10" s="457">
        <v>120</v>
      </c>
      <c r="ACX10" s="459"/>
      <c r="ACY10" s="459"/>
      <c r="ACZ10" s="459"/>
      <c r="ADA10" s="460"/>
      <c r="ADB10" s="457" t="s">
        <v>684</v>
      </c>
      <c r="ADC10" s="459"/>
      <c r="ADD10" s="459"/>
      <c r="ADE10" s="459"/>
      <c r="ADF10" s="459"/>
      <c r="ADG10" s="460"/>
      <c r="ADH10" s="457">
        <v>121</v>
      </c>
      <c r="ADI10" s="459"/>
      <c r="ADJ10" s="459"/>
      <c r="ADK10" s="459"/>
      <c r="ADL10" s="460"/>
      <c r="ADM10" s="457">
        <v>122</v>
      </c>
      <c r="ADN10" s="459"/>
      <c r="ADO10" s="459"/>
      <c r="ADP10" s="459"/>
      <c r="ADQ10" s="460"/>
      <c r="ADR10" s="457">
        <v>123</v>
      </c>
      <c r="ADS10" s="459"/>
      <c r="ADT10" s="459"/>
      <c r="ADU10" s="459"/>
      <c r="ADV10" s="460"/>
      <c r="ADW10" s="457">
        <v>124</v>
      </c>
      <c r="ADX10" s="459"/>
      <c r="ADY10" s="459"/>
      <c r="ADZ10" s="459"/>
      <c r="AEA10" s="460"/>
      <c r="AEB10" s="457" t="s">
        <v>684</v>
      </c>
      <c r="AEC10" s="459"/>
      <c r="AED10" s="459"/>
      <c r="AEE10" s="459"/>
      <c r="AEF10" s="459"/>
      <c r="AEG10" s="460"/>
      <c r="AEH10" s="457">
        <v>125</v>
      </c>
      <c r="AEI10" s="459"/>
      <c r="AEJ10" s="459"/>
      <c r="AEK10" s="459"/>
      <c r="AEL10" s="460"/>
      <c r="AEM10" s="457">
        <v>126</v>
      </c>
      <c r="AEN10" s="459"/>
      <c r="AEO10" s="459"/>
      <c r="AEP10" s="459"/>
      <c r="AEQ10" s="459"/>
      <c r="AER10" s="460"/>
      <c r="AES10" s="457">
        <v>127</v>
      </c>
      <c r="AET10" s="459"/>
      <c r="AEU10" s="459"/>
      <c r="AEV10" s="459"/>
      <c r="AEW10" s="460"/>
      <c r="AEX10" s="457">
        <v>128</v>
      </c>
      <c r="AEY10" s="459"/>
      <c r="AEZ10" s="459"/>
      <c r="AFA10" s="459"/>
      <c r="AFB10" s="460"/>
      <c r="AFC10" s="457" t="s">
        <v>684</v>
      </c>
      <c r="AFD10" s="459"/>
      <c r="AFE10" s="459"/>
      <c r="AFF10" s="459"/>
      <c r="AFG10" s="459"/>
      <c r="AFH10" s="460"/>
      <c r="AFI10" s="457">
        <v>129</v>
      </c>
      <c r="AFJ10" s="459"/>
      <c r="AFK10" s="459"/>
      <c r="AFL10" s="459"/>
      <c r="AFM10" s="460"/>
      <c r="AFN10" s="457">
        <v>130</v>
      </c>
      <c r="AFO10" s="459"/>
      <c r="AFP10" s="459"/>
      <c r="AFQ10" s="459"/>
      <c r="AFR10" s="460"/>
      <c r="AFS10" s="457">
        <v>131</v>
      </c>
      <c r="AFT10" s="459"/>
      <c r="AFU10" s="459"/>
      <c r="AFV10" s="459"/>
      <c r="AFW10" s="460"/>
      <c r="AFX10" s="457">
        <v>132</v>
      </c>
      <c r="AFY10" s="459"/>
      <c r="AFZ10" s="459"/>
      <c r="AGA10" s="459"/>
      <c r="AGB10" s="460"/>
      <c r="AGC10" s="457" t="s">
        <v>684</v>
      </c>
      <c r="AGD10" s="459"/>
      <c r="AGE10" s="459"/>
      <c r="AGF10" s="459"/>
      <c r="AGG10" s="459"/>
      <c r="AGH10" s="460"/>
      <c r="AGI10" s="457">
        <v>133</v>
      </c>
      <c r="AGJ10" s="459"/>
      <c r="AGK10" s="459"/>
      <c r="AGL10" s="459"/>
      <c r="AGM10" s="460"/>
      <c r="AGN10" s="457">
        <v>134</v>
      </c>
      <c r="AGO10" s="459"/>
      <c r="AGP10" s="459"/>
      <c r="AGQ10" s="459"/>
      <c r="AGR10" s="460"/>
      <c r="AGS10" s="457">
        <v>135</v>
      </c>
      <c r="AGT10" s="459"/>
      <c r="AGU10" s="459"/>
      <c r="AGV10" s="459"/>
      <c r="AGW10" s="460"/>
      <c r="AGX10" s="457">
        <v>136</v>
      </c>
      <c r="AGY10" s="459"/>
      <c r="AGZ10" s="459"/>
      <c r="AHA10" s="459"/>
      <c r="AHB10" s="460"/>
      <c r="AHC10" s="457" t="s">
        <v>684</v>
      </c>
      <c r="AHD10" s="459"/>
      <c r="AHE10" s="459"/>
      <c r="AHF10" s="459"/>
      <c r="AHG10" s="459"/>
      <c r="AHH10" s="460"/>
      <c r="AHI10" s="457">
        <v>137</v>
      </c>
      <c r="AHJ10" s="459"/>
      <c r="AHK10" s="459"/>
      <c r="AHL10" s="459"/>
      <c r="AHM10" s="460"/>
      <c r="AHN10" s="457">
        <v>138</v>
      </c>
      <c r="AHO10" s="459"/>
      <c r="AHP10" s="459"/>
      <c r="AHQ10" s="459"/>
      <c r="AHR10" s="460"/>
      <c r="AHS10" s="457">
        <v>139</v>
      </c>
      <c r="AHT10" s="459"/>
      <c r="AHU10" s="459"/>
      <c r="AHV10" s="459"/>
      <c r="AHW10" s="460"/>
      <c r="AHX10" s="457">
        <v>140</v>
      </c>
      <c r="AHY10" s="459"/>
      <c r="AHZ10" s="459"/>
      <c r="AIA10" s="459"/>
      <c r="AIB10" s="460"/>
      <c r="AIC10" s="457" t="s">
        <v>684</v>
      </c>
      <c r="AID10" s="459"/>
      <c r="AIE10" s="459"/>
      <c r="AIF10" s="459"/>
      <c r="AIG10" s="459"/>
      <c r="AIH10" s="460"/>
      <c r="AII10" s="457">
        <v>141</v>
      </c>
      <c r="AIJ10" s="459"/>
      <c r="AIK10" s="459"/>
      <c r="AIL10" s="459"/>
      <c r="AIM10" s="460"/>
      <c r="AIN10" s="457">
        <v>142</v>
      </c>
      <c r="AIO10" s="459"/>
      <c r="AIP10" s="459"/>
      <c r="AIQ10" s="459"/>
      <c r="AIR10" s="460"/>
      <c r="AIS10" s="457">
        <v>143</v>
      </c>
      <c r="AIT10" s="459"/>
      <c r="AIU10" s="459"/>
      <c r="AIV10" s="459"/>
      <c r="AIW10" s="460"/>
      <c r="AIX10" s="457">
        <v>144</v>
      </c>
      <c r="AIY10" s="459"/>
      <c r="AIZ10" s="459"/>
      <c r="AJA10" s="459"/>
      <c r="AJB10" s="460"/>
      <c r="AJC10" s="457" t="s">
        <v>684</v>
      </c>
      <c r="AJD10" s="459"/>
      <c r="AJE10" s="459"/>
      <c r="AJF10" s="459"/>
      <c r="AJG10" s="459"/>
      <c r="AJH10" s="460"/>
      <c r="AJI10" s="457">
        <v>145</v>
      </c>
      <c r="AJJ10" s="459"/>
      <c r="AJK10" s="459"/>
      <c r="AJL10" s="459"/>
      <c r="AJM10" s="460"/>
      <c r="AJN10" s="457">
        <v>146</v>
      </c>
      <c r="AJO10" s="459"/>
      <c r="AJP10" s="459"/>
      <c r="AJQ10" s="459"/>
      <c r="AJR10" s="460"/>
      <c r="AJS10" s="457">
        <v>147</v>
      </c>
      <c r="AJT10" s="459"/>
      <c r="AJU10" s="459"/>
      <c r="AJV10" s="459"/>
      <c r="AJW10" s="460"/>
      <c r="AJX10" s="457">
        <v>148</v>
      </c>
      <c r="AJY10" s="459"/>
      <c r="AJZ10" s="459"/>
      <c r="AKA10" s="459"/>
      <c r="AKB10" s="460"/>
      <c r="AKC10" s="457" t="s">
        <v>684</v>
      </c>
      <c r="AKD10" s="459"/>
      <c r="AKE10" s="459"/>
      <c r="AKF10" s="459"/>
      <c r="AKG10" s="459"/>
      <c r="AKH10" s="460"/>
      <c r="AKI10" s="457">
        <v>149</v>
      </c>
      <c r="AKJ10" s="459"/>
      <c r="AKK10" s="459"/>
      <c r="AKL10" s="459"/>
      <c r="AKM10" s="460"/>
      <c r="AKN10" s="457">
        <v>150</v>
      </c>
      <c r="AKO10" s="459"/>
      <c r="AKP10" s="459"/>
      <c r="AKQ10" s="459"/>
      <c r="AKR10" s="460"/>
      <c r="AKS10" s="457">
        <v>151</v>
      </c>
      <c r="AKT10" s="459"/>
      <c r="AKU10" s="459"/>
      <c r="AKV10" s="459"/>
      <c r="AKW10" s="460"/>
      <c r="AKX10" s="457">
        <v>152</v>
      </c>
      <c r="AKY10" s="459"/>
      <c r="AKZ10" s="459"/>
      <c r="ALA10" s="459"/>
      <c r="ALB10" s="460"/>
      <c r="ALC10" s="457" t="s">
        <v>684</v>
      </c>
      <c r="ALD10" s="459"/>
      <c r="ALE10" s="459"/>
      <c r="ALF10" s="459"/>
      <c r="ALG10" s="459"/>
      <c r="ALH10" s="460"/>
      <c r="ALI10" s="457">
        <v>153</v>
      </c>
      <c r="ALJ10" s="459"/>
      <c r="ALK10" s="459"/>
      <c r="ALL10" s="459"/>
      <c r="ALM10" s="460"/>
      <c r="ALN10" s="457">
        <v>154</v>
      </c>
      <c r="ALO10" s="459"/>
      <c r="ALP10" s="459"/>
      <c r="ALQ10" s="459"/>
      <c r="ALR10" s="460"/>
      <c r="ALS10" s="457">
        <v>155</v>
      </c>
      <c r="ALT10" s="459"/>
      <c r="ALU10" s="459"/>
      <c r="ALV10" s="459"/>
      <c r="ALW10" s="460"/>
      <c r="ALX10" s="457">
        <v>156</v>
      </c>
      <c r="ALY10" s="459"/>
      <c r="ALZ10" s="459"/>
      <c r="AMA10" s="459"/>
      <c r="AMB10" s="460"/>
      <c r="AMC10" s="457" t="s">
        <v>684</v>
      </c>
      <c r="AMD10" s="459"/>
      <c r="AME10" s="459"/>
      <c r="AMF10" s="459"/>
      <c r="AMG10" s="459"/>
      <c r="AMH10" s="460"/>
      <c r="AMI10" s="457">
        <v>157</v>
      </c>
      <c r="AMJ10" s="459"/>
      <c r="AMK10" s="459"/>
      <c r="AML10" s="459"/>
      <c r="AMM10" s="460"/>
      <c r="AMN10" s="457">
        <v>158</v>
      </c>
      <c r="AMO10" s="459"/>
      <c r="AMP10" s="459"/>
      <c r="AMQ10" s="459"/>
      <c r="AMR10" s="460"/>
      <c r="AMS10" s="400"/>
      <c r="AMT10" s="457">
        <v>159</v>
      </c>
      <c r="AMU10" s="459"/>
      <c r="AMV10" s="459"/>
      <c r="AMW10" s="459"/>
      <c r="AMX10" s="460"/>
      <c r="AMY10" s="457">
        <v>160</v>
      </c>
      <c r="AMZ10" s="459"/>
      <c r="ANA10" s="459"/>
      <c r="ANB10" s="459"/>
      <c r="ANC10" s="460"/>
      <c r="AND10" s="457" t="s">
        <v>684</v>
      </c>
      <c r="ANE10" s="459"/>
      <c r="ANF10" s="459"/>
      <c r="ANG10" s="459"/>
      <c r="ANH10" s="459"/>
      <c r="ANI10" s="460"/>
      <c r="ANJ10" s="457">
        <v>161</v>
      </c>
      <c r="ANK10" s="459"/>
      <c r="ANL10" s="459"/>
      <c r="ANM10" s="459"/>
      <c r="ANN10" s="460"/>
      <c r="ANO10" s="457">
        <v>162</v>
      </c>
      <c r="ANP10" s="459"/>
      <c r="ANQ10" s="459"/>
      <c r="ANR10" s="459"/>
      <c r="ANS10" s="460"/>
      <c r="ANT10" s="400"/>
      <c r="ANU10" s="457">
        <v>163</v>
      </c>
      <c r="ANV10" s="459"/>
      <c r="ANW10" s="459"/>
      <c r="ANX10" s="459"/>
      <c r="ANY10" s="460"/>
      <c r="ANZ10" s="457">
        <v>164</v>
      </c>
      <c r="AOA10" s="459"/>
      <c r="AOB10" s="459"/>
      <c r="AOC10" s="459"/>
      <c r="AOD10" s="460"/>
      <c r="AOE10" s="457" t="s">
        <v>684</v>
      </c>
      <c r="AOF10" s="459"/>
      <c r="AOG10" s="459"/>
      <c r="AOH10" s="459"/>
      <c r="AOI10" s="459"/>
      <c r="AOJ10" s="460"/>
      <c r="AOK10" s="457">
        <v>165</v>
      </c>
      <c r="AOL10" s="459"/>
      <c r="AOM10" s="459"/>
      <c r="AON10" s="459"/>
      <c r="AOO10" s="460"/>
      <c r="AOP10" s="457">
        <v>166</v>
      </c>
      <c r="AOQ10" s="459"/>
      <c r="AOR10" s="459"/>
      <c r="AOS10" s="459"/>
      <c r="AOT10" s="460"/>
      <c r="AOU10" s="400"/>
      <c r="AOV10" s="457">
        <v>167</v>
      </c>
      <c r="AOW10" s="459"/>
      <c r="AOX10" s="459"/>
      <c r="AOY10" s="459"/>
      <c r="AOZ10" s="460"/>
      <c r="APA10" s="457"/>
      <c r="APB10" s="459"/>
      <c r="APC10" s="459"/>
      <c r="APD10" s="459"/>
      <c r="APE10" s="460"/>
    </row>
    <row r="11" spans="1:1097" ht="45" customHeight="1" x14ac:dyDescent="0.4">
      <c r="A11" s="554" t="s">
        <v>14</v>
      </c>
      <c r="B11" s="512" t="s">
        <v>13</v>
      </c>
      <c r="C11" s="458"/>
      <c r="D11" s="458"/>
      <c r="E11" s="458"/>
      <c r="F11" s="465"/>
      <c r="G11" s="468">
        <v>44286</v>
      </c>
      <c r="H11" s="469"/>
      <c r="I11" s="469"/>
      <c r="J11" s="470"/>
      <c r="K11" s="401">
        <v>44287</v>
      </c>
      <c r="L11" s="468">
        <v>44287</v>
      </c>
      <c r="M11" s="469"/>
      <c r="N11" s="469"/>
      <c r="O11" s="470"/>
      <c r="P11" s="401">
        <v>44288</v>
      </c>
      <c r="Q11" s="468">
        <v>44288</v>
      </c>
      <c r="R11" s="469"/>
      <c r="S11" s="469"/>
      <c r="T11" s="470"/>
      <c r="U11" s="401">
        <v>44289</v>
      </c>
      <c r="V11" s="468">
        <v>44290</v>
      </c>
      <c r="W11" s="469"/>
      <c r="X11" s="469"/>
      <c r="Y11" s="470"/>
      <c r="Z11" s="401">
        <v>44291</v>
      </c>
      <c r="AA11" s="554" t="s">
        <v>14</v>
      </c>
      <c r="AB11" s="512" t="s">
        <v>13</v>
      </c>
      <c r="AC11" s="458"/>
      <c r="AD11" s="458"/>
      <c r="AE11" s="458"/>
      <c r="AF11" s="465"/>
      <c r="AG11" s="468">
        <v>44291</v>
      </c>
      <c r="AH11" s="469"/>
      <c r="AI11" s="469"/>
      <c r="AJ11" s="470"/>
      <c r="AK11" s="401">
        <v>44292</v>
      </c>
      <c r="AL11" s="468">
        <v>44292</v>
      </c>
      <c r="AM11" s="469"/>
      <c r="AN11" s="469"/>
      <c r="AO11" s="470"/>
      <c r="AP11" s="401">
        <v>44293</v>
      </c>
      <c r="AQ11" s="468">
        <v>44293</v>
      </c>
      <c r="AR11" s="469"/>
      <c r="AS11" s="469"/>
      <c r="AT11" s="470"/>
      <c r="AU11" s="401">
        <v>44294</v>
      </c>
      <c r="AV11" s="468">
        <v>44294</v>
      </c>
      <c r="AW11" s="469"/>
      <c r="AX11" s="469"/>
      <c r="AY11" s="470"/>
      <c r="AZ11" s="401">
        <v>44295</v>
      </c>
      <c r="BA11" s="554" t="s">
        <v>14</v>
      </c>
      <c r="BB11" s="512" t="s">
        <v>13</v>
      </c>
      <c r="BC11" s="458"/>
      <c r="BD11" s="458"/>
      <c r="BE11" s="458"/>
      <c r="BF11" s="465"/>
      <c r="BG11" s="468">
        <v>44295</v>
      </c>
      <c r="BH11" s="469"/>
      <c r="BI11" s="469"/>
      <c r="BJ11" s="470"/>
      <c r="BK11" s="401">
        <v>44296</v>
      </c>
      <c r="BL11" s="468">
        <v>44296</v>
      </c>
      <c r="BM11" s="469"/>
      <c r="BN11" s="469"/>
      <c r="BO11" s="470"/>
      <c r="BP11" s="401">
        <v>44297</v>
      </c>
      <c r="BQ11" s="468">
        <v>44297</v>
      </c>
      <c r="BR11" s="469"/>
      <c r="BS11" s="469"/>
      <c r="BT11" s="470"/>
      <c r="BU11" s="401">
        <v>44298</v>
      </c>
      <c r="BV11" s="468">
        <v>44299</v>
      </c>
      <c r="BW11" s="469"/>
      <c r="BX11" s="469"/>
      <c r="BY11" s="470"/>
      <c r="BZ11" s="401">
        <v>44300</v>
      </c>
      <c r="CA11" s="554" t="s">
        <v>14</v>
      </c>
      <c r="CB11" s="512" t="s">
        <v>13</v>
      </c>
      <c r="CC11" s="458"/>
      <c r="CD11" s="458"/>
      <c r="CE11" s="458"/>
      <c r="CF11" s="465"/>
      <c r="CG11" s="468">
        <v>44300</v>
      </c>
      <c r="CH11" s="469"/>
      <c r="CI11" s="469"/>
      <c r="CJ11" s="470"/>
      <c r="CK11" s="401">
        <v>44301</v>
      </c>
      <c r="CL11" s="468">
        <v>44301</v>
      </c>
      <c r="CM11" s="469"/>
      <c r="CN11" s="469"/>
      <c r="CO11" s="470"/>
      <c r="CP11" s="401">
        <v>44302</v>
      </c>
      <c r="CQ11" s="468">
        <v>44302</v>
      </c>
      <c r="CR11" s="469"/>
      <c r="CS11" s="469"/>
      <c r="CT11" s="470"/>
      <c r="CU11" s="401">
        <v>44303</v>
      </c>
      <c r="CV11" s="468">
        <v>44303</v>
      </c>
      <c r="CW11" s="469"/>
      <c r="CX11" s="469"/>
      <c r="CY11" s="470"/>
      <c r="CZ11" s="401">
        <v>44304</v>
      </c>
      <c r="DA11" s="554" t="s">
        <v>14</v>
      </c>
      <c r="DB11" s="512" t="s">
        <v>13</v>
      </c>
      <c r="DC11" s="458"/>
      <c r="DD11" s="458"/>
      <c r="DE11" s="458"/>
      <c r="DF11" s="465"/>
      <c r="DG11" s="468">
        <v>44304</v>
      </c>
      <c r="DH11" s="469"/>
      <c r="DI11" s="469"/>
      <c r="DJ11" s="470"/>
      <c r="DK11" s="401">
        <v>44305</v>
      </c>
      <c r="DL11" s="468">
        <v>44305</v>
      </c>
      <c r="DM11" s="469"/>
      <c r="DN11" s="469"/>
      <c r="DO11" s="470"/>
      <c r="DP11" s="401">
        <v>44306</v>
      </c>
      <c r="DQ11" s="468">
        <v>44306</v>
      </c>
      <c r="DR11" s="469"/>
      <c r="DS11" s="469"/>
      <c r="DT11" s="470"/>
      <c r="DU11" s="401">
        <v>44307</v>
      </c>
      <c r="DV11" s="468">
        <v>44307</v>
      </c>
      <c r="DW11" s="469"/>
      <c r="DX11" s="469"/>
      <c r="DY11" s="470"/>
      <c r="DZ11" s="401">
        <v>44308</v>
      </c>
      <c r="EA11" s="554" t="s">
        <v>14</v>
      </c>
      <c r="EB11" s="512" t="s">
        <v>13</v>
      </c>
      <c r="EC11" s="458"/>
      <c r="ED11" s="458"/>
      <c r="EE11" s="458"/>
      <c r="EF11" s="465"/>
      <c r="EG11" s="468">
        <v>44308</v>
      </c>
      <c r="EH11" s="469"/>
      <c r="EI11" s="469"/>
      <c r="EJ11" s="470"/>
      <c r="EK11" s="401">
        <v>44309</v>
      </c>
      <c r="EL11" s="468">
        <v>44309</v>
      </c>
      <c r="EM11" s="469"/>
      <c r="EN11" s="469"/>
      <c r="EO11" s="470"/>
      <c r="EP11" s="401">
        <v>44310</v>
      </c>
      <c r="EQ11" s="468">
        <v>44310</v>
      </c>
      <c r="ER11" s="469"/>
      <c r="ES11" s="469"/>
      <c r="ET11" s="470"/>
      <c r="EU11" s="401">
        <v>44311</v>
      </c>
      <c r="EV11" s="468">
        <v>44311</v>
      </c>
      <c r="EW11" s="469"/>
      <c r="EX11" s="469"/>
      <c r="EY11" s="470"/>
      <c r="EZ11" s="401">
        <v>44312</v>
      </c>
      <c r="FA11" s="554" t="s">
        <v>14</v>
      </c>
      <c r="FB11" s="512" t="s">
        <v>13</v>
      </c>
      <c r="FC11" s="458"/>
      <c r="FD11" s="458"/>
      <c r="FE11" s="458"/>
      <c r="FF11" s="465"/>
      <c r="FG11" s="468">
        <v>44312</v>
      </c>
      <c r="FH11" s="469"/>
      <c r="FI11" s="469"/>
      <c r="FJ11" s="470"/>
      <c r="FK11" s="401">
        <v>44313</v>
      </c>
      <c r="FL11" s="468">
        <v>44315</v>
      </c>
      <c r="FM11" s="469"/>
      <c r="FN11" s="469"/>
      <c r="FO11" s="470"/>
      <c r="FP11" s="401">
        <v>44316</v>
      </c>
      <c r="FQ11" s="468">
        <v>44316</v>
      </c>
      <c r="FR11" s="469"/>
      <c r="FS11" s="469"/>
      <c r="FT11" s="470"/>
      <c r="FU11" s="401">
        <v>44317</v>
      </c>
      <c r="FV11" s="468">
        <v>44317</v>
      </c>
      <c r="FW11" s="469"/>
      <c r="FX11" s="469"/>
      <c r="FY11" s="470"/>
      <c r="FZ11" s="401">
        <v>44318</v>
      </c>
      <c r="GA11" s="554" t="s">
        <v>14</v>
      </c>
      <c r="GB11" s="512" t="s">
        <v>13</v>
      </c>
      <c r="GC11" s="458"/>
      <c r="GD11" s="458"/>
      <c r="GE11" s="458"/>
      <c r="GF11" s="465"/>
      <c r="GG11" s="468">
        <v>44318</v>
      </c>
      <c r="GH11" s="469"/>
      <c r="GI11" s="469"/>
      <c r="GJ11" s="470"/>
      <c r="GK11" s="401">
        <v>44319</v>
      </c>
      <c r="GL11" s="468">
        <v>44319</v>
      </c>
      <c r="GM11" s="469"/>
      <c r="GN11" s="469"/>
      <c r="GO11" s="470"/>
      <c r="GP11" s="401">
        <v>44320</v>
      </c>
      <c r="GQ11" s="468">
        <v>44320</v>
      </c>
      <c r="GR11" s="469"/>
      <c r="GS11" s="469"/>
      <c r="GT11" s="470"/>
      <c r="GU11" s="401">
        <v>44321</v>
      </c>
      <c r="GV11" s="468">
        <v>44321</v>
      </c>
      <c r="GW11" s="469"/>
      <c r="GX11" s="469"/>
      <c r="GY11" s="470"/>
      <c r="GZ11" s="401">
        <v>44322</v>
      </c>
      <c r="HA11" s="554" t="s">
        <v>14</v>
      </c>
      <c r="HB11" s="512" t="s">
        <v>13</v>
      </c>
      <c r="HC11" s="458"/>
      <c r="HD11" s="458"/>
      <c r="HE11" s="458"/>
      <c r="HF11" s="465"/>
      <c r="HG11" s="468">
        <v>44323</v>
      </c>
      <c r="HH11" s="469"/>
      <c r="HI11" s="469"/>
      <c r="HJ11" s="470"/>
      <c r="HK11" s="401">
        <v>44324</v>
      </c>
      <c r="HL11" s="468">
        <v>44324</v>
      </c>
      <c r="HM11" s="469"/>
      <c r="HN11" s="469"/>
      <c r="HO11" s="470"/>
      <c r="HP11" s="401">
        <v>44325</v>
      </c>
      <c r="HQ11" s="468">
        <v>44325</v>
      </c>
      <c r="HR11" s="469"/>
      <c r="HS11" s="469"/>
      <c r="HT11" s="470"/>
      <c r="HU11" s="401">
        <v>44326</v>
      </c>
      <c r="HV11" s="468">
        <v>44326</v>
      </c>
      <c r="HW11" s="469"/>
      <c r="HX11" s="469"/>
      <c r="HY11" s="470"/>
      <c r="HZ11" s="401">
        <v>44327</v>
      </c>
      <c r="IA11" s="554" t="s">
        <v>14</v>
      </c>
      <c r="IB11" s="512" t="s">
        <v>13</v>
      </c>
      <c r="IC11" s="458"/>
      <c r="ID11" s="458"/>
      <c r="IE11" s="458"/>
      <c r="IF11" s="465"/>
      <c r="IG11" s="468">
        <v>44328</v>
      </c>
      <c r="IH11" s="469"/>
      <c r="II11" s="469"/>
      <c r="IJ11" s="470"/>
      <c r="IK11" s="401">
        <v>44329</v>
      </c>
      <c r="IL11" s="468">
        <v>44329</v>
      </c>
      <c r="IM11" s="469"/>
      <c r="IN11" s="469"/>
      <c r="IO11" s="470"/>
      <c r="IP11" s="401">
        <v>44330</v>
      </c>
      <c r="IQ11" s="468">
        <v>44334</v>
      </c>
      <c r="IR11" s="469"/>
      <c r="IS11" s="469"/>
      <c r="IT11" s="470"/>
      <c r="IU11" s="401">
        <v>44335</v>
      </c>
      <c r="IV11" s="468">
        <v>44336</v>
      </c>
      <c r="IW11" s="469"/>
      <c r="IX11" s="469"/>
      <c r="IY11" s="470"/>
      <c r="IZ11" s="401">
        <v>44337</v>
      </c>
      <c r="JA11" s="554" t="s">
        <v>14</v>
      </c>
      <c r="JB11" s="512" t="s">
        <v>13</v>
      </c>
      <c r="JC11" s="458"/>
      <c r="JD11" s="458"/>
      <c r="JE11" s="458"/>
      <c r="JF11" s="465"/>
      <c r="JG11" s="468">
        <v>44337</v>
      </c>
      <c r="JH11" s="469"/>
      <c r="JI11" s="469"/>
      <c r="JJ11" s="470"/>
      <c r="JK11" s="401">
        <v>44338</v>
      </c>
      <c r="JL11" s="468">
        <v>44338</v>
      </c>
      <c r="JM11" s="469"/>
      <c r="JN11" s="469"/>
      <c r="JO11" s="470"/>
      <c r="JP11" s="401">
        <v>44339</v>
      </c>
      <c r="JQ11" s="468">
        <v>44340</v>
      </c>
      <c r="JR11" s="469"/>
      <c r="JS11" s="469"/>
      <c r="JT11" s="470"/>
      <c r="JU11" s="401">
        <v>44341</v>
      </c>
      <c r="JV11" s="468">
        <v>44343</v>
      </c>
      <c r="JW11" s="469"/>
      <c r="JX11" s="469"/>
      <c r="JY11" s="470"/>
      <c r="JZ11" s="401">
        <v>44344</v>
      </c>
      <c r="KA11" s="554" t="s">
        <v>14</v>
      </c>
      <c r="KB11" s="512" t="s">
        <v>13</v>
      </c>
      <c r="KC11" s="458"/>
      <c r="KD11" s="458"/>
      <c r="KE11" s="458"/>
      <c r="KF11" s="465"/>
      <c r="KG11" s="468">
        <v>44344</v>
      </c>
      <c r="KH11" s="469"/>
      <c r="KI11" s="469"/>
      <c r="KJ11" s="470"/>
      <c r="KK11" s="401">
        <v>44345</v>
      </c>
      <c r="KL11" s="468">
        <v>44345</v>
      </c>
      <c r="KM11" s="469"/>
      <c r="KN11" s="469"/>
      <c r="KO11" s="470"/>
      <c r="KP11" s="401">
        <v>44346</v>
      </c>
      <c r="KQ11" s="468">
        <v>44346</v>
      </c>
      <c r="KR11" s="469"/>
      <c r="KS11" s="469"/>
      <c r="KT11" s="470"/>
      <c r="KU11" s="401">
        <v>44347</v>
      </c>
      <c r="KV11" s="468">
        <v>44347</v>
      </c>
      <c r="KW11" s="469"/>
      <c r="KX11" s="469"/>
      <c r="KY11" s="470"/>
      <c r="KZ11" s="401">
        <v>44348</v>
      </c>
      <c r="LA11" s="554" t="s">
        <v>14</v>
      </c>
      <c r="LB11" s="512" t="s">
        <v>13</v>
      </c>
      <c r="LC11" s="458"/>
      <c r="LD11" s="458"/>
      <c r="LE11" s="458"/>
      <c r="LF11" s="465"/>
      <c r="LG11" s="468">
        <v>44352</v>
      </c>
      <c r="LH11" s="469"/>
      <c r="LI11" s="469"/>
      <c r="LJ11" s="470"/>
      <c r="LK11" s="401">
        <v>44353</v>
      </c>
      <c r="LL11" s="468">
        <v>44353</v>
      </c>
      <c r="LM11" s="469"/>
      <c r="LN11" s="469"/>
      <c r="LO11" s="470"/>
      <c r="LP11" s="401">
        <v>44354</v>
      </c>
      <c r="LQ11" s="468">
        <v>44354</v>
      </c>
      <c r="LR11" s="469"/>
      <c r="LS11" s="469"/>
      <c r="LT11" s="470"/>
      <c r="LU11" s="401">
        <v>44355</v>
      </c>
      <c r="LV11" s="468">
        <v>44359</v>
      </c>
      <c r="LW11" s="469"/>
      <c r="LX11" s="469"/>
      <c r="LY11" s="470"/>
      <c r="LZ11" s="401">
        <v>44360</v>
      </c>
      <c r="MA11" s="554" t="s">
        <v>14</v>
      </c>
      <c r="MB11" s="512" t="s">
        <v>13</v>
      </c>
      <c r="MC11" s="458"/>
      <c r="MD11" s="458"/>
      <c r="ME11" s="458"/>
      <c r="MF11" s="465"/>
      <c r="MG11" s="468">
        <v>44365</v>
      </c>
      <c r="MH11" s="469"/>
      <c r="MI11" s="469"/>
      <c r="MJ11" s="470"/>
      <c r="MK11" s="401">
        <v>44366</v>
      </c>
      <c r="ML11" s="468">
        <v>44366</v>
      </c>
      <c r="MM11" s="469"/>
      <c r="MN11" s="469"/>
      <c r="MO11" s="470"/>
      <c r="MP11" s="401">
        <v>44367</v>
      </c>
      <c r="MQ11" s="468">
        <v>44367</v>
      </c>
      <c r="MR11" s="469"/>
      <c r="MS11" s="469"/>
      <c r="MT11" s="470"/>
      <c r="MU11" s="401">
        <v>44368</v>
      </c>
      <c r="MV11" s="468">
        <v>44368</v>
      </c>
      <c r="MW11" s="469"/>
      <c r="MX11" s="469"/>
      <c r="MY11" s="470"/>
      <c r="MZ11" s="401">
        <v>44369</v>
      </c>
      <c r="NA11" s="554" t="s">
        <v>14</v>
      </c>
      <c r="NB11" s="512" t="s">
        <v>13</v>
      </c>
      <c r="NC11" s="458"/>
      <c r="ND11" s="458"/>
      <c r="NE11" s="458"/>
      <c r="NF11" s="465"/>
      <c r="NG11" s="468">
        <v>44369</v>
      </c>
      <c r="NH11" s="469"/>
      <c r="NI11" s="469"/>
      <c r="NJ11" s="470"/>
      <c r="NK11" s="401">
        <v>44370</v>
      </c>
      <c r="NL11" s="468">
        <v>44370</v>
      </c>
      <c r="NM11" s="469"/>
      <c r="NN11" s="469"/>
      <c r="NO11" s="470"/>
      <c r="NP11" s="401">
        <v>44371</v>
      </c>
      <c r="NQ11" s="468">
        <v>44373</v>
      </c>
      <c r="NR11" s="469"/>
      <c r="NS11" s="469"/>
      <c r="NT11" s="470"/>
      <c r="NU11" s="401">
        <v>44374</v>
      </c>
      <c r="NV11" s="468">
        <v>44375</v>
      </c>
      <c r="NW11" s="469"/>
      <c r="NX11" s="469"/>
      <c r="NY11" s="470"/>
      <c r="NZ11" s="401">
        <v>44376</v>
      </c>
      <c r="OA11" s="554" t="s">
        <v>14</v>
      </c>
      <c r="OB11" s="512" t="s">
        <v>13</v>
      </c>
      <c r="OC11" s="458"/>
      <c r="OD11" s="458"/>
      <c r="OE11" s="458"/>
      <c r="OF11" s="465"/>
      <c r="OG11" s="468">
        <v>44380</v>
      </c>
      <c r="OH11" s="469"/>
      <c r="OI11" s="469"/>
      <c r="OJ11" s="470"/>
      <c r="OK11" s="401">
        <v>44381</v>
      </c>
      <c r="OL11" s="587">
        <v>44388</v>
      </c>
      <c r="OM11" s="588"/>
      <c r="ON11" s="588"/>
      <c r="OO11" s="589"/>
      <c r="OP11" s="401">
        <v>44388</v>
      </c>
      <c r="OQ11" s="468">
        <v>44398</v>
      </c>
      <c r="OR11" s="469"/>
      <c r="OS11" s="469"/>
      <c r="OT11" s="470"/>
      <c r="OU11" s="401">
        <v>44399</v>
      </c>
      <c r="OV11" s="468">
        <v>44400</v>
      </c>
      <c r="OW11" s="469"/>
      <c r="OX11" s="469"/>
      <c r="OY11" s="470"/>
      <c r="OZ11" s="401">
        <v>44401</v>
      </c>
      <c r="PA11" s="554" t="s">
        <v>14</v>
      </c>
      <c r="PB11" s="512" t="s">
        <v>13</v>
      </c>
      <c r="PC11" s="458"/>
      <c r="PD11" s="458"/>
      <c r="PE11" s="458"/>
      <c r="PF11" s="465"/>
      <c r="PG11" s="468">
        <v>44422</v>
      </c>
      <c r="PH11" s="469"/>
      <c r="PI11" s="469"/>
      <c r="PJ11" s="470"/>
      <c r="PK11" s="401">
        <v>44423</v>
      </c>
      <c r="PL11" s="468">
        <v>44435</v>
      </c>
      <c r="PM11" s="469"/>
      <c r="PN11" s="469"/>
      <c r="PO11" s="470"/>
      <c r="PP11" s="401">
        <v>44436</v>
      </c>
      <c r="PQ11" s="468">
        <v>44436</v>
      </c>
      <c r="PR11" s="469"/>
      <c r="PS11" s="469"/>
      <c r="PT11" s="470"/>
      <c r="PU11" s="401">
        <v>44437</v>
      </c>
      <c r="PV11" s="468">
        <v>44443</v>
      </c>
      <c r="PW11" s="469"/>
      <c r="PX11" s="469"/>
      <c r="PY11" s="470"/>
      <c r="PZ11" s="401">
        <v>44444</v>
      </c>
      <c r="QA11" s="554" t="s">
        <v>14</v>
      </c>
      <c r="QB11" s="512" t="s">
        <v>13</v>
      </c>
      <c r="QC11" s="458"/>
      <c r="QD11" s="458"/>
      <c r="QE11" s="458"/>
      <c r="QF11" s="465"/>
      <c r="QG11" s="468">
        <v>44456</v>
      </c>
      <c r="QH11" s="469"/>
      <c r="QI11" s="469"/>
      <c r="QJ11" s="470"/>
      <c r="QK11" s="401">
        <v>44457</v>
      </c>
      <c r="QL11" s="468">
        <v>44457</v>
      </c>
      <c r="QM11" s="469"/>
      <c r="QN11" s="469"/>
      <c r="QO11" s="470"/>
      <c r="QP11" s="401">
        <v>44458</v>
      </c>
      <c r="QQ11" s="468">
        <v>44458</v>
      </c>
      <c r="QR11" s="469"/>
      <c r="QS11" s="469"/>
      <c r="QT11" s="470"/>
      <c r="QU11" s="401">
        <v>44459</v>
      </c>
      <c r="QV11" s="468">
        <v>44461</v>
      </c>
      <c r="QW11" s="469"/>
      <c r="QX11" s="469"/>
      <c r="QY11" s="470"/>
      <c r="QZ11" s="401">
        <v>44462</v>
      </c>
      <c r="RA11" s="554" t="s">
        <v>14</v>
      </c>
      <c r="RB11" s="512" t="s">
        <v>13</v>
      </c>
      <c r="RC11" s="458"/>
      <c r="RD11" s="458"/>
      <c r="RE11" s="458"/>
      <c r="RF11" s="465"/>
      <c r="RG11" s="468">
        <v>44462</v>
      </c>
      <c r="RH11" s="469"/>
      <c r="RI11" s="469"/>
      <c r="RJ11" s="470"/>
      <c r="RK11" s="401">
        <v>44463</v>
      </c>
      <c r="RL11" s="468">
        <v>44463</v>
      </c>
      <c r="RM11" s="469"/>
      <c r="RN11" s="469"/>
      <c r="RO11" s="470"/>
      <c r="RP11" s="401">
        <v>44464</v>
      </c>
      <c r="RQ11" s="468">
        <v>44464</v>
      </c>
      <c r="RR11" s="469"/>
      <c r="RS11" s="469"/>
      <c r="RT11" s="470"/>
      <c r="RU11" s="401">
        <v>44465</v>
      </c>
      <c r="RV11" s="468">
        <v>44469</v>
      </c>
      <c r="RW11" s="469"/>
      <c r="RX11" s="469"/>
      <c r="RY11" s="470"/>
      <c r="RZ11" s="401">
        <v>44470</v>
      </c>
      <c r="SA11" s="554" t="s">
        <v>14</v>
      </c>
      <c r="SB11" s="512" t="s">
        <v>13</v>
      </c>
      <c r="SC11" s="458"/>
      <c r="SD11" s="458"/>
      <c r="SE11" s="458"/>
      <c r="SF11" s="465"/>
      <c r="SG11" s="468">
        <v>44470</v>
      </c>
      <c r="SH11" s="469"/>
      <c r="SI11" s="469"/>
      <c r="SJ11" s="470"/>
      <c r="SK11" s="401">
        <v>44471</v>
      </c>
      <c r="SL11" s="468">
        <v>44471</v>
      </c>
      <c r="SM11" s="469"/>
      <c r="SN11" s="469"/>
      <c r="SO11" s="470"/>
      <c r="SP11" s="401">
        <v>44472</v>
      </c>
      <c r="SQ11" s="468">
        <v>44472</v>
      </c>
      <c r="SR11" s="469"/>
      <c r="SS11" s="469"/>
      <c r="ST11" s="470"/>
      <c r="SU11" s="401">
        <v>44473</v>
      </c>
      <c r="SV11" s="468">
        <v>44473</v>
      </c>
      <c r="SW11" s="469"/>
      <c r="SX11" s="469"/>
      <c r="SY11" s="470"/>
      <c r="SZ11" s="401">
        <v>44474</v>
      </c>
      <c r="TA11" s="554" t="s">
        <v>14</v>
      </c>
      <c r="TB11" s="512" t="s">
        <v>13</v>
      </c>
      <c r="TC11" s="458"/>
      <c r="TD11" s="458"/>
      <c r="TE11" s="458"/>
      <c r="TF11" s="465"/>
      <c r="TG11" s="468">
        <v>44474</v>
      </c>
      <c r="TH11" s="469"/>
      <c r="TI11" s="469"/>
      <c r="TJ11" s="470"/>
      <c r="TK11" s="401">
        <v>44475</v>
      </c>
      <c r="TL11" s="468">
        <v>44475</v>
      </c>
      <c r="TM11" s="469"/>
      <c r="TN11" s="469"/>
      <c r="TO11" s="470"/>
      <c r="TP11" s="401"/>
      <c r="TQ11" s="401">
        <v>44476</v>
      </c>
      <c r="TR11" s="468">
        <v>44476</v>
      </c>
      <c r="TS11" s="469"/>
      <c r="TT11" s="469"/>
      <c r="TU11" s="470"/>
      <c r="TV11" s="401">
        <v>44477</v>
      </c>
      <c r="TW11" s="468">
        <v>44477</v>
      </c>
      <c r="TX11" s="469"/>
      <c r="TY11" s="469"/>
      <c r="TZ11" s="470"/>
      <c r="UA11" s="401">
        <v>44478</v>
      </c>
      <c r="UB11" s="554" t="s">
        <v>14</v>
      </c>
      <c r="UC11" s="512" t="s">
        <v>13</v>
      </c>
      <c r="UD11" s="458"/>
      <c r="UE11" s="458"/>
      <c r="UF11" s="458"/>
      <c r="UG11" s="465"/>
      <c r="UH11" s="468">
        <v>44478</v>
      </c>
      <c r="UI11" s="469"/>
      <c r="UJ11" s="469"/>
      <c r="UK11" s="470"/>
      <c r="UL11" s="401">
        <v>44479</v>
      </c>
      <c r="UM11" s="468">
        <v>44479</v>
      </c>
      <c r="UN11" s="469"/>
      <c r="UO11" s="469"/>
      <c r="UP11" s="470"/>
      <c r="UQ11" s="401">
        <v>44480</v>
      </c>
      <c r="UR11" s="468">
        <v>44484</v>
      </c>
      <c r="US11" s="469"/>
      <c r="UT11" s="469"/>
      <c r="UU11" s="470"/>
      <c r="UV11" s="401">
        <v>44485</v>
      </c>
      <c r="UW11" s="468">
        <v>44485</v>
      </c>
      <c r="UX11" s="469"/>
      <c r="UY11" s="469"/>
      <c r="UZ11" s="470"/>
      <c r="VA11" s="401">
        <v>44486</v>
      </c>
      <c r="VB11" s="554" t="s">
        <v>14</v>
      </c>
      <c r="VC11" s="512" t="s">
        <v>13</v>
      </c>
      <c r="VD11" s="458"/>
      <c r="VE11" s="458"/>
      <c r="VF11" s="458"/>
      <c r="VG11" s="465"/>
      <c r="VH11" s="468">
        <v>44486</v>
      </c>
      <c r="VI11" s="469"/>
      <c r="VJ11" s="469"/>
      <c r="VK11" s="470"/>
      <c r="VL11" s="401">
        <v>44487</v>
      </c>
      <c r="VM11" s="468">
        <v>44487</v>
      </c>
      <c r="VN11" s="469"/>
      <c r="VO11" s="469"/>
      <c r="VP11" s="470"/>
      <c r="VQ11" s="401">
        <v>44488</v>
      </c>
      <c r="VR11" s="468">
        <v>44488</v>
      </c>
      <c r="VS11" s="469"/>
      <c r="VT11" s="469"/>
      <c r="VU11" s="470"/>
      <c r="VV11" s="401">
        <v>44489</v>
      </c>
      <c r="VW11" s="468">
        <v>44490</v>
      </c>
      <c r="VX11" s="469"/>
      <c r="VY11" s="469"/>
      <c r="VZ11" s="470"/>
      <c r="WA11" s="401">
        <v>44491</v>
      </c>
      <c r="WB11" s="554" t="s">
        <v>14</v>
      </c>
      <c r="WC11" s="512" t="s">
        <v>13</v>
      </c>
      <c r="WD11" s="458"/>
      <c r="WE11" s="458"/>
      <c r="WF11" s="458"/>
      <c r="WG11" s="465"/>
      <c r="WH11" s="468">
        <v>44491</v>
      </c>
      <c r="WI11" s="469"/>
      <c r="WJ11" s="469"/>
      <c r="WK11" s="470"/>
      <c r="WL11" s="401">
        <v>44492</v>
      </c>
      <c r="WM11" s="468">
        <v>44492</v>
      </c>
      <c r="WN11" s="469"/>
      <c r="WO11" s="469"/>
      <c r="WP11" s="470"/>
      <c r="WQ11" s="401">
        <v>44493</v>
      </c>
      <c r="WR11" s="468">
        <v>44494</v>
      </c>
      <c r="WS11" s="469"/>
      <c r="WT11" s="469"/>
      <c r="WU11" s="470"/>
      <c r="WV11" s="401">
        <v>44495</v>
      </c>
      <c r="WW11" s="468">
        <v>44495</v>
      </c>
      <c r="WX11" s="469"/>
      <c r="WY11" s="469"/>
      <c r="WZ11" s="470"/>
      <c r="XA11" s="401">
        <v>44496</v>
      </c>
      <c r="XB11" s="554" t="s">
        <v>14</v>
      </c>
      <c r="XC11" s="512" t="s">
        <v>13</v>
      </c>
      <c r="XD11" s="458"/>
      <c r="XE11" s="458"/>
      <c r="XF11" s="458"/>
      <c r="XG11" s="465"/>
      <c r="XH11" s="468">
        <v>44496</v>
      </c>
      <c r="XI11" s="469"/>
      <c r="XJ11" s="469"/>
      <c r="XK11" s="470"/>
      <c r="XL11" s="401">
        <v>44497</v>
      </c>
      <c r="XM11" s="468">
        <v>44497</v>
      </c>
      <c r="XN11" s="469"/>
      <c r="XO11" s="469"/>
      <c r="XP11" s="470"/>
      <c r="XQ11" s="401">
        <v>44498</v>
      </c>
      <c r="XR11" s="468">
        <v>44498</v>
      </c>
      <c r="XS11" s="469"/>
      <c r="XT11" s="469"/>
      <c r="XU11" s="470"/>
      <c r="XV11" s="401">
        <v>44499</v>
      </c>
      <c r="XW11" s="468">
        <v>44499</v>
      </c>
      <c r="XX11" s="469"/>
      <c r="XY11" s="469"/>
      <c r="XZ11" s="470"/>
      <c r="YA11" s="401">
        <v>44500</v>
      </c>
      <c r="YB11" s="554" t="s">
        <v>14</v>
      </c>
      <c r="YC11" s="512" t="s">
        <v>13</v>
      </c>
      <c r="YD11" s="458"/>
      <c r="YE11" s="458"/>
      <c r="YF11" s="458"/>
      <c r="YG11" s="465"/>
      <c r="YH11" s="468">
        <v>44500</v>
      </c>
      <c r="YI11" s="469"/>
      <c r="YJ11" s="469"/>
      <c r="YK11" s="470"/>
      <c r="YL11" s="401">
        <v>44501</v>
      </c>
      <c r="YM11" s="468">
        <v>44501</v>
      </c>
      <c r="YN11" s="469"/>
      <c r="YO11" s="469"/>
      <c r="YP11" s="470"/>
      <c r="YQ11" s="401">
        <v>44502</v>
      </c>
      <c r="YR11" s="468">
        <v>44502</v>
      </c>
      <c r="YS11" s="469"/>
      <c r="YT11" s="469"/>
      <c r="YU11" s="470"/>
      <c r="YV11" s="401">
        <v>44503</v>
      </c>
      <c r="YW11" s="468">
        <v>44503</v>
      </c>
      <c r="YX11" s="469"/>
      <c r="YY11" s="469"/>
      <c r="YZ11" s="470"/>
      <c r="ZA11" s="401">
        <v>44504</v>
      </c>
      <c r="ZB11" s="554" t="s">
        <v>14</v>
      </c>
      <c r="ZC11" s="512" t="s">
        <v>13</v>
      </c>
      <c r="ZD11" s="458"/>
      <c r="ZE11" s="458"/>
      <c r="ZF11" s="458"/>
      <c r="ZG11" s="465"/>
      <c r="ZH11" s="468">
        <v>44504</v>
      </c>
      <c r="ZI11" s="469"/>
      <c r="ZJ11" s="469"/>
      <c r="ZK11" s="470"/>
      <c r="ZL11" s="401">
        <v>44505</v>
      </c>
      <c r="ZM11" s="468">
        <v>44505</v>
      </c>
      <c r="ZN11" s="469"/>
      <c r="ZO11" s="469"/>
      <c r="ZP11" s="470"/>
      <c r="ZQ11" s="401">
        <v>44506</v>
      </c>
      <c r="ZR11" s="468">
        <v>44506</v>
      </c>
      <c r="ZS11" s="469"/>
      <c r="ZT11" s="469"/>
      <c r="ZU11" s="470"/>
      <c r="ZV11" s="401">
        <v>44507</v>
      </c>
      <c r="ZW11" s="468">
        <v>44513</v>
      </c>
      <c r="ZX11" s="469"/>
      <c r="ZY11" s="469"/>
      <c r="ZZ11" s="470"/>
      <c r="AAA11" s="401">
        <v>44514</v>
      </c>
      <c r="AAB11" s="554" t="s">
        <v>14</v>
      </c>
      <c r="AAC11" s="512" t="s">
        <v>13</v>
      </c>
      <c r="AAD11" s="458"/>
      <c r="AAE11" s="458"/>
      <c r="AAF11" s="458"/>
      <c r="AAG11" s="465"/>
      <c r="AAH11" s="468">
        <v>44514</v>
      </c>
      <c r="AAI11" s="469"/>
      <c r="AAJ11" s="469"/>
      <c r="AAK11" s="470"/>
      <c r="AAL11" s="401">
        <v>44515</v>
      </c>
      <c r="AAM11" s="468">
        <v>44515</v>
      </c>
      <c r="AAN11" s="469"/>
      <c r="AAO11" s="469"/>
      <c r="AAP11" s="470"/>
      <c r="AAQ11" s="401">
        <v>44516</v>
      </c>
      <c r="AAR11" s="468">
        <v>44516</v>
      </c>
      <c r="AAS11" s="469"/>
      <c r="AAT11" s="469"/>
      <c r="AAU11" s="470"/>
      <c r="AAV11" s="401">
        <v>44517</v>
      </c>
      <c r="AAW11" s="468">
        <v>44517</v>
      </c>
      <c r="AAX11" s="469"/>
      <c r="AAY11" s="469"/>
      <c r="AAZ11" s="470"/>
      <c r="ABA11" s="401">
        <v>44518</v>
      </c>
      <c r="ABB11" s="554" t="s">
        <v>14</v>
      </c>
      <c r="ABC11" s="512" t="s">
        <v>13</v>
      </c>
      <c r="ABD11" s="458"/>
      <c r="ABE11" s="458"/>
      <c r="ABF11" s="458"/>
      <c r="ABG11" s="465"/>
      <c r="ABH11" s="468">
        <v>44518</v>
      </c>
      <c r="ABI11" s="469"/>
      <c r="ABJ11" s="469"/>
      <c r="ABK11" s="470"/>
      <c r="ABL11" s="401">
        <v>44519</v>
      </c>
      <c r="ABM11" s="468">
        <v>44519</v>
      </c>
      <c r="ABN11" s="469"/>
      <c r="ABO11" s="469"/>
      <c r="ABP11" s="470"/>
      <c r="ABQ11" s="401">
        <v>44520</v>
      </c>
      <c r="ABR11" s="468">
        <v>44520</v>
      </c>
      <c r="ABS11" s="469"/>
      <c r="ABT11" s="469"/>
      <c r="ABU11" s="470"/>
      <c r="ABV11" s="401">
        <v>44521</v>
      </c>
      <c r="ABW11" s="468">
        <v>44526</v>
      </c>
      <c r="ABX11" s="469"/>
      <c r="ABY11" s="469"/>
      <c r="ABZ11" s="470"/>
      <c r="ACA11" s="401">
        <v>44527</v>
      </c>
      <c r="ACB11" s="554" t="s">
        <v>14</v>
      </c>
      <c r="ACC11" s="512" t="s">
        <v>13</v>
      </c>
      <c r="ACD11" s="458"/>
      <c r="ACE11" s="458"/>
      <c r="ACF11" s="458"/>
      <c r="ACG11" s="465"/>
      <c r="ACH11" s="468">
        <v>44527</v>
      </c>
      <c r="ACI11" s="469"/>
      <c r="ACJ11" s="469"/>
      <c r="ACK11" s="470"/>
      <c r="ACL11" s="401">
        <v>44528</v>
      </c>
      <c r="ACM11" s="468">
        <v>44528</v>
      </c>
      <c r="ACN11" s="469"/>
      <c r="ACO11" s="469"/>
      <c r="ACP11" s="470"/>
      <c r="ACQ11" s="401">
        <v>44529</v>
      </c>
      <c r="ACR11" s="468">
        <v>44533</v>
      </c>
      <c r="ACS11" s="469"/>
      <c r="ACT11" s="469"/>
      <c r="ACU11" s="470"/>
      <c r="ACV11" s="401">
        <v>44534</v>
      </c>
      <c r="ACW11" s="468">
        <v>44534</v>
      </c>
      <c r="ACX11" s="469"/>
      <c r="ACY11" s="469"/>
      <c r="ACZ11" s="470"/>
      <c r="ADA11" s="401">
        <v>44535</v>
      </c>
      <c r="ADB11" s="554" t="s">
        <v>14</v>
      </c>
      <c r="ADC11" s="512" t="s">
        <v>13</v>
      </c>
      <c r="ADD11" s="458"/>
      <c r="ADE11" s="458"/>
      <c r="ADF11" s="458"/>
      <c r="ADG11" s="465"/>
      <c r="ADH11" s="468">
        <v>44536</v>
      </c>
      <c r="ADI11" s="469"/>
      <c r="ADJ11" s="469"/>
      <c r="ADK11" s="470"/>
      <c r="ADL11" s="401">
        <v>44537</v>
      </c>
      <c r="ADM11" s="468">
        <v>44537</v>
      </c>
      <c r="ADN11" s="469"/>
      <c r="ADO11" s="469"/>
      <c r="ADP11" s="470"/>
      <c r="ADQ11" s="401">
        <v>44538</v>
      </c>
      <c r="ADR11" s="468">
        <v>44538</v>
      </c>
      <c r="ADS11" s="469"/>
      <c r="ADT11" s="469"/>
      <c r="ADU11" s="470"/>
      <c r="ADV11" s="401">
        <v>44539</v>
      </c>
      <c r="ADW11" s="468">
        <v>44540</v>
      </c>
      <c r="ADX11" s="469"/>
      <c r="ADY11" s="469"/>
      <c r="ADZ11" s="470"/>
      <c r="AEA11" s="401">
        <v>44541</v>
      </c>
      <c r="AEB11" s="554" t="s">
        <v>14</v>
      </c>
      <c r="AEC11" s="512" t="s">
        <v>13</v>
      </c>
      <c r="AED11" s="458"/>
      <c r="AEE11" s="458"/>
      <c r="AEF11" s="458"/>
      <c r="AEG11" s="465"/>
      <c r="AEH11" s="468">
        <v>44541</v>
      </c>
      <c r="AEI11" s="469"/>
      <c r="AEJ11" s="469"/>
      <c r="AEK11" s="470"/>
      <c r="AEL11" s="401">
        <v>44542</v>
      </c>
      <c r="AEM11" s="468">
        <v>44551</v>
      </c>
      <c r="AEN11" s="469"/>
      <c r="AEO11" s="469"/>
      <c r="AEP11" s="470"/>
      <c r="AEQ11" s="401"/>
      <c r="AER11" s="401">
        <v>44552</v>
      </c>
      <c r="AES11" s="468">
        <v>44552</v>
      </c>
      <c r="AET11" s="469"/>
      <c r="AEU11" s="469"/>
      <c r="AEV11" s="470"/>
      <c r="AEW11" s="401">
        <v>44553</v>
      </c>
      <c r="AEX11" s="468">
        <v>44554</v>
      </c>
      <c r="AEY11" s="469"/>
      <c r="AEZ11" s="469"/>
      <c r="AFA11" s="470"/>
      <c r="AFB11" s="401">
        <v>44555</v>
      </c>
      <c r="AFC11" s="554" t="s">
        <v>14</v>
      </c>
      <c r="AFD11" s="512" t="s">
        <v>13</v>
      </c>
      <c r="AFE11" s="458"/>
      <c r="AFF11" s="458"/>
      <c r="AFG11" s="458"/>
      <c r="AFH11" s="465"/>
      <c r="AFI11" s="468">
        <v>44559</v>
      </c>
      <c r="AFJ11" s="469"/>
      <c r="AFK11" s="469"/>
      <c r="AFL11" s="470"/>
      <c r="AFM11" s="401">
        <v>44560</v>
      </c>
      <c r="AFN11" s="468">
        <v>44560</v>
      </c>
      <c r="AFO11" s="469"/>
      <c r="AFP11" s="469"/>
      <c r="AFQ11" s="470"/>
      <c r="AFR11" s="401">
        <v>44561</v>
      </c>
      <c r="AFS11" s="468">
        <v>44561</v>
      </c>
      <c r="AFT11" s="469"/>
      <c r="AFU11" s="469"/>
      <c r="AFV11" s="470"/>
      <c r="AFW11" s="401">
        <v>44562</v>
      </c>
      <c r="AFX11" s="468">
        <v>44562</v>
      </c>
      <c r="AFY11" s="469"/>
      <c r="AFZ11" s="469"/>
      <c r="AGA11" s="470"/>
      <c r="AGB11" s="401">
        <v>44563</v>
      </c>
      <c r="AGC11" s="554" t="s">
        <v>14</v>
      </c>
      <c r="AGD11" s="512" t="s">
        <v>13</v>
      </c>
      <c r="AGE11" s="458"/>
      <c r="AGF11" s="458"/>
      <c r="AGG11" s="458"/>
      <c r="AGH11" s="465"/>
      <c r="AGI11" s="468">
        <v>44563</v>
      </c>
      <c r="AGJ11" s="469"/>
      <c r="AGK11" s="469"/>
      <c r="AGL11" s="470"/>
      <c r="AGM11" s="401">
        <v>44564</v>
      </c>
      <c r="AGN11" s="468">
        <v>44564</v>
      </c>
      <c r="AGO11" s="469"/>
      <c r="AGP11" s="469"/>
      <c r="AGQ11" s="470"/>
      <c r="AGR11" s="401">
        <v>44565</v>
      </c>
      <c r="AGS11" s="468">
        <v>44567</v>
      </c>
      <c r="AGT11" s="469"/>
      <c r="AGU11" s="469"/>
      <c r="AGV11" s="470"/>
      <c r="AGW11" s="401">
        <v>44568</v>
      </c>
      <c r="AGX11" s="468">
        <v>44568</v>
      </c>
      <c r="AGY11" s="469"/>
      <c r="AGZ11" s="469"/>
      <c r="AHA11" s="470"/>
      <c r="AHB11" s="401">
        <v>44569</v>
      </c>
      <c r="AHC11" s="554" t="s">
        <v>14</v>
      </c>
      <c r="AHD11" s="512" t="s">
        <v>13</v>
      </c>
      <c r="AHE11" s="458"/>
      <c r="AHF11" s="458"/>
      <c r="AHG11" s="458"/>
      <c r="AHH11" s="465"/>
      <c r="AHI11" s="468">
        <v>44570</v>
      </c>
      <c r="AHJ11" s="469"/>
      <c r="AHK11" s="469"/>
      <c r="AHL11" s="470"/>
      <c r="AHM11" s="401">
        <v>44571</v>
      </c>
      <c r="AHN11" s="468">
        <v>44575</v>
      </c>
      <c r="AHO11" s="469"/>
      <c r="AHP11" s="469"/>
      <c r="AHQ11" s="470"/>
      <c r="AHR11" s="401">
        <v>44576</v>
      </c>
      <c r="AHS11" s="468">
        <v>44589</v>
      </c>
      <c r="AHT11" s="469"/>
      <c r="AHU11" s="469"/>
      <c r="AHV11" s="470"/>
      <c r="AHW11" s="401">
        <v>44590</v>
      </c>
      <c r="AHX11" s="468">
        <v>44595</v>
      </c>
      <c r="AHY11" s="469"/>
      <c r="AHZ11" s="469"/>
      <c r="AIA11" s="470"/>
      <c r="AIB11" s="401">
        <v>44596</v>
      </c>
      <c r="AIC11" s="554" t="s">
        <v>14</v>
      </c>
      <c r="AID11" s="512" t="s">
        <v>13</v>
      </c>
      <c r="AIE11" s="458"/>
      <c r="AIF11" s="458"/>
      <c r="AIG11" s="458"/>
      <c r="AIH11" s="465"/>
      <c r="AII11" s="468">
        <v>44600</v>
      </c>
      <c r="AIJ11" s="469"/>
      <c r="AIK11" s="469"/>
      <c r="AIL11" s="470"/>
      <c r="AIM11" s="401">
        <v>44601</v>
      </c>
      <c r="AIN11" s="468">
        <v>44602</v>
      </c>
      <c r="AIO11" s="469"/>
      <c r="AIP11" s="469"/>
      <c r="AIQ11" s="470"/>
      <c r="AIR11" s="401">
        <v>44603</v>
      </c>
      <c r="AIS11" s="468">
        <v>44603</v>
      </c>
      <c r="AIT11" s="469"/>
      <c r="AIU11" s="469"/>
      <c r="AIV11" s="470"/>
      <c r="AIW11" s="401">
        <v>44604</v>
      </c>
      <c r="AIX11" s="468">
        <v>44604</v>
      </c>
      <c r="AIY11" s="469"/>
      <c r="AIZ11" s="469"/>
      <c r="AJA11" s="470"/>
      <c r="AJB11" s="401">
        <v>44605</v>
      </c>
      <c r="AJC11" s="554" t="s">
        <v>14</v>
      </c>
      <c r="AJD11" s="512" t="s">
        <v>13</v>
      </c>
      <c r="AJE11" s="458"/>
      <c r="AJF11" s="458"/>
      <c r="AJG11" s="458"/>
      <c r="AJH11" s="465"/>
      <c r="AJI11" s="468">
        <v>44605</v>
      </c>
      <c r="AJJ11" s="469"/>
      <c r="AJK11" s="469"/>
      <c r="AJL11" s="470"/>
      <c r="AJM11" s="401">
        <v>44606</v>
      </c>
      <c r="AJN11" s="468">
        <v>44611</v>
      </c>
      <c r="AJO11" s="469"/>
      <c r="AJP11" s="469"/>
      <c r="AJQ11" s="470"/>
      <c r="AJR11" s="401">
        <v>44612</v>
      </c>
      <c r="AJS11" s="468">
        <v>44617</v>
      </c>
      <c r="AJT11" s="469"/>
      <c r="AJU11" s="469"/>
      <c r="AJV11" s="470"/>
      <c r="AJW11" s="401">
        <v>44618</v>
      </c>
      <c r="AJX11" s="468">
        <v>44618</v>
      </c>
      <c r="AJY11" s="469"/>
      <c r="AJZ11" s="469"/>
      <c r="AKA11" s="470"/>
      <c r="AKB11" s="401">
        <v>44619</v>
      </c>
      <c r="AKC11" s="554" t="s">
        <v>14</v>
      </c>
      <c r="AKD11" s="512" t="s">
        <v>13</v>
      </c>
      <c r="AKE11" s="458"/>
      <c r="AKF11" s="458"/>
      <c r="AKG11" s="458"/>
      <c r="AKH11" s="465"/>
      <c r="AKI11" s="468">
        <v>44619</v>
      </c>
      <c r="AKJ11" s="469"/>
      <c r="AKK11" s="469"/>
      <c r="AKL11" s="470"/>
      <c r="AKM11" s="401">
        <v>44620</v>
      </c>
      <c r="AKN11" s="468">
        <v>44621</v>
      </c>
      <c r="AKO11" s="469"/>
      <c r="AKP11" s="469"/>
      <c r="AKQ11" s="470"/>
      <c r="AKR11" s="401">
        <v>44622</v>
      </c>
      <c r="AKS11" s="468">
        <v>44622</v>
      </c>
      <c r="AKT11" s="469"/>
      <c r="AKU11" s="469"/>
      <c r="AKV11" s="470"/>
      <c r="AKW11" s="401">
        <v>44623</v>
      </c>
      <c r="AKX11" s="468">
        <v>44624</v>
      </c>
      <c r="AKY11" s="469"/>
      <c r="AKZ11" s="469"/>
      <c r="ALA11" s="470"/>
      <c r="ALB11" s="401">
        <v>44625</v>
      </c>
      <c r="ALC11" s="554" t="s">
        <v>14</v>
      </c>
      <c r="ALD11" s="512" t="s">
        <v>13</v>
      </c>
      <c r="ALE11" s="458"/>
      <c r="ALF11" s="458"/>
      <c r="ALG11" s="458"/>
      <c r="ALH11" s="465"/>
      <c r="ALI11" s="468">
        <v>44625</v>
      </c>
      <c r="ALJ11" s="469"/>
      <c r="ALK11" s="469"/>
      <c r="ALL11" s="470"/>
      <c r="ALM11" s="401">
        <v>44626</v>
      </c>
      <c r="ALN11" s="468">
        <v>44627</v>
      </c>
      <c r="ALO11" s="469"/>
      <c r="ALP11" s="469"/>
      <c r="ALQ11" s="470"/>
      <c r="ALR11" s="401">
        <v>44628</v>
      </c>
      <c r="ALS11" s="468">
        <v>44628</v>
      </c>
      <c r="ALT11" s="469"/>
      <c r="ALU11" s="469"/>
      <c r="ALV11" s="470"/>
      <c r="ALW11" s="401">
        <v>44629</v>
      </c>
      <c r="ALX11" s="468">
        <v>44629</v>
      </c>
      <c r="ALY11" s="469"/>
      <c r="ALZ11" s="469"/>
      <c r="AMA11" s="470"/>
      <c r="AMB11" s="401">
        <v>44630</v>
      </c>
      <c r="AMC11" s="554" t="s">
        <v>14</v>
      </c>
      <c r="AMD11" s="512" t="s">
        <v>13</v>
      </c>
      <c r="AME11" s="458"/>
      <c r="AMF11" s="458"/>
      <c r="AMG11" s="458"/>
      <c r="AMH11" s="465"/>
      <c r="AMI11" s="468">
        <v>44630</v>
      </c>
      <c r="AMJ11" s="469"/>
      <c r="AMK11" s="469"/>
      <c r="AML11" s="470"/>
      <c r="AMM11" s="401">
        <v>44631</v>
      </c>
      <c r="AMN11" s="468">
        <v>44631</v>
      </c>
      <c r="AMO11" s="469"/>
      <c r="AMP11" s="469"/>
      <c r="AMQ11" s="470"/>
      <c r="AMR11" s="401">
        <v>44632</v>
      </c>
      <c r="AMS11" s="401"/>
      <c r="AMT11" s="468">
        <v>44634</v>
      </c>
      <c r="AMU11" s="469"/>
      <c r="AMV11" s="469"/>
      <c r="AMW11" s="470"/>
      <c r="AMX11" s="401">
        <v>44635</v>
      </c>
      <c r="AMY11" s="468">
        <v>44635</v>
      </c>
      <c r="AMZ11" s="469"/>
      <c r="ANA11" s="469"/>
      <c r="ANB11" s="470"/>
      <c r="ANC11" s="401">
        <v>44636</v>
      </c>
      <c r="AND11" s="554" t="s">
        <v>14</v>
      </c>
      <c r="ANE11" s="512" t="s">
        <v>13</v>
      </c>
      <c r="ANF11" s="458"/>
      <c r="ANG11" s="458"/>
      <c r="ANH11" s="458"/>
      <c r="ANI11" s="465"/>
      <c r="ANJ11" s="468">
        <v>44636</v>
      </c>
      <c r="ANK11" s="469"/>
      <c r="ANL11" s="469"/>
      <c r="ANM11" s="470"/>
      <c r="ANN11" s="401">
        <v>44637</v>
      </c>
      <c r="ANO11" s="468">
        <v>44639</v>
      </c>
      <c r="ANP11" s="469"/>
      <c r="ANQ11" s="469"/>
      <c r="ANR11" s="470"/>
      <c r="ANS11" s="401">
        <v>44640</v>
      </c>
      <c r="ANT11" s="401"/>
      <c r="ANU11" s="468">
        <v>44643</v>
      </c>
      <c r="ANV11" s="469"/>
      <c r="ANW11" s="469"/>
      <c r="ANX11" s="470"/>
      <c r="ANY11" s="401">
        <v>44644</v>
      </c>
      <c r="ANZ11" s="468">
        <v>44644</v>
      </c>
      <c r="AOA11" s="469"/>
      <c r="AOB11" s="469"/>
      <c r="AOC11" s="470"/>
      <c r="AOD11" s="401">
        <v>44645</v>
      </c>
      <c r="AOE11" s="554" t="s">
        <v>14</v>
      </c>
      <c r="AOF11" s="512" t="s">
        <v>13</v>
      </c>
      <c r="AOG11" s="458"/>
      <c r="AOH11" s="458"/>
      <c r="AOI11" s="458"/>
      <c r="AOJ11" s="465"/>
      <c r="AOK11" s="468">
        <v>44646</v>
      </c>
      <c r="AOL11" s="469"/>
      <c r="AOM11" s="469"/>
      <c r="AON11" s="470"/>
      <c r="AOO11" s="401">
        <v>44647</v>
      </c>
      <c r="AOP11" s="468">
        <v>44648</v>
      </c>
      <c r="AOQ11" s="469"/>
      <c r="AOR11" s="469"/>
      <c r="AOS11" s="470"/>
      <c r="AOT11" s="401">
        <v>44649</v>
      </c>
      <c r="AOU11" s="401"/>
      <c r="AOV11" s="468">
        <v>44649</v>
      </c>
      <c r="AOW11" s="469"/>
      <c r="AOX11" s="469"/>
      <c r="AOY11" s="470"/>
      <c r="AOZ11" s="401">
        <v>44650</v>
      </c>
      <c r="APA11" s="468"/>
      <c r="APB11" s="469"/>
      <c r="APC11" s="469"/>
      <c r="APD11" s="470"/>
      <c r="APE11" s="401"/>
    </row>
    <row r="12" spans="1:1097" ht="45" customHeight="1" x14ac:dyDescent="0.4">
      <c r="A12" s="479"/>
      <c r="B12" s="528"/>
      <c r="C12" s="466"/>
      <c r="D12" s="466"/>
      <c r="E12" s="466"/>
      <c r="F12" s="467"/>
      <c r="G12" s="471" t="s">
        <v>377</v>
      </c>
      <c r="H12" s="472"/>
      <c r="I12" s="472"/>
      <c r="J12" s="473"/>
      <c r="K12" s="80" t="s">
        <v>519</v>
      </c>
      <c r="L12" s="471" t="s">
        <v>377</v>
      </c>
      <c r="M12" s="472"/>
      <c r="N12" s="472"/>
      <c r="O12" s="473"/>
      <c r="P12" s="80" t="s">
        <v>519</v>
      </c>
      <c r="Q12" s="471" t="s">
        <v>377</v>
      </c>
      <c r="R12" s="472"/>
      <c r="S12" s="472"/>
      <c r="T12" s="473"/>
      <c r="U12" s="80" t="s">
        <v>519</v>
      </c>
      <c r="V12" s="471" t="s">
        <v>377</v>
      </c>
      <c r="W12" s="472"/>
      <c r="X12" s="472"/>
      <c r="Y12" s="473"/>
      <c r="Z12" s="80" t="s">
        <v>519</v>
      </c>
      <c r="AA12" s="479"/>
      <c r="AB12" s="528"/>
      <c r="AC12" s="466"/>
      <c r="AD12" s="466"/>
      <c r="AE12" s="466"/>
      <c r="AF12" s="467"/>
      <c r="AG12" s="471" t="s">
        <v>377</v>
      </c>
      <c r="AH12" s="472"/>
      <c r="AI12" s="472"/>
      <c r="AJ12" s="473"/>
      <c r="AK12" s="80" t="s">
        <v>519</v>
      </c>
      <c r="AL12" s="471" t="s">
        <v>377</v>
      </c>
      <c r="AM12" s="472"/>
      <c r="AN12" s="472"/>
      <c r="AO12" s="473"/>
      <c r="AP12" s="80" t="s">
        <v>519</v>
      </c>
      <c r="AQ12" s="471" t="s">
        <v>377</v>
      </c>
      <c r="AR12" s="472"/>
      <c r="AS12" s="472"/>
      <c r="AT12" s="473"/>
      <c r="AU12" s="80" t="s">
        <v>519</v>
      </c>
      <c r="AV12" s="471" t="s">
        <v>377</v>
      </c>
      <c r="AW12" s="472"/>
      <c r="AX12" s="472"/>
      <c r="AY12" s="473"/>
      <c r="AZ12" s="80" t="s">
        <v>519</v>
      </c>
      <c r="BA12" s="479"/>
      <c r="BB12" s="528"/>
      <c r="BC12" s="466"/>
      <c r="BD12" s="466"/>
      <c r="BE12" s="466"/>
      <c r="BF12" s="467"/>
      <c r="BG12" s="471" t="s">
        <v>377</v>
      </c>
      <c r="BH12" s="472"/>
      <c r="BI12" s="472"/>
      <c r="BJ12" s="473"/>
      <c r="BK12" s="80" t="s">
        <v>519</v>
      </c>
      <c r="BL12" s="471" t="s">
        <v>377</v>
      </c>
      <c r="BM12" s="472"/>
      <c r="BN12" s="472"/>
      <c r="BO12" s="473"/>
      <c r="BP12" s="80" t="s">
        <v>519</v>
      </c>
      <c r="BQ12" s="471" t="s">
        <v>377</v>
      </c>
      <c r="BR12" s="472"/>
      <c r="BS12" s="472"/>
      <c r="BT12" s="473"/>
      <c r="BU12" s="80" t="s">
        <v>519</v>
      </c>
      <c r="BV12" s="471" t="s">
        <v>377</v>
      </c>
      <c r="BW12" s="472"/>
      <c r="BX12" s="472"/>
      <c r="BY12" s="473"/>
      <c r="BZ12" s="80" t="s">
        <v>519</v>
      </c>
      <c r="CA12" s="479"/>
      <c r="CB12" s="528"/>
      <c r="CC12" s="466"/>
      <c r="CD12" s="466"/>
      <c r="CE12" s="466"/>
      <c r="CF12" s="467"/>
      <c r="CG12" s="471" t="s">
        <v>377</v>
      </c>
      <c r="CH12" s="472"/>
      <c r="CI12" s="472"/>
      <c r="CJ12" s="473"/>
      <c r="CK12" s="80" t="s">
        <v>519</v>
      </c>
      <c r="CL12" s="471" t="s">
        <v>377</v>
      </c>
      <c r="CM12" s="472"/>
      <c r="CN12" s="472"/>
      <c r="CO12" s="473"/>
      <c r="CP12" s="80" t="s">
        <v>519</v>
      </c>
      <c r="CQ12" s="471" t="s">
        <v>377</v>
      </c>
      <c r="CR12" s="472"/>
      <c r="CS12" s="472"/>
      <c r="CT12" s="473"/>
      <c r="CU12" s="80" t="s">
        <v>519</v>
      </c>
      <c r="CV12" s="471" t="s">
        <v>377</v>
      </c>
      <c r="CW12" s="472"/>
      <c r="CX12" s="472"/>
      <c r="CY12" s="473"/>
      <c r="CZ12" s="80" t="s">
        <v>519</v>
      </c>
      <c r="DA12" s="479"/>
      <c r="DB12" s="528"/>
      <c r="DC12" s="466"/>
      <c r="DD12" s="466"/>
      <c r="DE12" s="466"/>
      <c r="DF12" s="467"/>
      <c r="DG12" s="471" t="s">
        <v>377</v>
      </c>
      <c r="DH12" s="472"/>
      <c r="DI12" s="472"/>
      <c r="DJ12" s="473"/>
      <c r="DK12" s="80" t="s">
        <v>519</v>
      </c>
      <c r="DL12" s="471" t="s">
        <v>377</v>
      </c>
      <c r="DM12" s="472"/>
      <c r="DN12" s="472"/>
      <c r="DO12" s="473"/>
      <c r="DP12" s="80" t="s">
        <v>519</v>
      </c>
      <c r="DQ12" s="471" t="s">
        <v>377</v>
      </c>
      <c r="DR12" s="472"/>
      <c r="DS12" s="472"/>
      <c r="DT12" s="473"/>
      <c r="DU12" s="80" t="s">
        <v>519</v>
      </c>
      <c r="DV12" s="471" t="s">
        <v>377</v>
      </c>
      <c r="DW12" s="472"/>
      <c r="DX12" s="472"/>
      <c r="DY12" s="473"/>
      <c r="DZ12" s="80" t="s">
        <v>519</v>
      </c>
      <c r="EA12" s="479"/>
      <c r="EB12" s="528"/>
      <c r="EC12" s="466"/>
      <c r="ED12" s="466"/>
      <c r="EE12" s="466"/>
      <c r="EF12" s="467"/>
      <c r="EG12" s="471" t="s">
        <v>377</v>
      </c>
      <c r="EH12" s="472"/>
      <c r="EI12" s="472"/>
      <c r="EJ12" s="473"/>
      <c r="EK12" s="80" t="s">
        <v>519</v>
      </c>
      <c r="EL12" s="471" t="s">
        <v>377</v>
      </c>
      <c r="EM12" s="472"/>
      <c r="EN12" s="472"/>
      <c r="EO12" s="473"/>
      <c r="EP12" s="80" t="s">
        <v>519</v>
      </c>
      <c r="EQ12" s="471" t="s">
        <v>377</v>
      </c>
      <c r="ER12" s="472"/>
      <c r="ES12" s="472"/>
      <c r="ET12" s="473"/>
      <c r="EU12" s="80" t="s">
        <v>519</v>
      </c>
      <c r="EV12" s="471" t="s">
        <v>377</v>
      </c>
      <c r="EW12" s="472"/>
      <c r="EX12" s="472"/>
      <c r="EY12" s="473"/>
      <c r="EZ12" s="80" t="s">
        <v>519</v>
      </c>
      <c r="FA12" s="479"/>
      <c r="FB12" s="528"/>
      <c r="FC12" s="466"/>
      <c r="FD12" s="466"/>
      <c r="FE12" s="466"/>
      <c r="FF12" s="467"/>
      <c r="FG12" s="471" t="s">
        <v>377</v>
      </c>
      <c r="FH12" s="472"/>
      <c r="FI12" s="472"/>
      <c r="FJ12" s="473"/>
      <c r="FK12" s="80" t="s">
        <v>519</v>
      </c>
      <c r="FL12" s="471" t="s">
        <v>377</v>
      </c>
      <c r="FM12" s="472"/>
      <c r="FN12" s="472"/>
      <c r="FO12" s="473"/>
      <c r="FP12" s="80" t="s">
        <v>519</v>
      </c>
      <c r="FQ12" s="471" t="s">
        <v>377</v>
      </c>
      <c r="FR12" s="472"/>
      <c r="FS12" s="472"/>
      <c r="FT12" s="473"/>
      <c r="FU12" s="80" t="s">
        <v>519</v>
      </c>
      <c r="FV12" s="471" t="s">
        <v>377</v>
      </c>
      <c r="FW12" s="472"/>
      <c r="FX12" s="472"/>
      <c r="FY12" s="473"/>
      <c r="FZ12" s="80" t="s">
        <v>519</v>
      </c>
      <c r="GA12" s="479"/>
      <c r="GB12" s="528"/>
      <c r="GC12" s="466"/>
      <c r="GD12" s="466"/>
      <c r="GE12" s="466"/>
      <c r="GF12" s="467"/>
      <c r="GG12" s="471" t="s">
        <v>377</v>
      </c>
      <c r="GH12" s="472"/>
      <c r="GI12" s="472"/>
      <c r="GJ12" s="473"/>
      <c r="GK12" s="80" t="s">
        <v>519</v>
      </c>
      <c r="GL12" s="471" t="s">
        <v>377</v>
      </c>
      <c r="GM12" s="472"/>
      <c r="GN12" s="472"/>
      <c r="GO12" s="473"/>
      <c r="GP12" s="80" t="s">
        <v>519</v>
      </c>
      <c r="GQ12" s="471" t="s">
        <v>377</v>
      </c>
      <c r="GR12" s="472"/>
      <c r="GS12" s="472"/>
      <c r="GT12" s="473"/>
      <c r="GU12" s="80" t="s">
        <v>519</v>
      </c>
      <c r="GV12" s="471" t="s">
        <v>377</v>
      </c>
      <c r="GW12" s="472"/>
      <c r="GX12" s="472"/>
      <c r="GY12" s="473"/>
      <c r="GZ12" s="80" t="s">
        <v>519</v>
      </c>
      <c r="HA12" s="479"/>
      <c r="HB12" s="528"/>
      <c r="HC12" s="466"/>
      <c r="HD12" s="466"/>
      <c r="HE12" s="466"/>
      <c r="HF12" s="467"/>
      <c r="HG12" s="471" t="s">
        <v>377</v>
      </c>
      <c r="HH12" s="472"/>
      <c r="HI12" s="472"/>
      <c r="HJ12" s="473"/>
      <c r="HK12" s="80" t="s">
        <v>519</v>
      </c>
      <c r="HL12" s="471" t="s">
        <v>377</v>
      </c>
      <c r="HM12" s="472"/>
      <c r="HN12" s="472"/>
      <c r="HO12" s="473"/>
      <c r="HP12" s="80" t="s">
        <v>519</v>
      </c>
      <c r="HQ12" s="471" t="s">
        <v>377</v>
      </c>
      <c r="HR12" s="472"/>
      <c r="HS12" s="472"/>
      <c r="HT12" s="473"/>
      <c r="HU12" s="80" t="s">
        <v>519</v>
      </c>
      <c r="HV12" s="471" t="s">
        <v>377</v>
      </c>
      <c r="HW12" s="472"/>
      <c r="HX12" s="472"/>
      <c r="HY12" s="473"/>
      <c r="HZ12" s="80" t="s">
        <v>519</v>
      </c>
      <c r="IA12" s="479"/>
      <c r="IB12" s="528"/>
      <c r="IC12" s="466"/>
      <c r="ID12" s="466"/>
      <c r="IE12" s="466"/>
      <c r="IF12" s="467"/>
      <c r="IG12" s="471" t="s">
        <v>377</v>
      </c>
      <c r="IH12" s="472"/>
      <c r="II12" s="472"/>
      <c r="IJ12" s="473"/>
      <c r="IK12" s="80" t="s">
        <v>519</v>
      </c>
      <c r="IL12" s="471" t="s">
        <v>377</v>
      </c>
      <c r="IM12" s="472"/>
      <c r="IN12" s="472"/>
      <c r="IO12" s="473"/>
      <c r="IP12" s="80" t="s">
        <v>519</v>
      </c>
      <c r="IQ12" s="471" t="s">
        <v>377</v>
      </c>
      <c r="IR12" s="472"/>
      <c r="IS12" s="472"/>
      <c r="IT12" s="473"/>
      <c r="IU12" s="80" t="s">
        <v>519</v>
      </c>
      <c r="IV12" s="471" t="s">
        <v>377</v>
      </c>
      <c r="IW12" s="472"/>
      <c r="IX12" s="472"/>
      <c r="IY12" s="473"/>
      <c r="IZ12" s="80" t="s">
        <v>519</v>
      </c>
      <c r="JA12" s="479"/>
      <c r="JB12" s="528"/>
      <c r="JC12" s="466"/>
      <c r="JD12" s="466"/>
      <c r="JE12" s="466"/>
      <c r="JF12" s="467"/>
      <c r="JG12" s="471" t="s">
        <v>377</v>
      </c>
      <c r="JH12" s="472"/>
      <c r="JI12" s="472"/>
      <c r="JJ12" s="473"/>
      <c r="JK12" s="80" t="s">
        <v>519</v>
      </c>
      <c r="JL12" s="471" t="s">
        <v>377</v>
      </c>
      <c r="JM12" s="472"/>
      <c r="JN12" s="472"/>
      <c r="JO12" s="473"/>
      <c r="JP12" s="80" t="s">
        <v>519</v>
      </c>
      <c r="JQ12" s="471" t="s">
        <v>377</v>
      </c>
      <c r="JR12" s="472"/>
      <c r="JS12" s="472"/>
      <c r="JT12" s="473"/>
      <c r="JU12" s="80" t="s">
        <v>519</v>
      </c>
      <c r="JV12" s="471" t="s">
        <v>377</v>
      </c>
      <c r="JW12" s="472"/>
      <c r="JX12" s="472"/>
      <c r="JY12" s="473"/>
      <c r="JZ12" s="80" t="s">
        <v>519</v>
      </c>
      <c r="KA12" s="479"/>
      <c r="KB12" s="528"/>
      <c r="KC12" s="466"/>
      <c r="KD12" s="466"/>
      <c r="KE12" s="466"/>
      <c r="KF12" s="467"/>
      <c r="KG12" s="471" t="s">
        <v>377</v>
      </c>
      <c r="KH12" s="472"/>
      <c r="KI12" s="472"/>
      <c r="KJ12" s="473"/>
      <c r="KK12" s="80" t="s">
        <v>519</v>
      </c>
      <c r="KL12" s="471" t="s">
        <v>377</v>
      </c>
      <c r="KM12" s="472"/>
      <c r="KN12" s="472"/>
      <c r="KO12" s="473"/>
      <c r="KP12" s="80" t="s">
        <v>519</v>
      </c>
      <c r="KQ12" s="471" t="s">
        <v>377</v>
      </c>
      <c r="KR12" s="472"/>
      <c r="KS12" s="472"/>
      <c r="KT12" s="473"/>
      <c r="KU12" s="80" t="s">
        <v>519</v>
      </c>
      <c r="KV12" s="471" t="s">
        <v>377</v>
      </c>
      <c r="KW12" s="472"/>
      <c r="KX12" s="472"/>
      <c r="KY12" s="473"/>
      <c r="KZ12" s="80" t="s">
        <v>519</v>
      </c>
      <c r="LA12" s="479"/>
      <c r="LB12" s="528"/>
      <c r="LC12" s="466"/>
      <c r="LD12" s="466"/>
      <c r="LE12" s="466"/>
      <c r="LF12" s="467"/>
      <c r="LG12" s="471" t="s">
        <v>377</v>
      </c>
      <c r="LH12" s="472"/>
      <c r="LI12" s="472"/>
      <c r="LJ12" s="473"/>
      <c r="LK12" s="80" t="s">
        <v>519</v>
      </c>
      <c r="LL12" s="471" t="s">
        <v>377</v>
      </c>
      <c r="LM12" s="472"/>
      <c r="LN12" s="472"/>
      <c r="LO12" s="473"/>
      <c r="LP12" s="80" t="s">
        <v>519</v>
      </c>
      <c r="LQ12" s="471" t="s">
        <v>377</v>
      </c>
      <c r="LR12" s="472"/>
      <c r="LS12" s="472"/>
      <c r="LT12" s="473"/>
      <c r="LU12" s="80" t="s">
        <v>519</v>
      </c>
      <c r="LV12" s="471" t="s">
        <v>377</v>
      </c>
      <c r="LW12" s="472"/>
      <c r="LX12" s="472"/>
      <c r="LY12" s="473"/>
      <c r="LZ12" s="80" t="s">
        <v>519</v>
      </c>
      <c r="MA12" s="479"/>
      <c r="MB12" s="528"/>
      <c r="MC12" s="466"/>
      <c r="MD12" s="466"/>
      <c r="ME12" s="466"/>
      <c r="MF12" s="467"/>
      <c r="MG12" s="471" t="s">
        <v>377</v>
      </c>
      <c r="MH12" s="472"/>
      <c r="MI12" s="472"/>
      <c r="MJ12" s="473"/>
      <c r="MK12" s="80" t="s">
        <v>519</v>
      </c>
      <c r="ML12" s="471" t="s">
        <v>377</v>
      </c>
      <c r="MM12" s="472"/>
      <c r="MN12" s="472"/>
      <c r="MO12" s="473"/>
      <c r="MP12" s="80" t="s">
        <v>519</v>
      </c>
      <c r="MQ12" s="471" t="s">
        <v>377</v>
      </c>
      <c r="MR12" s="472"/>
      <c r="MS12" s="472"/>
      <c r="MT12" s="473"/>
      <c r="MU12" s="80" t="s">
        <v>519</v>
      </c>
      <c r="MV12" s="471" t="s">
        <v>377</v>
      </c>
      <c r="MW12" s="472"/>
      <c r="MX12" s="472"/>
      <c r="MY12" s="473"/>
      <c r="MZ12" s="80" t="s">
        <v>519</v>
      </c>
      <c r="NA12" s="479"/>
      <c r="NB12" s="528"/>
      <c r="NC12" s="466"/>
      <c r="ND12" s="466"/>
      <c r="NE12" s="466"/>
      <c r="NF12" s="467"/>
      <c r="NG12" s="471" t="s">
        <v>377</v>
      </c>
      <c r="NH12" s="472"/>
      <c r="NI12" s="472"/>
      <c r="NJ12" s="473"/>
      <c r="NK12" s="80" t="s">
        <v>519</v>
      </c>
      <c r="NL12" s="471" t="s">
        <v>377</v>
      </c>
      <c r="NM12" s="472"/>
      <c r="NN12" s="472"/>
      <c r="NO12" s="473"/>
      <c r="NP12" s="80" t="s">
        <v>519</v>
      </c>
      <c r="NQ12" s="471" t="s">
        <v>377</v>
      </c>
      <c r="NR12" s="472"/>
      <c r="NS12" s="472"/>
      <c r="NT12" s="473"/>
      <c r="NU12" s="80" t="s">
        <v>519</v>
      </c>
      <c r="NV12" s="471" t="s">
        <v>377</v>
      </c>
      <c r="NW12" s="472"/>
      <c r="NX12" s="472"/>
      <c r="NY12" s="473"/>
      <c r="NZ12" s="80" t="s">
        <v>519</v>
      </c>
      <c r="OA12" s="479"/>
      <c r="OB12" s="528"/>
      <c r="OC12" s="466"/>
      <c r="OD12" s="466"/>
      <c r="OE12" s="466"/>
      <c r="OF12" s="467"/>
      <c r="OG12" s="471" t="s">
        <v>377</v>
      </c>
      <c r="OH12" s="472"/>
      <c r="OI12" s="472"/>
      <c r="OJ12" s="473"/>
      <c r="OK12" s="80" t="s">
        <v>519</v>
      </c>
      <c r="OL12" s="471" t="s">
        <v>686</v>
      </c>
      <c r="OM12" s="472"/>
      <c r="ON12" s="472"/>
      <c r="OO12" s="473"/>
      <c r="OP12" s="80" t="s">
        <v>519</v>
      </c>
      <c r="OQ12" s="471" t="s">
        <v>377</v>
      </c>
      <c r="OR12" s="472"/>
      <c r="OS12" s="472"/>
      <c r="OT12" s="473"/>
      <c r="OU12" s="80" t="s">
        <v>519</v>
      </c>
      <c r="OV12" s="471" t="s">
        <v>377</v>
      </c>
      <c r="OW12" s="472"/>
      <c r="OX12" s="472"/>
      <c r="OY12" s="473"/>
      <c r="OZ12" s="80" t="s">
        <v>519</v>
      </c>
      <c r="PA12" s="479"/>
      <c r="PB12" s="528"/>
      <c r="PC12" s="466"/>
      <c r="PD12" s="466"/>
      <c r="PE12" s="466"/>
      <c r="PF12" s="467"/>
      <c r="PG12" s="471" t="s">
        <v>377</v>
      </c>
      <c r="PH12" s="472"/>
      <c r="PI12" s="472"/>
      <c r="PJ12" s="473"/>
      <c r="PK12" s="80" t="s">
        <v>519</v>
      </c>
      <c r="PL12" s="471" t="s">
        <v>377</v>
      </c>
      <c r="PM12" s="472"/>
      <c r="PN12" s="472"/>
      <c r="PO12" s="473"/>
      <c r="PP12" s="80" t="s">
        <v>519</v>
      </c>
      <c r="PQ12" s="471" t="s">
        <v>377</v>
      </c>
      <c r="PR12" s="472"/>
      <c r="PS12" s="472"/>
      <c r="PT12" s="473"/>
      <c r="PU12" s="80" t="s">
        <v>519</v>
      </c>
      <c r="PV12" s="471" t="s">
        <v>377</v>
      </c>
      <c r="PW12" s="472"/>
      <c r="PX12" s="472"/>
      <c r="PY12" s="473"/>
      <c r="PZ12" s="80" t="s">
        <v>519</v>
      </c>
      <c r="QA12" s="479"/>
      <c r="QB12" s="528"/>
      <c r="QC12" s="466"/>
      <c r="QD12" s="466"/>
      <c r="QE12" s="466"/>
      <c r="QF12" s="467"/>
      <c r="QG12" s="471" t="s">
        <v>685</v>
      </c>
      <c r="QH12" s="472"/>
      <c r="QI12" s="472"/>
      <c r="QJ12" s="473"/>
      <c r="QK12" s="80" t="s">
        <v>519</v>
      </c>
      <c r="QL12" s="471" t="s">
        <v>685</v>
      </c>
      <c r="QM12" s="472"/>
      <c r="QN12" s="472"/>
      <c r="QO12" s="473"/>
      <c r="QP12" s="80" t="s">
        <v>519</v>
      </c>
      <c r="QQ12" s="471" t="s">
        <v>685</v>
      </c>
      <c r="QR12" s="472"/>
      <c r="QS12" s="472"/>
      <c r="QT12" s="473"/>
      <c r="QU12" s="80" t="s">
        <v>519</v>
      </c>
      <c r="QV12" s="471" t="s">
        <v>685</v>
      </c>
      <c r="QW12" s="472"/>
      <c r="QX12" s="472"/>
      <c r="QY12" s="473"/>
      <c r="QZ12" s="80" t="s">
        <v>519</v>
      </c>
      <c r="RA12" s="479"/>
      <c r="RB12" s="528"/>
      <c r="RC12" s="466"/>
      <c r="RD12" s="466"/>
      <c r="RE12" s="466"/>
      <c r="RF12" s="467"/>
      <c r="RG12" s="471" t="s">
        <v>685</v>
      </c>
      <c r="RH12" s="472"/>
      <c r="RI12" s="472"/>
      <c r="RJ12" s="473"/>
      <c r="RK12" s="80" t="s">
        <v>519</v>
      </c>
      <c r="RL12" s="471" t="s">
        <v>685</v>
      </c>
      <c r="RM12" s="472"/>
      <c r="RN12" s="472"/>
      <c r="RO12" s="473"/>
      <c r="RP12" s="80" t="s">
        <v>519</v>
      </c>
      <c r="RQ12" s="471" t="s">
        <v>685</v>
      </c>
      <c r="RR12" s="472"/>
      <c r="RS12" s="472"/>
      <c r="RT12" s="473"/>
      <c r="RU12" s="80" t="s">
        <v>519</v>
      </c>
      <c r="RV12" s="471" t="s">
        <v>685</v>
      </c>
      <c r="RW12" s="472"/>
      <c r="RX12" s="472"/>
      <c r="RY12" s="473"/>
      <c r="RZ12" s="80" t="s">
        <v>519</v>
      </c>
      <c r="SA12" s="479"/>
      <c r="SB12" s="528"/>
      <c r="SC12" s="466"/>
      <c r="SD12" s="466"/>
      <c r="SE12" s="466"/>
      <c r="SF12" s="467"/>
      <c r="SG12" s="471" t="s">
        <v>685</v>
      </c>
      <c r="SH12" s="472"/>
      <c r="SI12" s="472"/>
      <c r="SJ12" s="473"/>
      <c r="SK12" s="80" t="s">
        <v>519</v>
      </c>
      <c r="SL12" s="471" t="s">
        <v>685</v>
      </c>
      <c r="SM12" s="472"/>
      <c r="SN12" s="472"/>
      <c r="SO12" s="473"/>
      <c r="SP12" s="80" t="s">
        <v>519</v>
      </c>
      <c r="SQ12" s="471" t="s">
        <v>685</v>
      </c>
      <c r="SR12" s="472"/>
      <c r="SS12" s="472"/>
      <c r="ST12" s="473"/>
      <c r="SU12" s="80" t="s">
        <v>519</v>
      </c>
      <c r="SV12" s="471" t="s">
        <v>685</v>
      </c>
      <c r="SW12" s="472"/>
      <c r="SX12" s="472"/>
      <c r="SY12" s="473"/>
      <c r="SZ12" s="80" t="s">
        <v>519</v>
      </c>
      <c r="TA12" s="479"/>
      <c r="TB12" s="528"/>
      <c r="TC12" s="466"/>
      <c r="TD12" s="466"/>
      <c r="TE12" s="466"/>
      <c r="TF12" s="467"/>
      <c r="TG12" s="471" t="s">
        <v>377</v>
      </c>
      <c r="TH12" s="472"/>
      <c r="TI12" s="472"/>
      <c r="TJ12" s="473"/>
      <c r="TK12" s="80" t="s">
        <v>519</v>
      </c>
      <c r="TL12" s="471" t="s">
        <v>377</v>
      </c>
      <c r="TM12" s="472"/>
      <c r="TN12" s="472"/>
      <c r="TO12" s="473"/>
      <c r="TP12" s="80"/>
      <c r="TQ12" s="80" t="s">
        <v>519</v>
      </c>
      <c r="TR12" s="471" t="s">
        <v>377</v>
      </c>
      <c r="TS12" s="472"/>
      <c r="TT12" s="472"/>
      <c r="TU12" s="473"/>
      <c r="TV12" s="80" t="s">
        <v>519</v>
      </c>
      <c r="TW12" s="471" t="s">
        <v>377</v>
      </c>
      <c r="TX12" s="472"/>
      <c r="TY12" s="472"/>
      <c r="TZ12" s="473"/>
      <c r="UA12" s="80" t="s">
        <v>519</v>
      </c>
      <c r="UB12" s="479"/>
      <c r="UC12" s="528"/>
      <c r="UD12" s="466"/>
      <c r="UE12" s="466"/>
      <c r="UF12" s="466"/>
      <c r="UG12" s="467"/>
      <c r="UH12" s="471" t="s">
        <v>377</v>
      </c>
      <c r="UI12" s="472"/>
      <c r="UJ12" s="472"/>
      <c r="UK12" s="473"/>
      <c r="UL12" s="80" t="s">
        <v>519</v>
      </c>
      <c r="UM12" s="471" t="s">
        <v>377</v>
      </c>
      <c r="UN12" s="472"/>
      <c r="UO12" s="472"/>
      <c r="UP12" s="473"/>
      <c r="UQ12" s="80" t="s">
        <v>519</v>
      </c>
      <c r="UR12" s="471" t="s">
        <v>377</v>
      </c>
      <c r="US12" s="472"/>
      <c r="UT12" s="472"/>
      <c r="UU12" s="473"/>
      <c r="UV12" s="80" t="s">
        <v>519</v>
      </c>
      <c r="UW12" s="471" t="s">
        <v>377</v>
      </c>
      <c r="UX12" s="472"/>
      <c r="UY12" s="472"/>
      <c r="UZ12" s="473"/>
      <c r="VA12" s="80" t="s">
        <v>519</v>
      </c>
      <c r="VB12" s="479"/>
      <c r="VC12" s="528"/>
      <c r="VD12" s="466"/>
      <c r="VE12" s="466"/>
      <c r="VF12" s="466"/>
      <c r="VG12" s="467"/>
      <c r="VH12" s="471" t="s">
        <v>377</v>
      </c>
      <c r="VI12" s="472"/>
      <c r="VJ12" s="472"/>
      <c r="VK12" s="473"/>
      <c r="VL12" s="80" t="s">
        <v>519</v>
      </c>
      <c r="VM12" s="471" t="s">
        <v>377</v>
      </c>
      <c r="VN12" s="472"/>
      <c r="VO12" s="472"/>
      <c r="VP12" s="473"/>
      <c r="VQ12" s="80" t="s">
        <v>519</v>
      </c>
      <c r="VR12" s="471" t="s">
        <v>377</v>
      </c>
      <c r="VS12" s="472"/>
      <c r="VT12" s="472"/>
      <c r="VU12" s="473"/>
      <c r="VV12" s="80" t="s">
        <v>519</v>
      </c>
      <c r="VW12" s="471" t="s">
        <v>377</v>
      </c>
      <c r="VX12" s="472"/>
      <c r="VY12" s="472"/>
      <c r="VZ12" s="473"/>
      <c r="WA12" s="80" t="s">
        <v>519</v>
      </c>
      <c r="WB12" s="479"/>
      <c r="WC12" s="528"/>
      <c r="WD12" s="466"/>
      <c r="WE12" s="466"/>
      <c r="WF12" s="466"/>
      <c r="WG12" s="467"/>
      <c r="WH12" s="471" t="s">
        <v>377</v>
      </c>
      <c r="WI12" s="472"/>
      <c r="WJ12" s="472"/>
      <c r="WK12" s="473"/>
      <c r="WL12" s="80" t="s">
        <v>519</v>
      </c>
      <c r="WM12" s="471" t="s">
        <v>377</v>
      </c>
      <c r="WN12" s="472"/>
      <c r="WO12" s="472"/>
      <c r="WP12" s="473"/>
      <c r="WQ12" s="80" t="s">
        <v>519</v>
      </c>
      <c r="WR12" s="471" t="s">
        <v>377</v>
      </c>
      <c r="WS12" s="472"/>
      <c r="WT12" s="472"/>
      <c r="WU12" s="473"/>
      <c r="WV12" s="80" t="s">
        <v>519</v>
      </c>
      <c r="WW12" s="471" t="s">
        <v>377</v>
      </c>
      <c r="WX12" s="472"/>
      <c r="WY12" s="472"/>
      <c r="WZ12" s="473"/>
      <c r="XA12" s="80" t="s">
        <v>519</v>
      </c>
      <c r="XB12" s="479"/>
      <c r="XC12" s="528"/>
      <c r="XD12" s="466"/>
      <c r="XE12" s="466"/>
      <c r="XF12" s="466"/>
      <c r="XG12" s="467"/>
      <c r="XH12" s="471" t="s">
        <v>377</v>
      </c>
      <c r="XI12" s="472"/>
      <c r="XJ12" s="472"/>
      <c r="XK12" s="473"/>
      <c r="XL12" s="80" t="s">
        <v>519</v>
      </c>
      <c r="XM12" s="471" t="s">
        <v>377</v>
      </c>
      <c r="XN12" s="472"/>
      <c r="XO12" s="472"/>
      <c r="XP12" s="473"/>
      <c r="XQ12" s="80" t="s">
        <v>519</v>
      </c>
      <c r="XR12" s="471" t="s">
        <v>377</v>
      </c>
      <c r="XS12" s="472"/>
      <c r="XT12" s="472"/>
      <c r="XU12" s="473"/>
      <c r="XV12" s="80" t="s">
        <v>519</v>
      </c>
      <c r="XW12" s="471" t="s">
        <v>377</v>
      </c>
      <c r="XX12" s="472"/>
      <c r="XY12" s="472"/>
      <c r="XZ12" s="473"/>
      <c r="YA12" s="80" t="s">
        <v>519</v>
      </c>
      <c r="YB12" s="479"/>
      <c r="YC12" s="528"/>
      <c r="YD12" s="466"/>
      <c r="YE12" s="466"/>
      <c r="YF12" s="466"/>
      <c r="YG12" s="467"/>
      <c r="YH12" s="471" t="s">
        <v>377</v>
      </c>
      <c r="YI12" s="472"/>
      <c r="YJ12" s="472"/>
      <c r="YK12" s="473"/>
      <c r="YL12" s="80" t="s">
        <v>519</v>
      </c>
      <c r="YM12" s="471" t="s">
        <v>377</v>
      </c>
      <c r="YN12" s="472"/>
      <c r="YO12" s="472"/>
      <c r="YP12" s="473"/>
      <c r="YQ12" s="80" t="s">
        <v>519</v>
      </c>
      <c r="YR12" s="471" t="s">
        <v>377</v>
      </c>
      <c r="YS12" s="472"/>
      <c r="YT12" s="472"/>
      <c r="YU12" s="473"/>
      <c r="YV12" s="80" t="s">
        <v>519</v>
      </c>
      <c r="YW12" s="471" t="s">
        <v>377</v>
      </c>
      <c r="YX12" s="472"/>
      <c r="YY12" s="472"/>
      <c r="YZ12" s="473"/>
      <c r="ZA12" s="80" t="s">
        <v>519</v>
      </c>
      <c r="ZB12" s="479"/>
      <c r="ZC12" s="528"/>
      <c r="ZD12" s="466"/>
      <c r="ZE12" s="466"/>
      <c r="ZF12" s="466"/>
      <c r="ZG12" s="467"/>
      <c r="ZH12" s="471" t="s">
        <v>377</v>
      </c>
      <c r="ZI12" s="472"/>
      <c r="ZJ12" s="472"/>
      <c r="ZK12" s="473"/>
      <c r="ZL12" s="80" t="s">
        <v>519</v>
      </c>
      <c r="ZM12" s="471" t="s">
        <v>685</v>
      </c>
      <c r="ZN12" s="472"/>
      <c r="ZO12" s="472"/>
      <c r="ZP12" s="473"/>
      <c r="ZQ12" s="80" t="s">
        <v>519</v>
      </c>
      <c r="ZR12" s="471" t="s">
        <v>685</v>
      </c>
      <c r="ZS12" s="472"/>
      <c r="ZT12" s="472"/>
      <c r="ZU12" s="473"/>
      <c r="ZV12" s="80" t="s">
        <v>519</v>
      </c>
      <c r="ZW12" s="471" t="s">
        <v>685</v>
      </c>
      <c r="ZX12" s="472"/>
      <c r="ZY12" s="472"/>
      <c r="ZZ12" s="473"/>
      <c r="AAA12" s="80" t="s">
        <v>519</v>
      </c>
      <c r="AAB12" s="479"/>
      <c r="AAC12" s="528"/>
      <c r="AAD12" s="466"/>
      <c r="AAE12" s="466"/>
      <c r="AAF12" s="466"/>
      <c r="AAG12" s="467"/>
      <c r="AAH12" s="471" t="s">
        <v>685</v>
      </c>
      <c r="AAI12" s="472"/>
      <c r="AAJ12" s="472"/>
      <c r="AAK12" s="473"/>
      <c r="AAL12" s="80" t="s">
        <v>519</v>
      </c>
      <c r="AAM12" s="471" t="s">
        <v>685</v>
      </c>
      <c r="AAN12" s="472"/>
      <c r="AAO12" s="472"/>
      <c r="AAP12" s="473"/>
      <c r="AAQ12" s="80" t="s">
        <v>519</v>
      </c>
      <c r="AAR12" s="471" t="s">
        <v>685</v>
      </c>
      <c r="AAS12" s="472"/>
      <c r="AAT12" s="472"/>
      <c r="AAU12" s="473"/>
      <c r="AAV12" s="80" t="s">
        <v>519</v>
      </c>
      <c r="AAW12" s="471" t="s">
        <v>685</v>
      </c>
      <c r="AAX12" s="472"/>
      <c r="AAY12" s="472"/>
      <c r="AAZ12" s="473"/>
      <c r="ABA12" s="80" t="s">
        <v>519</v>
      </c>
      <c r="ABB12" s="479"/>
      <c r="ABC12" s="528"/>
      <c r="ABD12" s="466"/>
      <c r="ABE12" s="466"/>
      <c r="ABF12" s="466"/>
      <c r="ABG12" s="467"/>
      <c r="ABH12" s="471" t="s">
        <v>685</v>
      </c>
      <c r="ABI12" s="472"/>
      <c r="ABJ12" s="472"/>
      <c r="ABK12" s="473"/>
      <c r="ABL12" s="80" t="s">
        <v>519</v>
      </c>
      <c r="ABM12" s="471" t="s">
        <v>685</v>
      </c>
      <c r="ABN12" s="472"/>
      <c r="ABO12" s="472"/>
      <c r="ABP12" s="473"/>
      <c r="ABQ12" s="80" t="s">
        <v>519</v>
      </c>
      <c r="ABR12" s="471" t="s">
        <v>685</v>
      </c>
      <c r="ABS12" s="472"/>
      <c r="ABT12" s="472"/>
      <c r="ABU12" s="473"/>
      <c r="ABV12" s="80" t="s">
        <v>519</v>
      </c>
      <c r="ABW12" s="471" t="s">
        <v>685</v>
      </c>
      <c r="ABX12" s="472"/>
      <c r="ABY12" s="472"/>
      <c r="ABZ12" s="473"/>
      <c r="ACA12" s="80" t="s">
        <v>519</v>
      </c>
      <c r="ACB12" s="479"/>
      <c r="ACC12" s="528"/>
      <c r="ACD12" s="466"/>
      <c r="ACE12" s="466"/>
      <c r="ACF12" s="466"/>
      <c r="ACG12" s="467"/>
      <c r="ACH12" s="471" t="s">
        <v>685</v>
      </c>
      <c r="ACI12" s="472"/>
      <c r="ACJ12" s="472"/>
      <c r="ACK12" s="473"/>
      <c r="ACL12" s="80" t="s">
        <v>519</v>
      </c>
      <c r="ACM12" s="471" t="s">
        <v>377</v>
      </c>
      <c r="ACN12" s="472"/>
      <c r="ACO12" s="472"/>
      <c r="ACP12" s="473"/>
      <c r="ACQ12" s="80" t="s">
        <v>519</v>
      </c>
      <c r="ACR12" s="471" t="s">
        <v>377</v>
      </c>
      <c r="ACS12" s="472"/>
      <c r="ACT12" s="472"/>
      <c r="ACU12" s="473"/>
      <c r="ACV12" s="80" t="s">
        <v>519</v>
      </c>
      <c r="ACW12" s="471" t="s">
        <v>377</v>
      </c>
      <c r="ACX12" s="472"/>
      <c r="ACY12" s="472"/>
      <c r="ACZ12" s="473"/>
      <c r="ADA12" s="80" t="s">
        <v>519</v>
      </c>
      <c r="ADB12" s="479"/>
      <c r="ADC12" s="528"/>
      <c r="ADD12" s="466"/>
      <c r="ADE12" s="466"/>
      <c r="ADF12" s="466"/>
      <c r="ADG12" s="467"/>
      <c r="ADH12" s="471" t="s">
        <v>377</v>
      </c>
      <c r="ADI12" s="472"/>
      <c r="ADJ12" s="472"/>
      <c r="ADK12" s="473"/>
      <c r="ADL12" s="80" t="s">
        <v>519</v>
      </c>
      <c r="ADM12" s="471" t="s">
        <v>377</v>
      </c>
      <c r="ADN12" s="472"/>
      <c r="ADO12" s="472"/>
      <c r="ADP12" s="473"/>
      <c r="ADQ12" s="80" t="s">
        <v>519</v>
      </c>
      <c r="ADR12" s="471" t="s">
        <v>377</v>
      </c>
      <c r="ADS12" s="472"/>
      <c r="ADT12" s="472"/>
      <c r="ADU12" s="473"/>
      <c r="ADV12" s="80" t="s">
        <v>519</v>
      </c>
      <c r="ADW12" s="471" t="s">
        <v>377</v>
      </c>
      <c r="ADX12" s="472"/>
      <c r="ADY12" s="472"/>
      <c r="ADZ12" s="473"/>
      <c r="AEA12" s="80" t="s">
        <v>519</v>
      </c>
      <c r="AEB12" s="479"/>
      <c r="AEC12" s="528"/>
      <c r="AED12" s="466"/>
      <c r="AEE12" s="466"/>
      <c r="AEF12" s="466"/>
      <c r="AEG12" s="467"/>
      <c r="AEH12" s="471" t="s">
        <v>377</v>
      </c>
      <c r="AEI12" s="472"/>
      <c r="AEJ12" s="472"/>
      <c r="AEK12" s="473"/>
      <c r="AEL12" s="80" t="s">
        <v>519</v>
      </c>
      <c r="AEM12" s="471" t="s">
        <v>377</v>
      </c>
      <c r="AEN12" s="472"/>
      <c r="AEO12" s="472"/>
      <c r="AEP12" s="473"/>
      <c r="AEQ12" s="80"/>
      <c r="AER12" s="80" t="s">
        <v>519</v>
      </c>
      <c r="AES12" s="471" t="s">
        <v>377</v>
      </c>
      <c r="AET12" s="472"/>
      <c r="AEU12" s="472"/>
      <c r="AEV12" s="473"/>
      <c r="AEW12" s="80" t="s">
        <v>519</v>
      </c>
      <c r="AEX12" s="471" t="s">
        <v>377</v>
      </c>
      <c r="AEY12" s="472"/>
      <c r="AEZ12" s="472"/>
      <c r="AFA12" s="473"/>
      <c r="AFB12" s="80" t="s">
        <v>519</v>
      </c>
      <c r="AFC12" s="479"/>
      <c r="AFD12" s="528"/>
      <c r="AFE12" s="466"/>
      <c r="AFF12" s="466"/>
      <c r="AFG12" s="466"/>
      <c r="AFH12" s="467"/>
      <c r="AFI12" s="471" t="s">
        <v>377</v>
      </c>
      <c r="AFJ12" s="472"/>
      <c r="AFK12" s="472"/>
      <c r="AFL12" s="473"/>
      <c r="AFM12" s="11" t="s">
        <v>519</v>
      </c>
      <c r="AFN12" s="471" t="s">
        <v>377</v>
      </c>
      <c r="AFO12" s="472"/>
      <c r="AFP12" s="472"/>
      <c r="AFQ12" s="473"/>
      <c r="AFR12" s="80" t="s">
        <v>519</v>
      </c>
      <c r="AFS12" s="471" t="s">
        <v>377</v>
      </c>
      <c r="AFT12" s="472"/>
      <c r="AFU12" s="472"/>
      <c r="AFV12" s="473"/>
      <c r="AFW12" s="80" t="s">
        <v>519</v>
      </c>
      <c r="AFX12" s="471" t="s">
        <v>377</v>
      </c>
      <c r="AFY12" s="472"/>
      <c r="AFZ12" s="472"/>
      <c r="AGA12" s="473"/>
      <c r="AGB12" s="80" t="s">
        <v>519</v>
      </c>
      <c r="AGC12" s="479"/>
      <c r="AGD12" s="528"/>
      <c r="AGE12" s="466"/>
      <c r="AGF12" s="466"/>
      <c r="AGG12" s="466"/>
      <c r="AGH12" s="467"/>
      <c r="AGI12" s="471" t="s">
        <v>377</v>
      </c>
      <c r="AGJ12" s="472"/>
      <c r="AGK12" s="472"/>
      <c r="AGL12" s="473"/>
      <c r="AGM12" s="80" t="s">
        <v>519</v>
      </c>
      <c r="AGN12" s="471" t="s">
        <v>377</v>
      </c>
      <c r="AGO12" s="472"/>
      <c r="AGP12" s="472"/>
      <c r="AGQ12" s="473"/>
      <c r="AGR12" s="80" t="s">
        <v>519</v>
      </c>
      <c r="AGS12" s="471" t="s">
        <v>377</v>
      </c>
      <c r="AGT12" s="472"/>
      <c r="AGU12" s="472"/>
      <c r="AGV12" s="473"/>
      <c r="AGW12" s="80" t="s">
        <v>519</v>
      </c>
      <c r="AGX12" s="471" t="s">
        <v>377</v>
      </c>
      <c r="AGY12" s="472"/>
      <c r="AGZ12" s="472"/>
      <c r="AHA12" s="473"/>
      <c r="AHB12" s="80" t="s">
        <v>519</v>
      </c>
      <c r="AHC12" s="479"/>
      <c r="AHD12" s="528"/>
      <c r="AHE12" s="466"/>
      <c r="AHF12" s="466"/>
      <c r="AHG12" s="466"/>
      <c r="AHH12" s="467"/>
      <c r="AHI12" s="471" t="s">
        <v>377</v>
      </c>
      <c r="AHJ12" s="472"/>
      <c r="AHK12" s="472"/>
      <c r="AHL12" s="473"/>
      <c r="AHM12" s="80" t="s">
        <v>519</v>
      </c>
      <c r="AHN12" s="471" t="s">
        <v>377</v>
      </c>
      <c r="AHO12" s="472"/>
      <c r="AHP12" s="472"/>
      <c r="AHQ12" s="473"/>
      <c r="AHR12" s="80" t="s">
        <v>519</v>
      </c>
      <c r="AHS12" s="471" t="s">
        <v>377</v>
      </c>
      <c r="AHT12" s="472"/>
      <c r="AHU12" s="472"/>
      <c r="AHV12" s="473"/>
      <c r="AHW12" s="80" t="s">
        <v>519</v>
      </c>
      <c r="AHX12" s="471" t="s">
        <v>377</v>
      </c>
      <c r="AHY12" s="472"/>
      <c r="AHZ12" s="472"/>
      <c r="AIA12" s="473"/>
      <c r="AIB12" s="80" t="s">
        <v>519</v>
      </c>
      <c r="AIC12" s="479"/>
      <c r="AID12" s="528"/>
      <c r="AIE12" s="466"/>
      <c r="AIF12" s="466"/>
      <c r="AIG12" s="466"/>
      <c r="AIH12" s="467"/>
      <c r="AII12" s="471" t="s">
        <v>377</v>
      </c>
      <c r="AIJ12" s="472"/>
      <c r="AIK12" s="472"/>
      <c r="AIL12" s="473"/>
      <c r="AIM12" s="80" t="s">
        <v>519</v>
      </c>
      <c r="AIN12" s="471" t="s">
        <v>377</v>
      </c>
      <c r="AIO12" s="472"/>
      <c r="AIP12" s="472"/>
      <c r="AIQ12" s="473"/>
      <c r="AIR12" s="80" t="s">
        <v>519</v>
      </c>
      <c r="AIS12" s="471" t="s">
        <v>377</v>
      </c>
      <c r="AIT12" s="472"/>
      <c r="AIU12" s="472"/>
      <c r="AIV12" s="473"/>
      <c r="AIW12" s="80" t="s">
        <v>519</v>
      </c>
      <c r="AIX12" s="471" t="s">
        <v>377</v>
      </c>
      <c r="AIY12" s="472"/>
      <c r="AIZ12" s="472"/>
      <c r="AJA12" s="473"/>
      <c r="AJB12" s="80" t="s">
        <v>687</v>
      </c>
      <c r="AJC12" s="479"/>
      <c r="AJD12" s="528"/>
      <c r="AJE12" s="466"/>
      <c r="AJF12" s="466"/>
      <c r="AJG12" s="466"/>
      <c r="AJH12" s="467"/>
      <c r="AJI12" s="471" t="s">
        <v>685</v>
      </c>
      <c r="AJJ12" s="472"/>
      <c r="AJK12" s="472"/>
      <c r="AJL12" s="473"/>
      <c r="AJM12" s="80" t="s">
        <v>519</v>
      </c>
      <c r="AJN12" s="471" t="s">
        <v>377</v>
      </c>
      <c r="AJO12" s="472"/>
      <c r="AJP12" s="472"/>
      <c r="AJQ12" s="473"/>
      <c r="AJR12" s="80" t="s">
        <v>519</v>
      </c>
      <c r="AJS12" s="471" t="s">
        <v>377</v>
      </c>
      <c r="AJT12" s="472"/>
      <c r="AJU12" s="472"/>
      <c r="AJV12" s="473"/>
      <c r="AJW12" s="80" t="s">
        <v>519</v>
      </c>
      <c r="AJX12" s="471" t="s">
        <v>377</v>
      </c>
      <c r="AJY12" s="472"/>
      <c r="AJZ12" s="472"/>
      <c r="AKA12" s="473"/>
      <c r="AKB12" s="80" t="s">
        <v>687</v>
      </c>
      <c r="AKC12" s="479"/>
      <c r="AKD12" s="528"/>
      <c r="AKE12" s="466"/>
      <c r="AKF12" s="466"/>
      <c r="AKG12" s="466"/>
      <c r="AKH12" s="467"/>
      <c r="AKI12" s="471" t="s">
        <v>377</v>
      </c>
      <c r="AKJ12" s="472"/>
      <c r="AKK12" s="472"/>
      <c r="AKL12" s="473"/>
      <c r="AKM12" s="80" t="s">
        <v>519</v>
      </c>
      <c r="AKN12" s="471" t="s">
        <v>377</v>
      </c>
      <c r="AKO12" s="472"/>
      <c r="AKP12" s="472"/>
      <c r="AKQ12" s="473"/>
      <c r="AKR12" s="80" t="s">
        <v>519</v>
      </c>
      <c r="AKS12" s="471" t="s">
        <v>377</v>
      </c>
      <c r="AKT12" s="472"/>
      <c r="AKU12" s="472"/>
      <c r="AKV12" s="473"/>
      <c r="AKW12" s="80" t="s">
        <v>519</v>
      </c>
      <c r="AKX12" s="471" t="s">
        <v>377</v>
      </c>
      <c r="AKY12" s="472"/>
      <c r="AKZ12" s="472"/>
      <c r="ALA12" s="473"/>
      <c r="ALB12" s="80" t="s">
        <v>511</v>
      </c>
      <c r="ALC12" s="479"/>
      <c r="ALD12" s="528"/>
      <c r="ALE12" s="466"/>
      <c r="ALF12" s="466"/>
      <c r="ALG12" s="466"/>
      <c r="ALH12" s="467"/>
      <c r="ALI12" s="471" t="s">
        <v>377</v>
      </c>
      <c r="ALJ12" s="472"/>
      <c r="ALK12" s="472"/>
      <c r="ALL12" s="473"/>
      <c r="ALM12" s="80" t="s">
        <v>519</v>
      </c>
      <c r="ALN12" s="471" t="s">
        <v>377</v>
      </c>
      <c r="ALO12" s="472"/>
      <c r="ALP12" s="472"/>
      <c r="ALQ12" s="473"/>
      <c r="ALR12" s="80" t="s">
        <v>519</v>
      </c>
      <c r="ALS12" s="471" t="s">
        <v>377</v>
      </c>
      <c r="ALT12" s="472"/>
      <c r="ALU12" s="472"/>
      <c r="ALV12" s="473"/>
      <c r="ALW12" s="80" t="s">
        <v>519</v>
      </c>
      <c r="ALX12" s="471" t="s">
        <v>377</v>
      </c>
      <c r="ALY12" s="472"/>
      <c r="ALZ12" s="472"/>
      <c r="AMA12" s="473"/>
      <c r="AMB12" s="80" t="s">
        <v>519</v>
      </c>
      <c r="AMC12" s="479"/>
      <c r="AMD12" s="528"/>
      <c r="AME12" s="466"/>
      <c r="AMF12" s="466"/>
      <c r="AMG12" s="466"/>
      <c r="AMH12" s="467"/>
      <c r="AMI12" s="471" t="s">
        <v>377</v>
      </c>
      <c r="AMJ12" s="472"/>
      <c r="AMK12" s="472"/>
      <c r="AML12" s="473"/>
      <c r="AMM12" s="80" t="s">
        <v>519</v>
      </c>
      <c r="AMN12" s="471" t="s">
        <v>377</v>
      </c>
      <c r="AMO12" s="472"/>
      <c r="AMP12" s="472"/>
      <c r="AMQ12" s="473"/>
      <c r="AMR12" s="80" t="s">
        <v>519</v>
      </c>
      <c r="AMS12" s="80"/>
      <c r="AMT12" s="471" t="s">
        <v>377</v>
      </c>
      <c r="AMU12" s="472"/>
      <c r="AMV12" s="472"/>
      <c r="AMW12" s="473"/>
      <c r="AMX12" s="80" t="s">
        <v>519</v>
      </c>
      <c r="AMY12" s="471" t="s">
        <v>377</v>
      </c>
      <c r="AMZ12" s="472"/>
      <c r="ANA12" s="472"/>
      <c r="ANB12" s="473"/>
      <c r="ANC12" s="80" t="s">
        <v>519</v>
      </c>
      <c r="AND12" s="479"/>
      <c r="ANE12" s="528"/>
      <c r="ANF12" s="466"/>
      <c r="ANG12" s="466"/>
      <c r="ANH12" s="466"/>
      <c r="ANI12" s="467"/>
      <c r="ANJ12" s="471" t="s">
        <v>377</v>
      </c>
      <c r="ANK12" s="472"/>
      <c r="ANL12" s="472"/>
      <c r="ANM12" s="473"/>
      <c r="ANN12" s="80" t="s">
        <v>511</v>
      </c>
      <c r="ANO12" s="471" t="s">
        <v>377</v>
      </c>
      <c r="ANP12" s="472"/>
      <c r="ANQ12" s="472"/>
      <c r="ANR12" s="473"/>
      <c r="ANS12" s="80" t="s">
        <v>519</v>
      </c>
      <c r="ANT12" s="80"/>
      <c r="ANU12" s="471" t="s">
        <v>377</v>
      </c>
      <c r="ANV12" s="472"/>
      <c r="ANW12" s="472"/>
      <c r="ANX12" s="473"/>
      <c r="ANY12" s="80" t="s">
        <v>519</v>
      </c>
      <c r="ANZ12" s="471" t="s">
        <v>377</v>
      </c>
      <c r="AOA12" s="472"/>
      <c r="AOB12" s="472"/>
      <c r="AOC12" s="473"/>
      <c r="AOD12" s="80" t="s">
        <v>519</v>
      </c>
      <c r="AOE12" s="479"/>
      <c r="AOF12" s="528"/>
      <c r="AOG12" s="466"/>
      <c r="AOH12" s="466"/>
      <c r="AOI12" s="466"/>
      <c r="AOJ12" s="467"/>
      <c r="AOK12" s="471" t="s">
        <v>377</v>
      </c>
      <c r="AOL12" s="472"/>
      <c r="AOM12" s="472"/>
      <c r="AON12" s="473"/>
      <c r="AOO12" s="80" t="s">
        <v>519</v>
      </c>
      <c r="AOP12" s="471" t="s">
        <v>377</v>
      </c>
      <c r="AOQ12" s="472"/>
      <c r="AOR12" s="472"/>
      <c r="AOS12" s="473"/>
      <c r="AOT12" s="80" t="s">
        <v>687</v>
      </c>
      <c r="AOU12" s="80"/>
      <c r="AOV12" s="471" t="s">
        <v>377</v>
      </c>
      <c r="AOW12" s="472"/>
      <c r="AOX12" s="472"/>
      <c r="AOY12" s="473"/>
      <c r="AOZ12" s="80" t="s">
        <v>687</v>
      </c>
      <c r="APA12" s="471"/>
      <c r="APB12" s="472"/>
      <c r="APC12" s="472"/>
      <c r="APD12" s="473"/>
      <c r="APE12" s="80"/>
    </row>
    <row r="13" spans="1:1097" ht="45" customHeight="1" x14ac:dyDescent="0.4">
      <c r="A13" s="479"/>
      <c r="B13" s="507" t="s">
        <v>3</v>
      </c>
      <c r="C13" s="485"/>
      <c r="D13" s="485"/>
      <c r="E13" s="485"/>
      <c r="F13" s="486"/>
      <c r="G13" s="474">
        <v>44287</v>
      </c>
      <c r="H13" s="475"/>
      <c r="I13" s="475"/>
      <c r="J13" s="476"/>
      <c r="K13" s="402">
        <v>44287</v>
      </c>
      <c r="L13" s="474">
        <v>44288</v>
      </c>
      <c r="M13" s="475"/>
      <c r="N13" s="475"/>
      <c r="O13" s="476"/>
      <c r="P13" s="516" t="s">
        <v>688</v>
      </c>
      <c r="Q13" s="474">
        <v>44289</v>
      </c>
      <c r="R13" s="475"/>
      <c r="S13" s="475"/>
      <c r="T13" s="476"/>
      <c r="U13" s="516" t="s">
        <v>689</v>
      </c>
      <c r="V13" s="474">
        <v>44291</v>
      </c>
      <c r="W13" s="475"/>
      <c r="X13" s="475"/>
      <c r="Y13" s="476"/>
      <c r="Z13" s="402">
        <v>44291</v>
      </c>
      <c r="AA13" s="479"/>
      <c r="AB13" s="507" t="s">
        <v>3</v>
      </c>
      <c r="AC13" s="485"/>
      <c r="AD13" s="485"/>
      <c r="AE13" s="485"/>
      <c r="AF13" s="486"/>
      <c r="AG13" s="474">
        <v>44292</v>
      </c>
      <c r="AH13" s="475"/>
      <c r="AI13" s="475"/>
      <c r="AJ13" s="476"/>
      <c r="AK13" s="402">
        <v>44292</v>
      </c>
      <c r="AL13" s="474">
        <v>44293</v>
      </c>
      <c r="AM13" s="475"/>
      <c r="AN13" s="475"/>
      <c r="AO13" s="476"/>
      <c r="AP13" s="402">
        <v>44293</v>
      </c>
      <c r="AQ13" s="474">
        <v>44294</v>
      </c>
      <c r="AR13" s="475"/>
      <c r="AS13" s="475"/>
      <c r="AT13" s="476"/>
      <c r="AU13" s="516" t="s">
        <v>688</v>
      </c>
      <c r="AV13" s="474">
        <v>44295</v>
      </c>
      <c r="AW13" s="475"/>
      <c r="AX13" s="475"/>
      <c r="AY13" s="476"/>
      <c r="AZ13" s="402">
        <v>44295</v>
      </c>
      <c r="BA13" s="479"/>
      <c r="BB13" s="507" t="s">
        <v>3</v>
      </c>
      <c r="BC13" s="485"/>
      <c r="BD13" s="485"/>
      <c r="BE13" s="485"/>
      <c r="BF13" s="486"/>
      <c r="BG13" s="474">
        <v>44296</v>
      </c>
      <c r="BH13" s="475"/>
      <c r="BI13" s="475"/>
      <c r="BJ13" s="476"/>
      <c r="BK13" s="402">
        <v>44296</v>
      </c>
      <c r="BL13" s="474">
        <v>44297</v>
      </c>
      <c r="BM13" s="475"/>
      <c r="BN13" s="475"/>
      <c r="BO13" s="476"/>
      <c r="BP13" s="402">
        <v>44297</v>
      </c>
      <c r="BQ13" s="474">
        <v>44298</v>
      </c>
      <c r="BR13" s="475"/>
      <c r="BS13" s="475"/>
      <c r="BT13" s="476"/>
      <c r="BU13" s="516" t="s">
        <v>689</v>
      </c>
      <c r="BV13" s="474">
        <v>44300</v>
      </c>
      <c r="BW13" s="475"/>
      <c r="BX13" s="475"/>
      <c r="BY13" s="476"/>
      <c r="BZ13" s="402">
        <v>44300</v>
      </c>
      <c r="CA13" s="479"/>
      <c r="CB13" s="507" t="s">
        <v>3</v>
      </c>
      <c r="CC13" s="485"/>
      <c r="CD13" s="485"/>
      <c r="CE13" s="485"/>
      <c r="CF13" s="486"/>
      <c r="CG13" s="474">
        <v>44301</v>
      </c>
      <c r="CH13" s="475"/>
      <c r="CI13" s="475"/>
      <c r="CJ13" s="476"/>
      <c r="CK13" s="402">
        <v>44301</v>
      </c>
      <c r="CL13" s="474">
        <v>44302</v>
      </c>
      <c r="CM13" s="475"/>
      <c r="CN13" s="475"/>
      <c r="CO13" s="476"/>
      <c r="CP13" s="516" t="s">
        <v>689</v>
      </c>
      <c r="CQ13" s="474">
        <v>44303</v>
      </c>
      <c r="CR13" s="475"/>
      <c r="CS13" s="475"/>
      <c r="CT13" s="476"/>
      <c r="CU13" s="402">
        <v>44303</v>
      </c>
      <c r="CV13" s="474">
        <v>44304</v>
      </c>
      <c r="CW13" s="475"/>
      <c r="CX13" s="475"/>
      <c r="CY13" s="476"/>
      <c r="CZ13" s="402">
        <v>44304</v>
      </c>
      <c r="DA13" s="479"/>
      <c r="DB13" s="507" t="s">
        <v>3</v>
      </c>
      <c r="DC13" s="485"/>
      <c r="DD13" s="485"/>
      <c r="DE13" s="485"/>
      <c r="DF13" s="486"/>
      <c r="DG13" s="474">
        <v>44305</v>
      </c>
      <c r="DH13" s="475"/>
      <c r="DI13" s="475"/>
      <c r="DJ13" s="476"/>
      <c r="DK13" s="402">
        <v>44305</v>
      </c>
      <c r="DL13" s="474">
        <v>44306</v>
      </c>
      <c r="DM13" s="475"/>
      <c r="DN13" s="475"/>
      <c r="DO13" s="476"/>
      <c r="DP13" s="402">
        <v>44306</v>
      </c>
      <c r="DQ13" s="474">
        <v>44307</v>
      </c>
      <c r="DR13" s="475"/>
      <c r="DS13" s="475"/>
      <c r="DT13" s="476"/>
      <c r="DU13" s="402">
        <v>44307</v>
      </c>
      <c r="DV13" s="474">
        <v>44308</v>
      </c>
      <c r="DW13" s="475"/>
      <c r="DX13" s="475"/>
      <c r="DY13" s="476"/>
      <c r="DZ13" s="402">
        <v>44308</v>
      </c>
      <c r="EA13" s="479"/>
      <c r="EB13" s="507" t="s">
        <v>3</v>
      </c>
      <c r="EC13" s="485"/>
      <c r="ED13" s="485"/>
      <c r="EE13" s="485"/>
      <c r="EF13" s="486"/>
      <c r="EG13" s="474">
        <v>44309</v>
      </c>
      <c r="EH13" s="475"/>
      <c r="EI13" s="475"/>
      <c r="EJ13" s="476"/>
      <c r="EK13" s="402">
        <v>44309</v>
      </c>
      <c r="EL13" s="474">
        <v>44310</v>
      </c>
      <c r="EM13" s="475"/>
      <c r="EN13" s="475"/>
      <c r="EO13" s="476"/>
      <c r="EP13" s="402">
        <v>44310</v>
      </c>
      <c r="EQ13" s="474">
        <v>44311</v>
      </c>
      <c r="ER13" s="475"/>
      <c r="ES13" s="475"/>
      <c r="ET13" s="476"/>
      <c r="EU13" s="402">
        <v>44311</v>
      </c>
      <c r="EV13" s="474">
        <v>44312</v>
      </c>
      <c r="EW13" s="475"/>
      <c r="EX13" s="475"/>
      <c r="EY13" s="476"/>
      <c r="EZ13" s="402">
        <v>44312</v>
      </c>
      <c r="FA13" s="479"/>
      <c r="FB13" s="507" t="s">
        <v>3</v>
      </c>
      <c r="FC13" s="485"/>
      <c r="FD13" s="485"/>
      <c r="FE13" s="485"/>
      <c r="FF13" s="486"/>
      <c r="FG13" s="474">
        <v>44313</v>
      </c>
      <c r="FH13" s="475"/>
      <c r="FI13" s="475"/>
      <c r="FJ13" s="476"/>
      <c r="FK13" s="402">
        <v>44313</v>
      </c>
      <c r="FL13" s="474">
        <v>44316</v>
      </c>
      <c r="FM13" s="475"/>
      <c r="FN13" s="475"/>
      <c r="FO13" s="476"/>
      <c r="FP13" s="402">
        <v>44316</v>
      </c>
      <c r="FQ13" s="474">
        <v>44317</v>
      </c>
      <c r="FR13" s="475"/>
      <c r="FS13" s="475"/>
      <c r="FT13" s="476"/>
      <c r="FU13" s="402">
        <v>44317</v>
      </c>
      <c r="FV13" s="474">
        <v>44318</v>
      </c>
      <c r="FW13" s="475"/>
      <c r="FX13" s="475"/>
      <c r="FY13" s="476"/>
      <c r="FZ13" s="402">
        <v>44318</v>
      </c>
      <c r="GA13" s="479"/>
      <c r="GB13" s="507" t="s">
        <v>3</v>
      </c>
      <c r="GC13" s="485"/>
      <c r="GD13" s="485"/>
      <c r="GE13" s="485"/>
      <c r="GF13" s="486"/>
      <c r="GG13" s="474">
        <v>44319</v>
      </c>
      <c r="GH13" s="475"/>
      <c r="GI13" s="475"/>
      <c r="GJ13" s="476"/>
      <c r="GK13" s="402">
        <v>44319</v>
      </c>
      <c r="GL13" s="474">
        <v>44320</v>
      </c>
      <c r="GM13" s="475"/>
      <c r="GN13" s="475"/>
      <c r="GO13" s="476"/>
      <c r="GP13" s="402">
        <v>44320</v>
      </c>
      <c r="GQ13" s="474">
        <v>44321</v>
      </c>
      <c r="GR13" s="475"/>
      <c r="GS13" s="475"/>
      <c r="GT13" s="476"/>
      <c r="GU13" s="402">
        <v>44321</v>
      </c>
      <c r="GV13" s="474">
        <v>44322</v>
      </c>
      <c r="GW13" s="475"/>
      <c r="GX13" s="475"/>
      <c r="GY13" s="476"/>
      <c r="GZ13" s="402">
        <v>44322</v>
      </c>
      <c r="HA13" s="479"/>
      <c r="HB13" s="507" t="s">
        <v>3</v>
      </c>
      <c r="HC13" s="485"/>
      <c r="HD13" s="485"/>
      <c r="HE13" s="485"/>
      <c r="HF13" s="486"/>
      <c r="HG13" s="474">
        <v>44324</v>
      </c>
      <c r="HH13" s="475"/>
      <c r="HI13" s="475"/>
      <c r="HJ13" s="476"/>
      <c r="HK13" s="516" t="s">
        <v>688</v>
      </c>
      <c r="HL13" s="474">
        <v>44325</v>
      </c>
      <c r="HM13" s="475"/>
      <c r="HN13" s="475"/>
      <c r="HO13" s="476"/>
      <c r="HP13" s="402">
        <v>44325</v>
      </c>
      <c r="HQ13" s="474">
        <v>44326</v>
      </c>
      <c r="HR13" s="475"/>
      <c r="HS13" s="475"/>
      <c r="HT13" s="476"/>
      <c r="HU13" s="402">
        <v>44326</v>
      </c>
      <c r="HV13" s="474">
        <v>44327</v>
      </c>
      <c r="HW13" s="475"/>
      <c r="HX13" s="475"/>
      <c r="HY13" s="476"/>
      <c r="HZ13" s="516" t="s">
        <v>689</v>
      </c>
      <c r="IA13" s="479"/>
      <c r="IB13" s="507" t="s">
        <v>3</v>
      </c>
      <c r="IC13" s="485"/>
      <c r="ID13" s="485"/>
      <c r="IE13" s="485"/>
      <c r="IF13" s="486"/>
      <c r="IG13" s="474">
        <v>44329</v>
      </c>
      <c r="IH13" s="475"/>
      <c r="II13" s="475"/>
      <c r="IJ13" s="476"/>
      <c r="IK13" s="516" t="s">
        <v>689</v>
      </c>
      <c r="IL13" s="474">
        <v>44330</v>
      </c>
      <c r="IM13" s="475"/>
      <c r="IN13" s="475"/>
      <c r="IO13" s="476"/>
      <c r="IP13" s="516" t="s">
        <v>689</v>
      </c>
      <c r="IQ13" s="474">
        <v>44335</v>
      </c>
      <c r="IR13" s="475"/>
      <c r="IS13" s="475"/>
      <c r="IT13" s="476"/>
      <c r="IU13" s="402">
        <v>44335</v>
      </c>
      <c r="IV13" s="474">
        <v>44337</v>
      </c>
      <c r="IW13" s="475"/>
      <c r="IX13" s="475"/>
      <c r="IY13" s="476"/>
      <c r="IZ13" s="516" t="s">
        <v>689</v>
      </c>
      <c r="JA13" s="479"/>
      <c r="JB13" s="507" t="s">
        <v>3</v>
      </c>
      <c r="JC13" s="485"/>
      <c r="JD13" s="485"/>
      <c r="JE13" s="485"/>
      <c r="JF13" s="486"/>
      <c r="JG13" s="474">
        <v>44338</v>
      </c>
      <c r="JH13" s="475"/>
      <c r="JI13" s="475"/>
      <c r="JJ13" s="476"/>
      <c r="JK13" s="402">
        <v>44338</v>
      </c>
      <c r="JL13" s="474">
        <v>44339</v>
      </c>
      <c r="JM13" s="475"/>
      <c r="JN13" s="475"/>
      <c r="JO13" s="476"/>
      <c r="JP13" s="402">
        <v>44339</v>
      </c>
      <c r="JQ13" s="474">
        <v>44341</v>
      </c>
      <c r="JR13" s="475"/>
      <c r="JS13" s="475"/>
      <c r="JT13" s="476"/>
      <c r="JU13" s="402">
        <v>44341</v>
      </c>
      <c r="JV13" s="474">
        <v>44344</v>
      </c>
      <c r="JW13" s="475"/>
      <c r="JX13" s="475"/>
      <c r="JY13" s="476"/>
      <c r="JZ13" s="516" t="s">
        <v>688</v>
      </c>
      <c r="KA13" s="479"/>
      <c r="KB13" s="507" t="s">
        <v>3</v>
      </c>
      <c r="KC13" s="485"/>
      <c r="KD13" s="485"/>
      <c r="KE13" s="485"/>
      <c r="KF13" s="486"/>
      <c r="KG13" s="474">
        <v>44345</v>
      </c>
      <c r="KH13" s="475"/>
      <c r="KI13" s="475"/>
      <c r="KJ13" s="476"/>
      <c r="KK13" s="402">
        <v>44345</v>
      </c>
      <c r="KL13" s="474">
        <v>44346</v>
      </c>
      <c r="KM13" s="475"/>
      <c r="KN13" s="475"/>
      <c r="KO13" s="476"/>
      <c r="KP13" s="402">
        <v>44346</v>
      </c>
      <c r="KQ13" s="474">
        <v>44347</v>
      </c>
      <c r="KR13" s="475"/>
      <c r="KS13" s="475"/>
      <c r="KT13" s="476"/>
      <c r="KU13" s="402">
        <v>44347</v>
      </c>
      <c r="KV13" s="474">
        <v>44348</v>
      </c>
      <c r="KW13" s="475"/>
      <c r="KX13" s="475"/>
      <c r="KY13" s="476"/>
      <c r="KZ13" s="402">
        <v>44348</v>
      </c>
      <c r="LA13" s="479"/>
      <c r="LB13" s="507" t="s">
        <v>3</v>
      </c>
      <c r="LC13" s="485"/>
      <c r="LD13" s="485"/>
      <c r="LE13" s="485"/>
      <c r="LF13" s="486"/>
      <c r="LG13" s="474">
        <v>44353</v>
      </c>
      <c r="LH13" s="475"/>
      <c r="LI13" s="475"/>
      <c r="LJ13" s="476"/>
      <c r="LK13" s="402">
        <v>44353</v>
      </c>
      <c r="LL13" s="474">
        <v>44354</v>
      </c>
      <c r="LM13" s="475"/>
      <c r="LN13" s="475"/>
      <c r="LO13" s="476"/>
      <c r="LP13" s="516" t="s">
        <v>688</v>
      </c>
      <c r="LQ13" s="474">
        <v>44355</v>
      </c>
      <c r="LR13" s="475"/>
      <c r="LS13" s="475"/>
      <c r="LT13" s="476"/>
      <c r="LU13" s="516" t="s">
        <v>689</v>
      </c>
      <c r="LV13" s="474">
        <v>44360</v>
      </c>
      <c r="LW13" s="475"/>
      <c r="LX13" s="475"/>
      <c r="LY13" s="476"/>
      <c r="LZ13" s="516" t="s">
        <v>689</v>
      </c>
      <c r="MA13" s="479"/>
      <c r="MB13" s="507" t="s">
        <v>3</v>
      </c>
      <c r="MC13" s="485"/>
      <c r="MD13" s="485"/>
      <c r="ME13" s="485"/>
      <c r="MF13" s="486"/>
      <c r="MG13" s="474">
        <v>44366</v>
      </c>
      <c r="MH13" s="475"/>
      <c r="MI13" s="475"/>
      <c r="MJ13" s="476"/>
      <c r="MK13" s="516" t="s">
        <v>688</v>
      </c>
      <c r="ML13" s="474">
        <v>44367</v>
      </c>
      <c r="MM13" s="475"/>
      <c r="MN13" s="475"/>
      <c r="MO13" s="476"/>
      <c r="MP13" s="402">
        <v>44367</v>
      </c>
      <c r="MQ13" s="474">
        <v>44368</v>
      </c>
      <c r="MR13" s="475"/>
      <c r="MS13" s="475"/>
      <c r="MT13" s="476"/>
      <c r="MU13" s="516" t="s">
        <v>689</v>
      </c>
      <c r="MV13" s="474">
        <v>44369</v>
      </c>
      <c r="MW13" s="475"/>
      <c r="MX13" s="475"/>
      <c r="MY13" s="476"/>
      <c r="MZ13" s="516" t="s">
        <v>689</v>
      </c>
      <c r="NA13" s="479"/>
      <c r="NB13" s="507" t="s">
        <v>3</v>
      </c>
      <c r="NC13" s="485"/>
      <c r="ND13" s="485"/>
      <c r="NE13" s="485"/>
      <c r="NF13" s="486"/>
      <c r="NG13" s="474">
        <v>44370</v>
      </c>
      <c r="NH13" s="475"/>
      <c r="NI13" s="475"/>
      <c r="NJ13" s="476"/>
      <c r="NK13" s="516" t="s">
        <v>688</v>
      </c>
      <c r="NL13" s="474">
        <v>44371</v>
      </c>
      <c r="NM13" s="475"/>
      <c r="NN13" s="475"/>
      <c r="NO13" s="476"/>
      <c r="NP13" s="516" t="s">
        <v>689</v>
      </c>
      <c r="NQ13" s="474">
        <v>44374</v>
      </c>
      <c r="NR13" s="475"/>
      <c r="NS13" s="475"/>
      <c r="NT13" s="476"/>
      <c r="NU13" s="516" t="s">
        <v>689</v>
      </c>
      <c r="NV13" s="474">
        <v>44376</v>
      </c>
      <c r="NW13" s="475"/>
      <c r="NX13" s="475"/>
      <c r="NY13" s="476"/>
      <c r="NZ13" s="516" t="s">
        <v>689</v>
      </c>
      <c r="OA13" s="479"/>
      <c r="OB13" s="507" t="s">
        <v>3</v>
      </c>
      <c r="OC13" s="485"/>
      <c r="OD13" s="485"/>
      <c r="OE13" s="485"/>
      <c r="OF13" s="486"/>
      <c r="OG13" s="474">
        <v>44381</v>
      </c>
      <c r="OH13" s="475"/>
      <c r="OI13" s="475"/>
      <c r="OJ13" s="476"/>
      <c r="OK13" s="516" t="s">
        <v>689</v>
      </c>
      <c r="OL13" s="474">
        <v>44388</v>
      </c>
      <c r="OM13" s="475"/>
      <c r="ON13" s="475"/>
      <c r="OO13" s="476"/>
      <c r="OP13" s="402">
        <v>44388</v>
      </c>
      <c r="OQ13" s="474">
        <v>44399</v>
      </c>
      <c r="OR13" s="475"/>
      <c r="OS13" s="475"/>
      <c r="OT13" s="476"/>
      <c r="OU13" s="516" t="s">
        <v>689</v>
      </c>
      <c r="OV13" s="474">
        <v>44401</v>
      </c>
      <c r="OW13" s="475"/>
      <c r="OX13" s="475"/>
      <c r="OY13" s="476"/>
      <c r="OZ13" s="516" t="s">
        <v>689</v>
      </c>
      <c r="PA13" s="479"/>
      <c r="PB13" s="507" t="s">
        <v>3</v>
      </c>
      <c r="PC13" s="485"/>
      <c r="PD13" s="485"/>
      <c r="PE13" s="485"/>
      <c r="PF13" s="486"/>
      <c r="PG13" s="474">
        <v>44423</v>
      </c>
      <c r="PH13" s="475"/>
      <c r="PI13" s="475"/>
      <c r="PJ13" s="476"/>
      <c r="PK13" s="516" t="s">
        <v>689</v>
      </c>
      <c r="PL13" s="474">
        <v>44436</v>
      </c>
      <c r="PM13" s="475"/>
      <c r="PN13" s="475"/>
      <c r="PO13" s="476"/>
      <c r="PP13" s="516" t="s">
        <v>689</v>
      </c>
      <c r="PQ13" s="474">
        <v>44437</v>
      </c>
      <c r="PR13" s="475"/>
      <c r="PS13" s="475"/>
      <c r="PT13" s="476"/>
      <c r="PU13" s="516" t="s">
        <v>688</v>
      </c>
      <c r="PV13" s="474">
        <v>44444</v>
      </c>
      <c r="PW13" s="475"/>
      <c r="PX13" s="475"/>
      <c r="PY13" s="476"/>
      <c r="PZ13" s="516" t="s">
        <v>689</v>
      </c>
      <c r="QA13" s="479"/>
      <c r="QB13" s="507" t="s">
        <v>3</v>
      </c>
      <c r="QC13" s="485"/>
      <c r="QD13" s="485"/>
      <c r="QE13" s="485"/>
      <c r="QF13" s="486"/>
      <c r="QG13" s="474">
        <v>44457</v>
      </c>
      <c r="QH13" s="475"/>
      <c r="QI13" s="475"/>
      <c r="QJ13" s="476"/>
      <c r="QK13" s="516" t="s">
        <v>688</v>
      </c>
      <c r="QL13" s="474">
        <v>44458</v>
      </c>
      <c r="QM13" s="475"/>
      <c r="QN13" s="475"/>
      <c r="QO13" s="476"/>
      <c r="QP13" s="402">
        <v>44458</v>
      </c>
      <c r="QQ13" s="474">
        <v>44459</v>
      </c>
      <c r="QR13" s="475"/>
      <c r="QS13" s="475"/>
      <c r="QT13" s="476"/>
      <c r="QU13" s="402">
        <v>44459</v>
      </c>
      <c r="QV13" s="474">
        <v>44462</v>
      </c>
      <c r="QW13" s="475"/>
      <c r="QX13" s="475"/>
      <c r="QY13" s="476"/>
      <c r="QZ13" s="516" t="s">
        <v>688</v>
      </c>
      <c r="RA13" s="479"/>
      <c r="RB13" s="507" t="s">
        <v>3</v>
      </c>
      <c r="RC13" s="485"/>
      <c r="RD13" s="485"/>
      <c r="RE13" s="485"/>
      <c r="RF13" s="486"/>
      <c r="RG13" s="474">
        <v>44463</v>
      </c>
      <c r="RH13" s="475"/>
      <c r="RI13" s="475"/>
      <c r="RJ13" s="476"/>
      <c r="RK13" s="516" t="s">
        <v>688</v>
      </c>
      <c r="RL13" s="474">
        <v>44464</v>
      </c>
      <c r="RM13" s="475"/>
      <c r="RN13" s="475"/>
      <c r="RO13" s="476"/>
      <c r="RP13" s="402">
        <v>44464</v>
      </c>
      <c r="RQ13" s="474">
        <v>44465</v>
      </c>
      <c r="RR13" s="475"/>
      <c r="RS13" s="475"/>
      <c r="RT13" s="476"/>
      <c r="RU13" s="402">
        <v>44465</v>
      </c>
      <c r="RV13" s="474">
        <v>44470</v>
      </c>
      <c r="RW13" s="475"/>
      <c r="RX13" s="475"/>
      <c r="RY13" s="476"/>
      <c r="RZ13" s="516" t="s">
        <v>688</v>
      </c>
      <c r="SA13" s="479"/>
      <c r="SB13" s="507" t="s">
        <v>3</v>
      </c>
      <c r="SC13" s="485"/>
      <c r="SD13" s="485"/>
      <c r="SE13" s="485"/>
      <c r="SF13" s="486"/>
      <c r="SG13" s="474">
        <v>44471</v>
      </c>
      <c r="SH13" s="475"/>
      <c r="SI13" s="475"/>
      <c r="SJ13" s="476"/>
      <c r="SK13" s="402">
        <v>44471</v>
      </c>
      <c r="SL13" s="474">
        <v>44472</v>
      </c>
      <c r="SM13" s="475"/>
      <c r="SN13" s="475"/>
      <c r="SO13" s="476"/>
      <c r="SP13" s="402">
        <v>44472</v>
      </c>
      <c r="SQ13" s="474">
        <v>44473</v>
      </c>
      <c r="SR13" s="475"/>
      <c r="SS13" s="475"/>
      <c r="ST13" s="476"/>
      <c r="SU13" s="516" t="s">
        <v>688</v>
      </c>
      <c r="SV13" s="474">
        <v>44474</v>
      </c>
      <c r="SW13" s="475"/>
      <c r="SX13" s="475"/>
      <c r="SY13" s="476"/>
      <c r="SZ13" s="516" t="s">
        <v>688</v>
      </c>
      <c r="TA13" s="479"/>
      <c r="TB13" s="507" t="s">
        <v>3</v>
      </c>
      <c r="TC13" s="485"/>
      <c r="TD13" s="485"/>
      <c r="TE13" s="485"/>
      <c r="TF13" s="486"/>
      <c r="TG13" s="474">
        <v>44475</v>
      </c>
      <c r="TH13" s="475"/>
      <c r="TI13" s="475"/>
      <c r="TJ13" s="476"/>
      <c r="TK13" s="516" t="s">
        <v>688</v>
      </c>
      <c r="TL13" s="474">
        <v>44476</v>
      </c>
      <c r="TM13" s="475"/>
      <c r="TN13" s="475"/>
      <c r="TO13" s="476"/>
      <c r="TP13" s="402"/>
      <c r="TQ13" s="516" t="s">
        <v>688</v>
      </c>
      <c r="TR13" s="474">
        <v>44477</v>
      </c>
      <c r="TS13" s="475"/>
      <c r="TT13" s="475"/>
      <c r="TU13" s="476"/>
      <c r="TV13" s="516" t="s">
        <v>688</v>
      </c>
      <c r="TW13" s="474">
        <v>44478</v>
      </c>
      <c r="TX13" s="475"/>
      <c r="TY13" s="475"/>
      <c r="TZ13" s="476"/>
      <c r="UA13" s="516" t="s">
        <v>688</v>
      </c>
      <c r="UB13" s="479"/>
      <c r="UC13" s="507" t="s">
        <v>3</v>
      </c>
      <c r="UD13" s="485"/>
      <c r="UE13" s="485"/>
      <c r="UF13" s="485"/>
      <c r="UG13" s="486"/>
      <c r="UH13" s="474">
        <v>44479</v>
      </c>
      <c r="UI13" s="475"/>
      <c r="UJ13" s="475"/>
      <c r="UK13" s="476"/>
      <c r="UL13" s="402">
        <v>44479</v>
      </c>
      <c r="UM13" s="474">
        <v>44480</v>
      </c>
      <c r="UN13" s="475"/>
      <c r="UO13" s="475"/>
      <c r="UP13" s="476"/>
      <c r="UQ13" s="516" t="s">
        <v>690</v>
      </c>
      <c r="UR13" s="474">
        <v>44485</v>
      </c>
      <c r="US13" s="475"/>
      <c r="UT13" s="475"/>
      <c r="UU13" s="476"/>
      <c r="UV13" s="516" t="s">
        <v>688</v>
      </c>
      <c r="UW13" s="474">
        <v>44486</v>
      </c>
      <c r="UX13" s="475"/>
      <c r="UY13" s="475"/>
      <c r="UZ13" s="476"/>
      <c r="VA13" s="402">
        <v>44486</v>
      </c>
      <c r="VB13" s="479"/>
      <c r="VC13" s="507" t="s">
        <v>3</v>
      </c>
      <c r="VD13" s="485"/>
      <c r="VE13" s="485"/>
      <c r="VF13" s="485"/>
      <c r="VG13" s="486"/>
      <c r="VH13" s="474">
        <v>44487</v>
      </c>
      <c r="VI13" s="475"/>
      <c r="VJ13" s="475"/>
      <c r="VK13" s="476"/>
      <c r="VL13" s="516" t="s">
        <v>688</v>
      </c>
      <c r="VM13" s="474">
        <v>44488</v>
      </c>
      <c r="VN13" s="475"/>
      <c r="VO13" s="475"/>
      <c r="VP13" s="476"/>
      <c r="VQ13" s="516" t="s">
        <v>691</v>
      </c>
      <c r="VR13" s="474">
        <v>44489</v>
      </c>
      <c r="VS13" s="475"/>
      <c r="VT13" s="475"/>
      <c r="VU13" s="476"/>
      <c r="VV13" s="516" t="s">
        <v>691</v>
      </c>
      <c r="VW13" s="474">
        <v>44491</v>
      </c>
      <c r="VX13" s="475"/>
      <c r="VY13" s="475"/>
      <c r="VZ13" s="476"/>
      <c r="WA13" s="516" t="s">
        <v>688</v>
      </c>
      <c r="WB13" s="479"/>
      <c r="WC13" s="507" t="s">
        <v>3</v>
      </c>
      <c r="WD13" s="485"/>
      <c r="WE13" s="485"/>
      <c r="WF13" s="485"/>
      <c r="WG13" s="486"/>
      <c r="WH13" s="474">
        <v>44492</v>
      </c>
      <c r="WI13" s="475"/>
      <c r="WJ13" s="475"/>
      <c r="WK13" s="476"/>
      <c r="WL13" s="402">
        <v>44492</v>
      </c>
      <c r="WM13" s="474">
        <v>44493</v>
      </c>
      <c r="WN13" s="475"/>
      <c r="WO13" s="475"/>
      <c r="WP13" s="476"/>
      <c r="WQ13" s="402">
        <v>44493</v>
      </c>
      <c r="WR13" s="474">
        <v>44495</v>
      </c>
      <c r="WS13" s="475"/>
      <c r="WT13" s="475"/>
      <c r="WU13" s="476"/>
      <c r="WV13" s="402">
        <v>44495</v>
      </c>
      <c r="WW13" s="474">
        <v>44496</v>
      </c>
      <c r="WX13" s="475"/>
      <c r="WY13" s="475"/>
      <c r="WZ13" s="476"/>
      <c r="XA13" s="402">
        <v>44496</v>
      </c>
      <c r="XB13" s="479"/>
      <c r="XC13" s="507" t="s">
        <v>3</v>
      </c>
      <c r="XD13" s="485"/>
      <c r="XE13" s="485"/>
      <c r="XF13" s="485"/>
      <c r="XG13" s="486"/>
      <c r="XH13" s="474">
        <v>44497</v>
      </c>
      <c r="XI13" s="475"/>
      <c r="XJ13" s="475"/>
      <c r="XK13" s="476"/>
      <c r="XL13" s="402">
        <v>44497</v>
      </c>
      <c r="XM13" s="474">
        <v>44498</v>
      </c>
      <c r="XN13" s="475"/>
      <c r="XO13" s="475"/>
      <c r="XP13" s="476"/>
      <c r="XQ13" s="402">
        <v>44498</v>
      </c>
      <c r="XR13" s="474">
        <v>44499</v>
      </c>
      <c r="XS13" s="475"/>
      <c r="XT13" s="475"/>
      <c r="XU13" s="476"/>
      <c r="XV13" s="516" t="s">
        <v>691</v>
      </c>
      <c r="XW13" s="474">
        <v>44500</v>
      </c>
      <c r="XX13" s="475"/>
      <c r="XY13" s="475"/>
      <c r="XZ13" s="476"/>
      <c r="YA13" s="402">
        <v>44500</v>
      </c>
      <c r="YB13" s="479"/>
      <c r="YC13" s="507" t="s">
        <v>3</v>
      </c>
      <c r="YD13" s="485"/>
      <c r="YE13" s="485"/>
      <c r="YF13" s="485"/>
      <c r="YG13" s="486"/>
      <c r="YH13" s="474">
        <v>44501</v>
      </c>
      <c r="YI13" s="475"/>
      <c r="YJ13" s="475"/>
      <c r="YK13" s="476"/>
      <c r="YL13" s="516" t="s">
        <v>688</v>
      </c>
      <c r="YM13" s="474">
        <v>44502</v>
      </c>
      <c r="YN13" s="475"/>
      <c r="YO13" s="475"/>
      <c r="YP13" s="476"/>
      <c r="YQ13" s="516" t="s">
        <v>691</v>
      </c>
      <c r="YR13" s="474">
        <v>44503</v>
      </c>
      <c r="YS13" s="475"/>
      <c r="YT13" s="475"/>
      <c r="YU13" s="476"/>
      <c r="YV13" s="516" t="s">
        <v>691</v>
      </c>
      <c r="YW13" s="474">
        <v>44504</v>
      </c>
      <c r="YX13" s="475"/>
      <c r="YY13" s="475"/>
      <c r="YZ13" s="476"/>
      <c r="ZA13" s="402">
        <v>44504</v>
      </c>
      <c r="ZB13" s="479"/>
      <c r="ZC13" s="507" t="s">
        <v>3</v>
      </c>
      <c r="ZD13" s="485"/>
      <c r="ZE13" s="485"/>
      <c r="ZF13" s="485"/>
      <c r="ZG13" s="486"/>
      <c r="ZH13" s="474">
        <v>44505</v>
      </c>
      <c r="ZI13" s="475"/>
      <c r="ZJ13" s="475"/>
      <c r="ZK13" s="476"/>
      <c r="ZL13" s="402">
        <v>44505</v>
      </c>
      <c r="ZM13" s="474">
        <v>44506</v>
      </c>
      <c r="ZN13" s="475"/>
      <c r="ZO13" s="475"/>
      <c r="ZP13" s="476"/>
      <c r="ZQ13" s="516" t="s">
        <v>691</v>
      </c>
      <c r="ZR13" s="474">
        <v>44507</v>
      </c>
      <c r="ZS13" s="475"/>
      <c r="ZT13" s="475"/>
      <c r="ZU13" s="476"/>
      <c r="ZV13" s="402">
        <v>44507</v>
      </c>
      <c r="ZW13" s="474">
        <v>44514</v>
      </c>
      <c r="ZX13" s="475"/>
      <c r="ZY13" s="475"/>
      <c r="ZZ13" s="476"/>
      <c r="AAA13" s="516" t="s">
        <v>688</v>
      </c>
      <c r="AAB13" s="479"/>
      <c r="AAC13" s="507" t="s">
        <v>3</v>
      </c>
      <c r="AAD13" s="485"/>
      <c r="AAE13" s="485"/>
      <c r="AAF13" s="485"/>
      <c r="AAG13" s="486"/>
      <c r="AAH13" s="474">
        <v>44515</v>
      </c>
      <c r="AAI13" s="475"/>
      <c r="AAJ13" s="475"/>
      <c r="AAK13" s="476"/>
      <c r="AAL13" s="516" t="s">
        <v>691</v>
      </c>
      <c r="AAM13" s="474">
        <v>44516</v>
      </c>
      <c r="AAN13" s="475"/>
      <c r="AAO13" s="475"/>
      <c r="AAP13" s="476"/>
      <c r="AAQ13" s="516" t="s">
        <v>691</v>
      </c>
      <c r="AAR13" s="474">
        <v>44517</v>
      </c>
      <c r="AAS13" s="475"/>
      <c r="AAT13" s="475"/>
      <c r="AAU13" s="476"/>
      <c r="AAV13" s="402">
        <v>44517</v>
      </c>
      <c r="AAW13" s="474">
        <v>44518</v>
      </c>
      <c r="AAX13" s="475"/>
      <c r="AAY13" s="475"/>
      <c r="AAZ13" s="476"/>
      <c r="ABA13" s="516" t="s">
        <v>688</v>
      </c>
      <c r="ABB13" s="479"/>
      <c r="ABC13" s="507" t="s">
        <v>3</v>
      </c>
      <c r="ABD13" s="485"/>
      <c r="ABE13" s="485"/>
      <c r="ABF13" s="485"/>
      <c r="ABG13" s="486"/>
      <c r="ABH13" s="474">
        <v>44519</v>
      </c>
      <c r="ABI13" s="475"/>
      <c r="ABJ13" s="475"/>
      <c r="ABK13" s="476"/>
      <c r="ABL13" s="402">
        <v>44519</v>
      </c>
      <c r="ABM13" s="474">
        <v>44520</v>
      </c>
      <c r="ABN13" s="475"/>
      <c r="ABO13" s="475"/>
      <c r="ABP13" s="476"/>
      <c r="ABQ13" s="402">
        <v>44520</v>
      </c>
      <c r="ABR13" s="474">
        <v>44521</v>
      </c>
      <c r="ABS13" s="475"/>
      <c r="ABT13" s="475"/>
      <c r="ABU13" s="476"/>
      <c r="ABV13" s="516" t="s">
        <v>691</v>
      </c>
      <c r="ABW13" s="474">
        <v>44527</v>
      </c>
      <c r="ABX13" s="475"/>
      <c r="ABY13" s="475"/>
      <c r="ABZ13" s="476"/>
      <c r="ACA13" s="516" t="s">
        <v>688</v>
      </c>
      <c r="ACB13" s="479"/>
      <c r="ACC13" s="507" t="s">
        <v>3</v>
      </c>
      <c r="ACD13" s="485"/>
      <c r="ACE13" s="485"/>
      <c r="ACF13" s="485"/>
      <c r="ACG13" s="486"/>
      <c r="ACH13" s="474">
        <v>44528</v>
      </c>
      <c r="ACI13" s="475"/>
      <c r="ACJ13" s="475"/>
      <c r="ACK13" s="476"/>
      <c r="ACL13" s="402">
        <v>44528</v>
      </c>
      <c r="ACM13" s="474">
        <v>44529</v>
      </c>
      <c r="ACN13" s="475"/>
      <c r="ACO13" s="475"/>
      <c r="ACP13" s="476"/>
      <c r="ACQ13" s="516" t="s">
        <v>691</v>
      </c>
      <c r="ACR13" s="474">
        <v>44534</v>
      </c>
      <c r="ACS13" s="475"/>
      <c r="ACT13" s="475"/>
      <c r="ACU13" s="476"/>
      <c r="ACV13" s="516" t="s">
        <v>691</v>
      </c>
      <c r="ACW13" s="474">
        <v>44535</v>
      </c>
      <c r="ACX13" s="475"/>
      <c r="ACY13" s="475"/>
      <c r="ACZ13" s="476"/>
      <c r="ADA13" s="516" t="s">
        <v>688</v>
      </c>
      <c r="ADB13" s="479"/>
      <c r="ADC13" s="507" t="s">
        <v>3</v>
      </c>
      <c r="ADD13" s="485"/>
      <c r="ADE13" s="485"/>
      <c r="ADF13" s="485"/>
      <c r="ADG13" s="486"/>
      <c r="ADH13" s="474">
        <v>44537</v>
      </c>
      <c r="ADI13" s="475"/>
      <c r="ADJ13" s="475"/>
      <c r="ADK13" s="476"/>
      <c r="ADL13" s="516" t="s">
        <v>691</v>
      </c>
      <c r="ADM13" s="474">
        <v>44538</v>
      </c>
      <c r="ADN13" s="475"/>
      <c r="ADO13" s="475"/>
      <c r="ADP13" s="476"/>
      <c r="ADQ13" s="516" t="s">
        <v>691</v>
      </c>
      <c r="ADR13" s="474">
        <v>44539</v>
      </c>
      <c r="ADS13" s="475"/>
      <c r="ADT13" s="475"/>
      <c r="ADU13" s="476"/>
      <c r="ADV13" s="516" t="s">
        <v>691</v>
      </c>
      <c r="ADW13" s="474">
        <v>44541</v>
      </c>
      <c r="ADX13" s="475"/>
      <c r="ADY13" s="475"/>
      <c r="ADZ13" s="476"/>
      <c r="AEA13" s="516" t="s">
        <v>691</v>
      </c>
      <c r="AEB13" s="479"/>
      <c r="AEC13" s="507" t="s">
        <v>3</v>
      </c>
      <c r="AED13" s="485"/>
      <c r="AEE13" s="485"/>
      <c r="AEF13" s="485"/>
      <c r="AEG13" s="486"/>
      <c r="AEH13" s="474">
        <v>44542</v>
      </c>
      <c r="AEI13" s="475"/>
      <c r="AEJ13" s="475"/>
      <c r="AEK13" s="476"/>
      <c r="AEL13" s="516" t="s">
        <v>691</v>
      </c>
      <c r="AEM13" s="474">
        <v>44552</v>
      </c>
      <c r="AEN13" s="475"/>
      <c r="AEO13" s="475"/>
      <c r="AEP13" s="476"/>
      <c r="AEQ13" s="403"/>
      <c r="AER13" s="516" t="s">
        <v>688</v>
      </c>
      <c r="AES13" s="474">
        <v>44553</v>
      </c>
      <c r="AET13" s="475"/>
      <c r="AEU13" s="475"/>
      <c r="AEV13" s="476"/>
      <c r="AEW13" s="516" t="s">
        <v>691</v>
      </c>
      <c r="AEX13" s="474">
        <v>44555</v>
      </c>
      <c r="AEY13" s="475"/>
      <c r="AEZ13" s="475"/>
      <c r="AFA13" s="476"/>
      <c r="AFB13" s="516" t="s">
        <v>691</v>
      </c>
      <c r="AFC13" s="479"/>
      <c r="AFD13" s="507" t="s">
        <v>3</v>
      </c>
      <c r="AFE13" s="485"/>
      <c r="AFF13" s="485"/>
      <c r="AFG13" s="485"/>
      <c r="AFH13" s="486"/>
      <c r="AFI13" s="474">
        <v>44560</v>
      </c>
      <c r="AFJ13" s="475"/>
      <c r="AFK13" s="475"/>
      <c r="AFL13" s="476"/>
      <c r="AFM13" s="516" t="s">
        <v>688</v>
      </c>
      <c r="AFN13" s="474">
        <v>44561</v>
      </c>
      <c r="AFO13" s="475"/>
      <c r="AFP13" s="475"/>
      <c r="AFQ13" s="476"/>
      <c r="AFR13" s="402">
        <v>44561</v>
      </c>
      <c r="AFS13" s="474">
        <v>44562</v>
      </c>
      <c r="AFT13" s="475"/>
      <c r="AFU13" s="475"/>
      <c r="AFV13" s="476"/>
      <c r="AFW13" s="402">
        <v>44562</v>
      </c>
      <c r="AFX13" s="474">
        <v>44563</v>
      </c>
      <c r="AFY13" s="475"/>
      <c r="AFZ13" s="475"/>
      <c r="AGA13" s="476"/>
      <c r="AGB13" s="402">
        <v>44563</v>
      </c>
      <c r="AGC13" s="479"/>
      <c r="AGD13" s="507" t="s">
        <v>3</v>
      </c>
      <c r="AGE13" s="485"/>
      <c r="AGF13" s="485"/>
      <c r="AGG13" s="485"/>
      <c r="AGH13" s="486"/>
      <c r="AGI13" s="474">
        <v>44564</v>
      </c>
      <c r="AGJ13" s="475"/>
      <c r="AGK13" s="475"/>
      <c r="AGL13" s="476"/>
      <c r="AGM13" s="402">
        <v>44564</v>
      </c>
      <c r="AGN13" s="474">
        <v>44565</v>
      </c>
      <c r="AGO13" s="475"/>
      <c r="AGP13" s="475"/>
      <c r="AGQ13" s="476"/>
      <c r="AGR13" s="516" t="s">
        <v>688</v>
      </c>
      <c r="AGS13" s="474">
        <v>44568</v>
      </c>
      <c r="AGT13" s="475"/>
      <c r="AGU13" s="475"/>
      <c r="AGV13" s="476"/>
      <c r="AGW13" s="516" t="s">
        <v>691</v>
      </c>
      <c r="AGX13" s="474">
        <v>44569</v>
      </c>
      <c r="AGY13" s="475"/>
      <c r="AGZ13" s="475"/>
      <c r="AHA13" s="476"/>
      <c r="AHB13" s="516" t="s">
        <v>691</v>
      </c>
      <c r="AHC13" s="479"/>
      <c r="AHD13" s="507" t="s">
        <v>3</v>
      </c>
      <c r="AHE13" s="485"/>
      <c r="AHF13" s="485"/>
      <c r="AHG13" s="485"/>
      <c r="AHH13" s="486"/>
      <c r="AHI13" s="474">
        <v>44571</v>
      </c>
      <c r="AHJ13" s="475"/>
      <c r="AHK13" s="475"/>
      <c r="AHL13" s="476"/>
      <c r="AHM13" s="402">
        <v>44571</v>
      </c>
      <c r="AHN13" s="474">
        <v>44576</v>
      </c>
      <c r="AHO13" s="475"/>
      <c r="AHP13" s="475"/>
      <c r="AHQ13" s="476"/>
      <c r="AHR13" s="516" t="s">
        <v>691</v>
      </c>
      <c r="AHS13" s="474">
        <v>44590</v>
      </c>
      <c r="AHT13" s="475"/>
      <c r="AHU13" s="475"/>
      <c r="AHV13" s="476"/>
      <c r="AHW13" s="516" t="s">
        <v>691</v>
      </c>
      <c r="AHX13" s="474">
        <v>44596</v>
      </c>
      <c r="AHY13" s="475"/>
      <c r="AHZ13" s="475"/>
      <c r="AIA13" s="476"/>
      <c r="AIB13" s="516" t="s">
        <v>691</v>
      </c>
      <c r="AIC13" s="479"/>
      <c r="AID13" s="507" t="s">
        <v>3</v>
      </c>
      <c r="AIE13" s="485"/>
      <c r="AIF13" s="485"/>
      <c r="AIG13" s="485"/>
      <c r="AIH13" s="486"/>
      <c r="AII13" s="474">
        <v>44601</v>
      </c>
      <c r="AIJ13" s="475"/>
      <c r="AIK13" s="475"/>
      <c r="AIL13" s="476"/>
      <c r="AIM13" s="516" t="s">
        <v>691</v>
      </c>
      <c r="AIN13" s="474">
        <v>44603</v>
      </c>
      <c r="AIO13" s="475"/>
      <c r="AIP13" s="475"/>
      <c r="AIQ13" s="476"/>
      <c r="AIR13" s="516" t="s">
        <v>688</v>
      </c>
      <c r="AIS13" s="474">
        <v>44604</v>
      </c>
      <c r="AIT13" s="475"/>
      <c r="AIU13" s="475"/>
      <c r="AIV13" s="476"/>
      <c r="AIW13" s="516" t="s">
        <v>691</v>
      </c>
      <c r="AIX13" s="474">
        <v>44605</v>
      </c>
      <c r="AIY13" s="475"/>
      <c r="AIZ13" s="475"/>
      <c r="AJA13" s="476"/>
      <c r="AJB13" s="516" t="s">
        <v>691</v>
      </c>
      <c r="AJC13" s="479"/>
      <c r="AJD13" s="507" t="s">
        <v>3</v>
      </c>
      <c r="AJE13" s="485"/>
      <c r="AJF13" s="485"/>
      <c r="AJG13" s="485"/>
      <c r="AJH13" s="486"/>
      <c r="AJI13" s="474">
        <v>44606</v>
      </c>
      <c r="AJJ13" s="475"/>
      <c r="AJK13" s="475"/>
      <c r="AJL13" s="476"/>
      <c r="AJM13" s="516" t="s">
        <v>691</v>
      </c>
      <c r="AJN13" s="474">
        <v>44612</v>
      </c>
      <c r="AJO13" s="475"/>
      <c r="AJP13" s="475"/>
      <c r="AJQ13" s="476"/>
      <c r="AJR13" s="516" t="s">
        <v>691</v>
      </c>
      <c r="AJS13" s="474">
        <v>44618</v>
      </c>
      <c r="AJT13" s="475"/>
      <c r="AJU13" s="475"/>
      <c r="AJV13" s="476"/>
      <c r="AJW13" s="402">
        <v>44618</v>
      </c>
      <c r="AJX13" s="474">
        <v>44619</v>
      </c>
      <c r="AJY13" s="475"/>
      <c r="AJZ13" s="475"/>
      <c r="AKA13" s="476"/>
      <c r="AKB13" s="402">
        <v>44619</v>
      </c>
      <c r="AKC13" s="479"/>
      <c r="AKD13" s="507" t="s">
        <v>3</v>
      </c>
      <c r="AKE13" s="485"/>
      <c r="AKF13" s="485"/>
      <c r="AKG13" s="485"/>
      <c r="AKH13" s="486"/>
      <c r="AKI13" s="474">
        <v>44620</v>
      </c>
      <c r="AKJ13" s="475"/>
      <c r="AKK13" s="475"/>
      <c r="AKL13" s="476"/>
      <c r="AKM13" s="516" t="s">
        <v>688</v>
      </c>
      <c r="AKN13" s="474">
        <v>44622</v>
      </c>
      <c r="AKO13" s="475"/>
      <c r="AKP13" s="475"/>
      <c r="AKQ13" s="476"/>
      <c r="AKR13" s="402">
        <v>44622</v>
      </c>
      <c r="AKS13" s="474">
        <v>44623</v>
      </c>
      <c r="AKT13" s="475"/>
      <c r="AKU13" s="475"/>
      <c r="AKV13" s="476"/>
      <c r="AKW13" s="402">
        <v>44623</v>
      </c>
      <c r="AKX13" s="474">
        <v>44625</v>
      </c>
      <c r="AKY13" s="475"/>
      <c r="AKZ13" s="475"/>
      <c r="ALA13" s="476"/>
      <c r="ALB13" s="402">
        <v>44625</v>
      </c>
      <c r="ALC13" s="479"/>
      <c r="ALD13" s="507" t="s">
        <v>3</v>
      </c>
      <c r="ALE13" s="485"/>
      <c r="ALF13" s="485"/>
      <c r="ALG13" s="485"/>
      <c r="ALH13" s="486"/>
      <c r="ALI13" s="474">
        <v>44626</v>
      </c>
      <c r="ALJ13" s="475"/>
      <c r="ALK13" s="475"/>
      <c r="ALL13" s="476"/>
      <c r="ALM13" s="402">
        <v>44626</v>
      </c>
      <c r="ALN13" s="474">
        <v>44628</v>
      </c>
      <c r="ALO13" s="475"/>
      <c r="ALP13" s="475"/>
      <c r="ALQ13" s="476"/>
      <c r="ALR13" s="402">
        <v>44628</v>
      </c>
      <c r="ALS13" s="474">
        <v>44629</v>
      </c>
      <c r="ALT13" s="475"/>
      <c r="ALU13" s="475"/>
      <c r="ALV13" s="476"/>
      <c r="ALW13" s="402">
        <v>44629</v>
      </c>
      <c r="ALX13" s="474">
        <v>44630</v>
      </c>
      <c r="ALY13" s="475"/>
      <c r="ALZ13" s="475"/>
      <c r="AMA13" s="476"/>
      <c r="AMB13" s="402">
        <v>44630</v>
      </c>
      <c r="AMC13" s="479"/>
      <c r="AMD13" s="507" t="s">
        <v>3</v>
      </c>
      <c r="AME13" s="485"/>
      <c r="AMF13" s="485"/>
      <c r="AMG13" s="485"/>
      <c r="AMH13" s="486"/>
      <c r="AMI13" s="474">
        <v>44631</v>
      </c>
      <c r="AMJ13" s="475"/>
      <c r="AMK13" s="475"/>
      <c r="AML13" s="476"/>
      <c r="AMM13" s="516" t="s">
        <v>691</v>
      </c>
      <c r="AMN13" s="474">
        <v>44632</v>
      </c>
      <c r="AMO13" s="475"/>
      <c r="AMP13" s="475"/>
      <c r="AMQ13" s="476"/>
      <c r="AMR13" s="402">
        <v>44632</v>
      </c>
      <c r="AMS13" s="402"/>
      <c r="AMT13" s="474">
        <v>44635</v>
      </c>
      <c r="AMU13" s="475"/>
      <c r="AMV13" s="475"/>
      <c r="AMW13" s="476"/>
      <c r="AMX13" s="402">
        <v>44635</v>
      </c>
      <c r="AMY13" s="474">
        <v>44636</v>
      </c>
      <c r="AMZ13" s="475"/>
      <c r="ANA13" s="475"/>
      <c r="ANB13" s="476"/>
      <c r="ANC13" s="402">
        <v>44636</v>
      </c>
      <c r="AND13" s="479"/>
      <c r="ANE13" s="507" t="s">
        <v>3</v>
      </c>
      <c r="ANF13" s="485"/>
      <c r="ANG13" s="485"/>
      <c r="ANH13" s="485"/>
      <c r="ANI13" s="486"/>
      <c r="ANJ13" s="474">
        <v>44637</v>
      </c>
      <c r="ANK13" s="475"/>
      <c r="ANL13" s="475"/>
      <c r="ANM13" s="476"/>
      <c r="ANN13" s="516" t="s">
        <v>691</v>
      </c>
      <c r="ANO13" s="474">
        <v>44640</v>
      </c>
      <c r="ANP13" s="475"/>
      <c r="ANQ13" s="475"/>
      <c r="ANR13" s="476"/>
      <c r="ANS13" s="402">
        <v>44640</v>
      </c>
      <c r="ANT13" s="402"/>
      <c r="ANU13" s="474">
        <v>44644</v>
      </c>
      <c r="ANV13" s="475"/>
      <c r="ANW13" s="475"/>
      <c r="ANX13" s="476"/>
      <c r="ANY13" s="516" t="s">
        <v>688</v>
      </c>
      <c r="ANZ13" s="474">
        <v>44645</v>
      </c>
      <c r="AOA13" s="475"/>
      <c r="AOB13" s="475"/>
      <c r="AOC13" s="476"/>
      <c r="AOD13" s="402">
        <v>44645</v>
      </c>
      <c r="AOE13" s="479"/>
      <c r="AOF13" s="507" t="s">
        <v>3</v>
      </c>
      <c r="AOG13" s="485"/>
      <c r="AOH13" s="485"/>
      <c r="AOI13" s="485"/>
      <c r="AOJ13" s="486"/>
      <c r="AOK13" s="474">
        <v>44647</v>
      </c>
      <c r="AOL13" s="475"/>
      <c r="AOM13" s="475"/>
      <c r="AON13" s="476"/>
      <c r="AOO13" s="402">
        <v>44647</v>
      </c>
      <c r="AOP13" s="474">
        <v>44649</v>
      </c>
      <c r="AOQ13" s="475"/>
      <c r="AOR13" s="475"/>
      <c r="AOS13" s="476"/>
      <c r="AOT13" s="516" t="s">
        <v>691</v>
      </c>
      <c r="AOU13" s="402"/>
      <c r="AOV13" s="474">
        <v>44650</v>
      </c>
      <c r="AOW13" s="475"/>
      <c r="AOX13" s="475"/>
      <c r="AOY13" s="476"/>
      <c r="AOZ13" s="516" t="s">
        <v>691</v>
      </c>
      <c r="APA13" s="474"/>
      <c r="APB13" s="475"/>
      <c r="APC13" s="475"/>
      <c r="APD13" s="476"/>
      <c r="APE13" s="402"/>
    </row>
    <row r="14" spans="1:1097" ht="45" customHeight="1" x14ac:dyDescent="0.4">
      <c r="A14" s="479"/>
      <c r="B14" s="511"/>
      <c r="C14" s="487"/>
      <c r="D14" s="487"/>
      <c r="E14" s="487"/>
      <c r="F14" s="488"/>
      <c r="G14" s="496" t="s">
        <v>159</v>
      </c>
      <c r="H14" s="497"/>
      <c r="I14" s="497"/>
      <c r="J14" s="498"/>
      <c r="K14" s="81" t="s">
        <v>692</v>
      </c>
      <c r="L14" s="496" t="s">
        <v>159</v>
      </c>
      <c r="M14" s="497"/>
      <c r="N14" s="497"/>
      <c r="O14" s="498"/>
      <c r="P14" s="517"/>
      <c r="Q14" s="496" t="s">
        <v>159</v>
      </c>
      <c r="R14" s="497"/>
      <c r="S14" s="497"/>
      <c r="T14" s="498"/>
      <c r="U14" s="517"/>
      <c r="V14" s="496" t="s">
        <v>159</v>
      </c>
      <c r="W14" s="497"/>
      <c r="X14" s="497"/>
      <c r="Y14" s="498"/>
      <c r="Z14" s="81" t="s">
        <v>521</v>
      </c>
      <c r="AA14" s="479"/>
      <c r="AB14" s="511"/>
      <c r="AC14" s="487"/>
      <c r="AD14" s="487"/>
      <c r="AE14" s="487"/>
      <c r="AF14" s="488"/>
      <c r="AG14" s="496" t="s">
        <v>159</v>
      </c>
      <c r="AH14" s="497"/>
      <c r="AI14" s="497"/>
      <c r="AJ14" s="498"/>
      <c r="AK14" s="81" t="s">
        <v>521</v>
      </c>
      <c r="AL14" s="496" t="s">
        <v>159</v>
      </c>
      <c r="AM14" s="497"/>
      <c r="AN14" s="497"/>
      <c r="AO14" s="498"/>
      <c r="AP14" s="81" t="s">
        <v>521</v>
      </c>
      <c r="AQ14" s="496" t="s">
        <v>159</v>
      </c>
      <c r="AR14" s="497"/>
      <c r="AS14" s="497"/>
      <c r="AT14" s="498"/>
      <c r="AU14" s="517"/>
      <c r="AV14" s="496" t="s">
        <v>159</v>
      </c>
      <c r="AW14" s="497"/>
      <c r="AX14" s="497"/>
      <c r="AY14" s="498"/>
      <c r="AZ14" s="81" t="s">
        <v>521</v>
      </c>
      <c r="BA14" s="479"/>
      <c r="BB14" s="511"/>
      <c r="BC14" s="487"/>
      <c r="BD14" s="487"/>
      <c r="BE14" s="487"/>
      <c r="BF14" s="488"/>
      <c r="BG14" s="496" t="s">
        <v>159</v>
      </c>
      <c r="BH14" s="497"/>
      <c r="BI14" s="497"/>
      <c r="BJ14" s="498"/>
      <c r="BK14" s="81" t="s">
        <v>521</v>
      </c>
      <c r="BL14" s="496" t="s">
        <v>159</v>
      </c>
      <c r="BM14" s="497"/>
      <c r="BN14" s="497"/>
      <c r="BO14" s="498"/>
      <c r="BP14" s="81" t="s">
        <v>521</v>
      </c>
      <c r="BQ14" s="496" t="s">
        <v>159</v>
      </c>
      <c r="BR14" s="497"/>
      <c r="BS14" s="497"/>
      <c r="BT14" s="498"/>
      <c r="BU14" s="517"/>
      <c r="BV14" s="496" t="s">
        <v>159</v>
      </c>
      <c r="BW14" s="497"/>
      <c r="BX14" s="497"/>
      <c r="BY14" s="498"/>
      <c r="BZ14" s="81" t="s">
        <v>521</v>
      </c>
      <c r="CA14" s="479"/>
      <c r="CB14" s="511"/>
      <c r="CC14" s="487"/>
      <c r="CD14" s="487"/>
      <c r="CE14" s="487"/>
      <c r="CF14" s="488"/>
      <c r="CG14" s="496" t="s">
        <v>159</v>
      </c>
      <c r="CH14" s="497"/>
      <c r="CI14" s="497"/>
      <c r="CJ14" s="498"/>
      <c r="CK14" s="81" t="s">
        <v>521</v>
      </c>
      <c r="CL14" s="496" t="s">
        <v>159</v>
      </c>
      <c r="CM14" s="497"/>
      <c r="CN14" s="497"/>
      <c r="CO14" s="498"/>
      <c r="CP14" s="517"/>
      <c r="CQ14" s="496" t="s">
        <v>159</v>
      </c>
      <c r="CR14" s="497"/>
      <c r="CS14" s="497"/>
      <c r="CT14" s="498"/>
      <c r="CU14" s="81" t="s">
        <v>693</v>
      </c>
      <c r="CV14" s="496" t="s">
        <v>159</v>
      </c>
      <c r="CW14" s="497"/>
      <c r="CX14" s="497"/>
      <c r="CY14" s="498"/>
      <c r="CZ14" s="81" t="s">
        <v>694</v>
      </c>
      <c r="DA14" s="479"/>
      <c r="DB14" s="511"/>
      <c r="DC14" s="487"/>
      <c r="DD14" s="487"/>
      <c r="DE14" s="487"/>
      <c r="DF14" s="488"/>
      <c r="DG14" s="496" t="s">
        <v>159</v>
      </c>
      <c r="DH14" s="497"/>
      <c r="DI14" s="497"/>
      <c r="DJ14" s="498"/>
      <c r="DK14" s="81" t="s">
        <v>521</v>
      </c>
      <c r="DL14" s="496" t="s">
        <v>159</v>
      </c>
      <c r="DM14" s="497"/>
      <c r="DN14" s="497"/>
      <c r="DO14" s="498"/>
      <c r="DP14" s="81" t="s">
        <v>521</v>
      </c>
      <c r="DQ14" s="496" t="s">
        <v>159</v>
      </c>
      <c r="DR14" s="497"/>
      <c r="DS14" s="497"/>
      <c r="DT14" s="498"/>
      <c r="DU14" s="81" t="s">
        <v>695</v>
      </c>
      <c r="DV14" s="496" t="s">
        <v>159</v>
      </c>
      <c r="DW14" s="497"/>
      <c r="DX14" s="497"/>
      <c r="DY14" s="498"/>
      <c r="DZ14" s="81" t="s">
        <v>696</v>
      </c>
      <c r="EA14" s="479"/>
      <c r="EB14" s="511"/>
      <c r="EC14" s="487"/>
      <c r="ED14" s="487"/>
      <c r="EE14" s="487"/>
      <c r="EF14" s="488"/>
      <c r="EG14" s="496" t="s">
        <v>159</v>
      </c>
      <c r="EH14" s="497"/>
      <c r="EI14" s="497"/>
      <c r="EJ14" s="498"/>
      <c r="EK14" s="81" t="s">
        <v>697</v>
      </c>
      <c r="EL14" s="496" t="s">
        <v>159</v>
      </c>
      <c r="EM14" s="497"/>
      <c r="EN14" s="497"/>
      <c r="EO14" s="498"/>
      <c r="EP14" s="81" t="s">
        <v>521</v>
      </c>
      <c r="EQ14" s="496" t="s">
        <v>159</v>
      </c>
      <c r="ER14" s="497"/>
      <c r="ES14" s="497"/>
      <c r="ET14" s="498"/>
      <c r="EU14" s="81" t="s">
        <v>521</v>
      </c>
      <c r="EV14" s="496" t="s">
        <v>159</v>
      </c>
      <c r="EW14" s="497"/>
      <c r="EX14" s="497"/>
      <c r="EY14" s="498"/>
      <c r="EZ14" s="81" t="s">
        <v>521</v>
      </c>
      <c r="FA14" s="479"/>
      <c r="FB14" s="511"/>
      <c r="FC14" s="487"/>
      <c r="FD14" s="487"/>
      <c r="FE14" s="487"/>
      <c r="FF14" s="488"/>
      <c r="FG14" s="496" t="s">
        <v>159</v>
      </c>
      <c r="FH14" s="497"/>
      <c r="FI14" s="497"/>
      <c r="FJ14" s="498"/>
      <c r="FK14" s="81" t="s">
        <v>521</v>
      </c>
      <c r="FL14" s="496" t="s">
        <v>159</v>
      </c>
      <c r="FM14" s="497"/>
      <c r="FN14" s="497"/>
      <c r="FO14" s="498"/>
      <c r="FP14" s="81" t="s">
        <v>698</v>
      </c>
      <c r="FQ14" s="496" t="s">
        <v>159</v>
      </c>
      <c r="FR14" s="497"/>
      <c r="FS14" s="497"/>
      <c r="FT14" s="498"/>
      <c r="FU14" s="81" t="s">
        <v>545</v>
      </c>
      <c r="FV14" s="496" t="s">
        <v>159</v>
      </c>
      <c r="FW14" s="497"/>
      <c r="FX14" s="497"/>
      <c r="FY14" s="498"/>
      <c r="FZ14" s="81" t="s">
        <v>521</v>
      </c>
      <c r="GA14" s="479"/>
      <c r="GB14" s="511"/>
      <c r="GC14" s="487"/>
      <c r="GD14" s="487"/>
      <c r="GE14" s="487"/>
      <c r="GF14" s="488"/>
      <c r="GG14" s="496" t="s">
        <v>159</v>
      </c>
      <c r="GH14" s="497"/>
      <c r="GI14" s="497"/>
      <c r="GJ14" s="498"/>
      <c r="GK14" s="81" t="s">
        <v>521</v>
      </c>
      <c r="GL14" s="496" t="s">
        <v>159</v>
      </c>
      <c r="GM14" s="497"/>
      <c r="GN14" s="497"/>
      <c r="GO14" s="498"/>
      <c r="GP14" s="81" t="s">
        <v>521</v>
      </c>
      <c r="GQ14" s="496" t="s">
        <v>159</v>
      </c>
      <c r="GR14" s="497"/>
      <c r="GS14" s="497"/>
      <c r="GT14" s="498"/>
      <c r="GU14" s="81" t="s">
        <v>699</v>
      </c>
      <c r="GV14" s="496" t="s">
        <v>159</v>
      </c>
      <c r="GW14" s="497"/>
      <c r="GX14" s="497"/>
      <c r="GY14" s="498"/>
      <c r="GZ14" s="81" t="s">
        <v>521</v>
      </c>
      <c r="HA14" s="479"/>
      <c r="HB14" s="511"/>
      <c r="HC14" s="487"/>
      <c r="HD14" s="487"/>
      <c r="HE14" s="487"/>
      <c r="HF14" s="488"/>
      <c r="HG14" s="496" t="s">
        <v>159</v>
      </c>
      <c r="HH14" s="497"/>
      <c r="HI14" s="497"/>
      <c r="HJ14" s="498"/>
      <c r="HK14" s="517"/>
      <c r="HL14" s="496" t="s">
        <v>159</v>
      </c>
      <c r="HM14" s="497"/>
      <c r="HN14" s="497"/>
      <c r="HO14" s="498"/>
      <c r="HP14" s="81" t="s">
        <v>521</v>
      </c>
      <c r="HQ14" s="496" t="s">
        <v>159</v>
      </c>
      <c r="HR14" s="497"/>
      <c r="HS14" s="497"/>
      <c r="HT14" s="498"/>
      <c r="HU14" s="81" t="s">
        <v>159</v>
      </c>
      <c r="HV14" s="496" t="s">
        <v>159</v>
      </c>
      <c r="HW14" s="497"/>
      <c r="HX14" s="497"/>
      <c r="HY14" s="498"/>
      <c r="HZ14" s="517"/>
      <c r="IA14" s="479"/>
      <c r="IB14" s="511"/>
      <c r="IC14" s="487"/>
      <c r="ID14" s="487"/>
      <c r="IE14" s="487"/>
      <c r="IF14" s="488"/>
      <c r="IG14" s="496" t="s">
        <v>159</v>
      </c>
      <c r="IH14" s="497"/>
      <c r="II14" s="497"/>
      <c r="IJ14" s="498"/>
      <c r="IK14" s="517"/>
      <c r="IL14" s="496" t="s">
        <v>159</v>
      </c>
      <c r="IM14" s="497"/>
      <c r="IN14" s="497"/>
      <c r="IO14" s="498"/>
      <c r="IP14" s="517"/>
      <c r="IQ14" s="496" t="s">
        <v>694</v>
      </c>
      <c r="IR14" s="497"/>
      <c r="IS14" s="497"/>
      <c r="IT14" s="498"/>
      <c r="IU14" s="81" t="s">
        <v>700</v>
      </c>
      <c r="IV14" s="496" t="s">
        <v>694</v>
      </c>
      <c r="IW14" s="497"/>
      <c r="IX14" s="497"/>
      <c r="IY14" s="498"/>
      <c r="IZ14" s="517"/>
      <c r="JA14" s="479"/>
      <c r="JB14" s="511"/>
      <c r="JC14" s="487"/>
      <c r="JD14" s="487"/>
      <c r="JE14" s="487"/>
      <c r="JF14" s="488"/>
      <c r="JG14" s="496" t="s">
        <v>694</v>
      </c>
      <c r="JH14" s="497"/>
      <c r="JI14" s="497"/>
      <c r="JJ14" s="498"/>
      <c r="JK14" s="81" t="s">
        <v>694</v>
      </c>
      <c r="JL14" s="496" t="s">
        <v>694</v>
      </c>
      <c r="JM14" s="497"/>
      <c r="JN14" s="497"/>
      <c r="JO14" s="498"/>
      <c r="JP14" s="81" t="s">
        <v>694</v>
      </c>
      <c r="JQ14" s="496" t="s">
        <v>694</v>
      </c>
      <c r="JR14" s="497"/>
      <c r="JS14" s="497"/>
      <c r="JT14" s="498"/>
      <c r="JU14" s="81" t="s">
        <v>694</v>
      </c>
      <c r="JV14" s="496" t="s">
        <v>694</v>
      </c>
      <c r="JW14" s="497"/>
      <c r="JX14" s="497"/>
      <c r="JY14" s="498"/>
      <c r="JZ14" s="517"/>
      <c r="KA14" s="479"/>
      <c r="KB14" s="511"/>
      <c r="KC14" s="487"/>
      <c r="KD14" s="487"/>
      <c r="KE14" s="487"/>
      <c r="KF14" s="488"/>
      <c r="KG14" s="496" t="s">
        <v>694</v>
      </c>
      <c r="KH14" s="497"/>
      <c r="KI14" s="497"/>
      <c r="KJ14" s="498"/>
      <c r="KK14" s="81" t="s">
        <v>694</v>
      </c>
      <c r="KL14" s="496" t="s">
        <v>694</v>
      </c>
      <c r="KM14" s="497"/>
      <c r="KN14" s="497"/>
      <c r="KO14" s="498"/>
      <c r="KP14" s="81" t="s">
        <v>701</v>
      </c>
      <c r="KQ14" s="496" t="s">
        <v>694</v>
      </c>
      <c r="KR14" s="497"/>
      <c r="KS14" s="497"/>
      <c r="KT14" s="498"/>
      <c r="KU14" s="81" t="s">
        <v>694</v>
      </c>
      <c r="KV14" s="496" t="s">
        <v>694</v>
      </c>
      <c r="KW14" s="497"/>
      <c r="KX14" s="497"/>
      <c r="KY14" s="498"/>
      <c r="KZ14" s="81" t="s">
        <v>702</v>
      </c>
      <c r="LA14" s="479"/>
      <c r="LB14" s="511"/>
      <c r="LC14" s="487"/>
      <c r="LD14" s="487"/>
      <c r="LE14" s="487"/>
      <c r="LF14" s="488"/>
      <c r="LG14" s="496" t="s">
        <v>694</v>
      </c>
      <c r="LH14" s="497"/>
      <c r="LI14" s="497"/>
      <c r="LJ14" s="498"/>
      <c r="LK14" s="81" t="s">
        <v>703</v>
      </c>
      <c r="LL14" s="496" t="s">
        <v>694</v>
      </c>
      <c r="LM14" s="497"/>
      <c r="LN14" s="497"/>
      <c r="LO14" s="498"/>
      <c r="LP14" s="517"/>
      <c r="LQ14" s="496" t="s">
        <v>694</v>
      </c>
      <c r="LR14" s="497"/>
      <c r="LS14" s="497"/>
      <c r="LT14" s="498"/>
      <c r="LU14" s="517"/>
      <c r="LV14" s="496" t="s">
        <v>694</v>
      </c>
      <c r="LW14" s="497"/>
      <c r="LX14" s="497"/>
      <c r="LY14" s="498"/>
      <c r="LZ14" s="517"/>
      <c r="MA14" s="479"/>
      <c r="MB14" s="511"/>
      <c r="MC14" s="487"/>
      <c r="MD14" s="487"/>
      <c r="ME14" s="487"/>
      <c r="MF14" s="488"/>
      <c r="MG14" s="496" t="s">
        <v>694</v>
      </c>
      <c r="MH14" s="497"/>
      <c r="MI14" s="497"/>
      <c r="MJ14" s="498"/>
      <c r="MK14" s="517"/>
      <c r="ML14" s="496" t="s">
        <v>694</v>
      </c>
      <c r="MM14" s="497"/>
      <c r="MN14" s="497"/>
      <c r="MO14" s="498"/>
      <c r="MP14" s="81" t="s">
        <v>704</v>
      </c>
      <c r="MQ14" s="496" t="s">
        <v>694</v>
      </c>
      <c r="MR14" s="497"/>
      <c r="MS14" s="497"/>
      <c r="MT14" s="498"/>
      <c r="MU14" s="517"/>
      <c r="MV14" s="496" t="s">
        <v>694</v>
      </c>
      <c r="MW14" s="497"/>
      <c r="MX14" s="497"/>
      <c r="MY14" s="498"/>
      <c r="MZ14" s="517"/>
      <c r="NA14" s="479"/>
      <c r="NB14" s="511"/>
      <c r="NC14" s="487"/>
      <c r="ND14" s="487"/>
      <c r="NE14" s="487"/>
      <c r="NF14" s="488"/>
      <c r="NG14" s="496" t="s">
        <v>694</v>
      </c>
      <c r="NH14" s="497"/>
      <c r="NI14" s="497"/>
      <c r="NJ14" s="498"/>
      <c r="NK14" s="517"/>
      <c r="NL14" s="496" t="s">
        <v>694</v>
      </c>
      <c r="NM14" s="497"/>
      <c r="NN14" s="497"/>
      <c r="NO14" s="498"/>
      <c r="NP14" s="517"/>
      <c r="NQ14" s="496" t="s">
        <v>694</v>
      </c>
      <c r="NR14" s="497"/>
      <c r="NS14" s="497"/>
      <c r="NT14" s="498"/>
      <c r="NU14" s="517"/>
      <c r="NV14" s="496" t="s">
        <v>694</v>
      </c>
      <c r="NW14" s="497"/>
      <c r="NX14" s="497"/>
      <c r="NY14" s="498"/>
      <c r="NZ14" s="517"/>
      <c r="OA14" s="479"/>
      <c r="OB14" s="511"/>
      <c r="OC14" s="487"/>
      <c r="OD14" s="487"/>
      <c r="OE14" s="487"/>
      <c r="OF14" s="488"/>
      <c r="OG14" s="496" t="s">
        <v>521</v>
      </c>
      <c r="OH14" s="497"/>
      <c r="OI14" s="497"/>
      <c r="OJ14" s="498"/>
      <c r="OK14" s="517"/>
      <c r="OL14" s="496" t="s">
        <v>705</v>
      </c>
      <c r="OM14" s="497"/>
      <c r="ON14" s="497"/>
      <c r="OO14" s="498"/>
      <c r="OP14" s="81" t="s">
        <v>705</v>
      </c>
      <c r="OQ14" s="496" t="s">
        <v>521</v>
      </c>
      <c r="OR14" s="497"/>
      <c r="OS14" s="497"/>
      <c r="OT14" s="498"/>
      <c r="OU14" s="517"/>
      <c r="OV14" s="496" t="s">
        <v>521</v>
      </c>
      <c r="OW14" s="497"/>
      <c r="OX14" s="497"/>
      <c r="OY14" s="498"/>
      <c r="OZ14" s="517"/>
      <c r="PA14" s="479"/>
      <c r="PB14" s="511"/>
      <c r="PC14" s="487"/>
      <c r="PD14" s="487"/>
      <c r="PE14" s="487"/>
      <c r="PF14" s="488"/>
      <c r="PG14" s="496" t="s">
        <v>521</v>
      </c>
      <c r="PH14" s="497"/>
      <c r="PI14" s="497"/>
      <c r="PJ14" s="498"/>
      <c r="PK14" s="517"/>
      <c r="PL14" s="496" t="s">
        <v>521</v>
      </c>
      <c r="PM14" s="497"/>
      <c r="PN14" s="497"/>
      <c r="PO14" s="498"/>
      <c r="PP14" s="517"/>
      <c r="PQ14" s="496" t="s">
        <v>521</v>
      </c>
      <c r="PR14" s="497"/>
      <c r="PS14" s="497"/>
      <c r="PT14" s="498"/>
      <c r="PU14" s="517"/>
      <c r="PV14" s="496" t="s">
        <v>521</v>
      </c>
      <c r="PW14" s="497"/>
      <c r="PX14" s="497"/>
      <c r="PY14" s="498"/>
      <c r="PZ14" s="517"/>
      <c r="QA14" s="479"/>
      <c r="QB14" s="511"/>
      <c r="QC14" s="487"/>
      <c r="QD14" s="487"/>
      <c r="QE14" s="487"/>
      <c r="QF14" s="488"/>
      <c r="QG14" s="496" t="s">
        <v>521</v>
      </c>
      <c r="QH14" s="497"/>
      <c r="QI14" s="497"/>
      <c r="QJ14" s="498"/>
      <c r="QK14" s="517"/>
      <c r="QL14" s="496" t="s">
        <v>521</v>
      </c>
      <c r="QM14" s="497"/>
      <c r="QN14" s="497"/>
      <c r="QO14" s="498"/>
      <c r="QP14" s="81" t="s">
        <v>521</v>
      </c>
      <c r="QQ14" s="496" t="s">
        <v>521</v>
      </c>
      <c r="QR14" s="497"/>
      <c r="QS14" s="497"/>
      <c r="QT14" s="498"/>
      <c r="QU14" s="81" t="s">
        <v>706</v>
      </c>
      <c r="QV14" s="496" t="s">
        <v>521</v>
      </c>
      <c r="QW14" s="497"/>
      <c r="QX14" s="497"/>
      <c r="QY14" s="498"/>
      <c r="QZ14" s="517"/>
      <c r="RA14" s="479"/>
      <c r="RB14" s="511"/>
      <c r="RC14" s="487"/>
      <c r="RD14" s="487"/>
      <c r="RE14" s="487"/>
      <c r="RF14" s="488"/>
      <c r="RG14" s="496" t="s">
        <v>521</v>
      </c>
      <c r="RH14" s="497"/>
      <c r="RI14" s="497"/>
      <c r="RJ14" s="498"/>
      <c r="RK14" s="517"/>
      <c r="RL14" s="496" t="s">
        <v>521</v>
      </c>
      <c r="RM14" s="497"/>
      <c r="RN14" s="497"/>
      <c r="RO14" s="498"/>
      <c r="RP14" s="81" t="s">
        <v>707</v>
      </c>
      <c r="RQ14" s="496" t="s">
        <v>521</v>
      </c>
      <c r="RR14" s="497"/>
      <c r="RS14" s="497"/>
      <c r="RT14" s="498"/>
      <c r="RU14" s="81" t="s">
        <v>521</v>
      </c>
      <c r="RV14" s="496" t="s">
        <v>521</v>
      </c>
      <c r="RW14" s="497"/>
      <c r="RX14" s="497"/>
      <c r="RY14" s="498"/>
      <c r="RZ14" s="517"/>
      <c r="SA14" s="479"/>
      <c r="SB14" s="511"/>
      <c r="SC14" s="487"/>
      <c r="SD14" s="487"/>
      <c r="SE14" s="487"/>
      <c r="SF14" s="488"/>
      <c r="SG14" s="496" t="s">
        <v>521</v>
      </c>
      <c r="SH14" s="497"/>
      <c r="SI14" s="497"/>
      <c r="SJ14" s="498"/>
      <c r="SK14" s="81" t="s">
        <v>521</v>
      </c>
      <c r="SL14" s="496" t="s">
        <v>521</v>
      </c>
      <c r="SM14" s="497"/>
      <c r="SN14" s="497"/>
      <c r="SO14" s="498"/>
      <c r="SP14" s="81" t="s">
        <v>521</v>
      </c>
      <c r="SQ14" s="496" t="s">
        <v>521</v>
      </c>
      <c r="SR14" s="497"/>
      <c r="SS14" s="497"/>
      <c r="ST14" s="498"/>
      <c r="SU14" s="517"/>
      <c r="SV14" s="496" t="s">
        <v>521</v>
      </c>
      <c r="SW14" s="497"/>
      <c r="SX14" s="497"/>
      <c r="SY14" s="498"/>
      <c r="SZ14" s="517"/>
      <c r="TA14" s="479"/>
      <c r="TB14" s="511"/>
      <c r="TC14" s="487"/>
      <c r="TD14" s="487"/>
      <c r="TE14" s="487"/>
      <c r="TF14" s="488"/>
      <c r="TG14" s="496" t="s">
        <v>159</v>
      </c>
      <c r="TH14" s="497"/>
      <c r="TI14" s="497"/>
      <c r="TJ14" s="498"/>
      <c r="TK14" s="517"/>
      <c r="TL14" s="496" t="s">
        <v>159</v>
      </c>
      <c r="TM14" s="497"/>
      <c r="TN14" s="497"/>
      <c r="TO14" s="498"/>
      <c r="TP14" s="81"/>
      <c r="TQ14" s="517"/>
      <c r="TR14" s="496" t="s">
        <v>159</v>
      </c>
      <c r="TS14" s="497"/>
      <c r="TT14" s="497"/>
      <c r="TU14" s="498"/>
      <c r="TV14" s="517"/>
      <c r="TW14" s="496" t="s">
        <v>159</v>
      </c>
      <c r="TX14" s="497"/>
      <c r="TY14" s="497"/>
      <c r="TZ14" s="498"/>
      <c r="UA14" s="517"/>
      <c r="UB14" s="479"/>
      <c r="UC14" s="511"/>
      <c r="UD14" s="487"/>
      <c r="UE14" s="487"/>
      <c r="UF14" s="487"/>
      <c r="UG14" s="488"/>
      <c r="UH14" s="496" t="s">
        <v>159</v>
      </c>
      <c r="UI14" s="497"/>
      <c r="UJ14" s="497"/>
      <c r="UK14" s="498"/>
      <c r="UL14" s="81" t="s">
        <v>521</v>
      </c>
      <c r="UM14" s="496" t="s">
        <v>159</v>
      </c>
      <c r="UN14" s="497"/>
      <c r="UO14" s="497"/>
      <c r="UP14" s="498"/>
      <c r="UQ14" s="517"/>
      <c r="UR14" s="496" t="s">
        <v>159</v>
      </c>
      <c r="US14" s="497"/>
      <c r="UT14" s="497"/>
      <c r="UU14" s="498"/>
      <c r="UV14" s="517"/>
      <c r="UW14" s="496" t="s">
        <v>159</v>
      </c>
      <c r="UX14" s="497"/>
      <c r="UY14" s="497"/>
      <c r="UZ14" s="498"/>
      <c r="VA14" s="81" t="s">
        <v>521</v>
      </c>
      <c r="VB14" s="479"/>
      <c r="VC14" s="511"/>
      <c r="VD14" s="487"/>
      <c r="VE14" s="487"/>
      <c r="VF14" s="487"/>
      <c r="VG14" s="488"/>
      <c r="VH14" s="496" t="s">
        <v>159</v>
      </c>
      <c r="VI14" s="497"/>
      <c r="VJ14" s="497"/>
      <c r="VK14" s="498"/>
      <c r="VL14" s="517"/>
      <c r="VM14" s="496" t="s">
        <v>159</v>
      </c>
      <c r="VN14" s="497"/>
      <c r="VO14" s="497"/>
      <c r="VP14" s="498"/>
      <c r="VQ14" s="517"/>
      <c r="VR14" s="496" t="s">
        <v>159</v>
      </c>
      <c r="VS14" s="497"/>
      <c r="VT14" s="497"/>
      <c r="VU14" s="498"/>
      <c r="VV14" s="517"/>
      <c r="VW14" s="496" t="s">
        <v>159</v>
      </c>
      <c r="VX14" s="497"/>
      <c r="VY14" s="497"/>
      <c r="VZ14" s="498"/>
      <c r="WA14" s="517"/>
      <c r="WB14" s="479"/>
      <c r="WC14" s="511"/>
      <c r="WD14" s="487"/>
      <c r="WE14" s="487"/>
      <c r="WF14" s="487"/>
      <c r="WG14" s="488"/>
      <c r="WH14" s="496" t="s">
        <v>159</v>
      </c>
      <c r="WI14" s="497"/>
      <c r="WJ14" s="497"/>
      <c r="WK14" s="498"/>
      <c r="WL14" s="81" t="s">
        <v>521</v>
      </c>
      <c r="WM14" s="496" t="s">
        <v>159</v>
      </c>
      <c r="WN14" s="497"/>
      <c r="WO14" s="497"/>
      <c r="WP14" s="498"/>
      <c r="WQ14" s="81" t="s">
        <v>521</v>
      </c>
      <c r="WR14" s="496" t="s">
        <v>159</v>
      </c>
      <c r="WS14" s="497"/>
      <c r="WT14" s="497"/>
      <c r="WU14" s="498"/>
      <c r="WV14" s="81" t="s">
        <v>521</v>
      </c>
      <c r="WW14" s="496" t="s">
        <v>159</v>
      </c>
      <c r="WX14" s="497"/>
      <c r="WY14" s="497"/>
      <c r="WZ14" s="498"/>
      <c r="XA14" s="81" t="s">
        <v>708</v>
      </c>
      <c r="XB14" s="479"/>
      <c r="XC14" s="511"/>
      <c r="XD14" s="487"/>
      <c r="XE14" s="487"/>
      <c r="XF14" s="487"/>
      <c r="XG14" s="488"/>
      <c r="XH14" s="496" t="s">
        <v>159</v>
      </c>
      <c r="XI14" s="497"/>
      <c r="XJ14" s="497"/>
      <c r="XK14" s="498"/>
      <c r="XL14" s="81" t="s">
        <v>656</v>
      </c>
      <c r="XM14" s="496" t="s">
        <v>159</v>
      </c>
      <c r="XN14" s="497"/>
      <c r="XO14" s="497"/>
      <c r="XP14" s="498"/>
      <c r="XQ14" s="81" t="s">
        <v>709</v>
      </c>
      <c r="XR14" s="496" t="s">
        <v>159</v>
      </c>
      <c r="XS14" s="497"/>
      <c r="XT14" s="497"/>
      <c r="XU14" s="498"/>
      <c r="XV14" s="517"/>
      <c r="XW14" s="496" t="s">
        <v>159</v>
      </c>
      <c r="XX14" s="497"/>
      <c r="XY14" s="497"/>
      <c r="XZ14" s="498"/>
      <c r="YA14" s="81" t="s">
        <v>710</v>
      </c>
      <c r="YB14" s="479"/>
      <c r="YC14" s="511"/>
      <c r="YD14" s="487"/>
      <c r="YE14" s="487"/>
      <c r="YF14" s="487"/>
      <c r="YG14" s="488"/>
      <c r="YH14" s="496" t="s">
        <v>159</v>
      </c>
      <c r="YI14" s="497"/>
      <c r="YJ14" s="497"/>
      <c r="YK14" s="498"/>
      <c r="YL14" s="517"/>
      <c r="YM14" s="496" t="s">
        <v>159</v>
      </c>
      <c r="YN14" s="497"/>
      <c r="YO14" s="497"/>
      <c r="YP14" s="498"/>
      <c r="YQ14" s="517"/>
      <c r="YR14" s="496" t="s">
        <v>159</v>
      </c>
      <c r="YS14" s="497"/>
      <c r="YT14" s="497"/>
      <c r="YU14" s="498"/>
      <c r="YV14" s="517"/>
      <c r="YW14" s="496" t="s">
        <v>159</v>
      </c>
      <c r="YX14" s="497"/>
      <c r="YY14" s="497"/>
      <c r="YZ14" s="498"/>
      <c r="ZA14" s="81" t="s">
        <v>711</v>
      </c>
      <c r="ZB14" s="479"/>
      <c r="ZC14" s="511"/>
      <c r="ZD14" s="487"/>
      <c r="ZE14" s="487"/>
      <c r="ZF14" s="487"/>
      <c r="ZG14" s="488"/>
      <c r="ZH14" s="496" t="s">
        <v>521</v>
      </c>
      <c r="ZI14" s="497"/>
      <c r="ZJ14" s="497"/>
      <c r="ZK14" s="498"/>
      <c r="ZL14" s="81" t="s">
        <v>709</v>
      </c>
      <c r="ZM14" s="496" t="s">
        <v>521</v>
      </c>
      <c r="ZN14" s="497"/>
      <c r="ZO14" s="497"/>
      <c r="ZP14" s="498"/>
      <c r="ZQ14" s="517"/>
      <c r="ZR14" s="496" t="s">
        <v>521</v>
      </c>
      <c r="ZS14" s="497"/>
      <c r="ZT14" s="497"/>
      <c r="ZU14" s="498"/>
      <c r="ZV14" s="81" t="s">
        <v>521</v>
      </c>
      <c r="ZW14" s="496" t="s">
        <v>521</v>
      </c>
      <c r="ZX14" s="497"/>
      <c r="ZY14" s="497"/>
      <c r="ZZ14" s="498"/>
      <c r="AAA14" s="517"/>
      <c r="AAB14" s="479"/>
      <c r="AAC14" s="511"/>
      <c r="AAD14" s="487"/>
      <c r="AAE14" s="487"/>
      <c r="AAF14" s="487"/>
      <c r="AAG14" s="488"/>
      <c r="AAH14" s="496" t="s">
        <v>521</v>
      </c>
      <c r="AAI14" s="497"/>
      <c r="AAJ14" s="497"/>
      <c r="AAK14" s="498"/>
      <c r="AAL14" s="517"/>
      <c r="AAM14" s="496" t="s">
        <v>521</v>
      </c>
      <c r="AAN14" s="497"/>
      <c r="AAO14" s="497"/>
      <c r="AAP14" s="498"/>
      <c r="AAQ14" s="517"/>
      <c r="AAR14" s="496" t="s">
        <v>521</v>
      </c>
      <c r="AAS14" s="497"/>
      <c r="AAT14" s="497"/>
      <c r="AAU14" s="498"/>
      <c r="AAV14" s="81" t="s">
        <v>711</v>
      </c>
      <c r="AAW14" s="496" t="s">
        <v>521</v>
      </c>
      <c r="AAX14" s="497"/>
      <c r="AAY14" s="497"/>
      <c r="AAZ14" s="498"/>
      <c r="ABA14" s="517"/>
      <c r="ABB14" s="479"/>
      <c r="ABC14" s="511"/>
      <c r="ABD14" s="487"/>
      <c r="ABE14" s="487"/>
      <c r="ABF14" s="487"/>
      <c r="ABG14" s="488"/>
      <c r="ABH14" s="496" t="s">
        <v>521</v>
      </c>
      <c r="ABI14" s="497"/>
      <c r="ABJ14" s="497"/>
      <c r="ABK14" s="498"/>
      <c r="ABL14" s="81" t="s">
        <v>656</v>
      </c>
      <c r="ABM14" s="496" t="s">
        <v>521</v>
      </c>
      <c r="ABN14" s="497"/>
      <c r="ABO14" s="497"/>
      <c r="ABP14" s="498"/>
      <c r="ABQ14" s="81" t="s">
        <v>712</v>
      </c>
      <c r="ABR14" s="496" t="s">
        <v>521</v>
      </c>
      <c r="ABS14" s="497"/>
      <c r="ABT14" s="497"/>
      <c r="ABU14" s="498"/>
      <c r="ABV14" s="517"/>
      <c r="ABW14" s="496" t="s">
        <v>521</v>
      </c>
      <c r="ABX14" s="497"/>
      <c r="ABY14" s="497"/>
      <c r="ABZ14" s="498"/>
      <c r="ACA14" s="517"/>
      <c r="ACB14" s="479"/>
      <c r="ACC14" s="511"/>
      <c r="ACD14" s="487"/>
      <c r="ACE14" s="487"/>
      <c r="ACF14" s="487"/>
      <c r="ACG14" s="488"/>
      <c r="ACH14" s="496" t="s">
        <v>521</v>
      </c>
      <c r="ACI14" s="497"/>
      <c r="ACJ14" s="497"/>
      <c r="ACK14" s="498"/>
      <c r="ACL14" s="81" t="s">
        <v>713</v>
      </c>
      <c r="ACM14" s="496" t="s">
        <v>159</v>
      </c>
      <c r="ACN14" s="497"/>
      <c r="ACO14" s="497"/>
      <c r="ACP14" s="498"/>
      <c r="ACQ14" s="517"/>
      <c r="ACR14" s="496" t="s">
        <v>159</v>
      </c>
      <c r="ACS14" s="497"/>
      <c r="ACT14" s="497"/>
      <c r="ACU14" s="498"/>
      <c r="ACV14" s="517"/>
      <c r="ACW14" s="496" t="s">
        <v>159</v>
      </c>
      <c r="ACX14" s="497"/>
      <c r="ACY14" s="497"/>
      <c r="ACZ14" s="498"/>
      <c r="ADA14" s="517"/>
      <c r="ADB14" s="479"/>
      <c r="ADC14" s="511"/>
      <c r="ADD14" s="487"/>
      <c r="ADE14" s="487"/>
      <c r="ADF14" s="487"/>
      <c r="ADG14" s="488"/>
      <c r="ADH14" s="496" t="s">
        <v>159</v>
      </c>
      <c r="ADI14" s="497"/>
      <c r="ADJ14" s="497"/>
      <c r="ADK14" s="498"/>
      <c r="ADL14" s="517"/>
      <c r="ADM14" s="496" t="s">
        <v>159</v>
      </c>
      <c r="ADN14" s="497"/>
      <c r="ADO14" s="497"/>
      <c r="ADP14" s="498"/>
      <c r="ADQ14" s="517"/>
      <c r="ADR14" s="496" t="s">
        <v>159</v>
      </c>
      <c r="ADS14" s="497"/>
      <c r="ADT14" s="497"/>
      <c r="ADU14" s="498"/>
      <c r="ADV14" s="517"/>
      <c r="ADW14" s="590" t="s">
        <v>159</v>
      </c>
      <c r="ADX14" s="591"/>
      <c r="ADY14" s="591"/>
      <c r="ADZ14" s="592"/>
      <c r="AEA14" s="517"/>
      <c r="AEB14" s="479"/>
      <c r="AEC14" s="511"/>
      <c r="AED14" s="487"/>
      <c r="AEE14" s="487"/>
      <c r="AEF14" s="487"/>
      <c r="AEG14" s="488"/>
      <c r="AEH14" s="496" t="s">
        <v>159</v>
      </c>
      <c r="AEI14" s="497"/>
      <c r="AEJ14" s="497"/>
      <c r="AEK14" s="498"/>
      <c r="AEL14" s="517"/>
      <c r="AEM14" s="496" t="s">
        <v>159</v>
      </c>
      <c r="AEN14" s="497"/>
      <c r="AEO14" s="497"/>
      <c r="AEP14" s="498"/>
      <c r="AEQ14" s="404"/>
      <c r="AER14" s="517"/>
      <c r="AES14" s="496" t="s">
        <v>159</v>
      </c>
      <c r="AET14" s="497"/>
      <c r="AEU14" s="497"/>
      <c r="AEV14" s="498"/>
      <c r="AEW14" s="517"/>
      <c r="AEX14" s="496" t="s">
        <v>159</v>
      </c>
      <c r="AEY14" s="497"/>
      <c r="AEZ14" s="497"/>
      <c r="AFA14" s="498"/>
      <c r="AFB14" s="517"/>
      <c r="AFC14" s="479"/>
      <c r="AFD14" s="511"/>
      <c r="AFE14" s="487"/>
      <c r="AFF14" s="487"/>
      <c r="AFG14" s="487"/>
      <c r="AFH14" s="488"/>
      <c r="AFI14" s="496" t="s">
        <v>159</v>
      </c>
      <c r="AFJ14" s="497"/>
      <c r="AFK14" s="497"/>
      <c r="AFL14" s="498"/>
      <c r="AFM14" s="517"/>
      <c r="AFN14" s="496" t="s">
        <v>159</v>
      </c>
      <c r="AFO14" s="497"/>
      <c r="AFP14" s="497"/>
      <c r="AFQ14" s="498"/>
      <c r="AFR14" s="81" t="s">
        <v>714</v>
      </c>
      <c r="AFS14" s="496" t="s">
        <v>159</v>
      </c>
      <c r="AFT14" s="497"/>
      <c r="AFU14" s="497"/>
      <c r="AFV14" s="498"/>
      <c r="AFW14" s="81" t="s">
        <v>521</v>
      </c>
      <c r="AFX14" s="496" t="s">
        <v>159</v>
      </c>
      <c r="AFY14" s="497"/>
      <c r="AFZ14" s="497"/>
      <c r="AGA14" s="498"/>
      <c r="AGB14" s="81" t="s">
        <v>521</v>
      </c>
      <c r="AGC14" s="479"/>
      <c r="AGD14" s="511"/>
      <c r="AGE14" s="487"/>
      <c r="AGF14" s="487"/>
      <c r="AGG14" s="487"/>
      <c r="AGH14" s="488"/>
      <c r="AGI14" s="496" t="s">
        <v>159</v>
      </c>
      <c r="AGJ14" s="497"/>
      <c r="AGK14" s="497"/>
      <c r="AGL14" s="498"/>
      <c r="AGM14" s="81" t="s">
        <v>521</v>
      </c>
      <c r="AGN14" s="496" t="s">
        <v>159</v>
      </c>
      <c r="AGO14" s="497"/>
      <c r="AGP14" s="497"/>
      <c r="AGQ14" s="498"/>
      <c r="AGR14" s="517"/>
      <c r="AGS14" s="496" t="s">
        <v>159</v>
      </c>
      <c r="AGT14" s="497"/>
      <c r="AGU14" s="497"/>
      <c r="AGV14" s="498"/>
      <c r="AGW14" s="517"/>
      <c r="AGX14" s="496" t="s">
        <v>159</v>
      </c>
      <c r="AGY14" s="497"/>
      <c r="AGZ14" s="497"/>
      <c r="AHA14" s="498"/>
      <c r="AHB14" s="517"/>
      <c r="AHC14" s="479"/>
      <c r="AHD14" s="511"/>
      <c r="AHE14" s="487"/>
      <c r="AHF14" s="487"/>
      <c r="AHG14" s="487"/>
      <c r="AHH14" s="488"/>
      <c r="AHI14" s="496" t="s">
        <v>159</v>
      </c>
      <c r="AHJ14" s="497"/>
      <c r="AHK14" s="497"/>
      <c r="AHL14" s="498"/>
      <c r="AHM14" s="81" t="s">
        <v>715</v>
      </c>
      <c r="AHN14" s="496" t="s">
        <v>159</v>
      </c>
      <c r="AHO14" s="497"/>
      <c r="AHP14" s="497"/>
      <c r="AHQ14" s="498"/>
      <c r="AHR14" s="517"/>
      <c r="AHS14" s="496" t="s">
        <v>159</v>
      </c>
      <c r="AHT14" s="497"/>
      <c r="AHU14" s="497"/>
      <c r="AHV14" s="498"/>
      <c r="AHW14" s="517"/>
      <c r="AHX14" s="496" t="s">
        <v>159</v>
      </c>
      <c r="AHY14" s="497"/>
      <c r="AHZ14" s="497"/>
      <c r="AIA14" s="498"/>
      <c r="AIB14" s="517"/>
      <c r="AIC14" s="479"/>
      <c r="AID14" s="511"/>
      <c r="AIE14" s="487"/>
      <c r="AIF14" s="487"/>
      <c r="AIG14" s="487"/>
      <c r="AIH14" s="488"/>
      <c r="AII14" s="496" t="s">
        <v>159</v>
      </c>
      <c r="AIJ14" s="497"/>
      <c r="AIK14" s="497"/>
      <c r="AIL14" s="498"/>
      <c r="AIM14" s="517"/>
      <c r="AIN14" s="496" t="s">
        <v>159</v>
      </c>
      <c r="AIO14" s="497"/>
      <c r="AIP14" s="497"/>
      <c r="AIQ14" s="498"/>
      <c r="AIR14" s="517"/>
      <c r="AIS14" s="496" t="s">
        <v>521</v>
      </c>
      <c r="AIT14" s="497"/>
      <c r="AIU14" s="497"/>
      <c r="AIV14" s="498"/>
      <c r="AIW14" s="517"/>
      <c r="AIX14" s="496" t="s">
        <v>521</v>
      </c>
      <c r="AIY14" s="497"/>
      <c r="AIZ14" s="497"/>
      <c r="AJA14" s="498"/>
      <c r="AJB14" s="517"/>
      <c r="AJC14" s="479"/>
      <c r="AJD14" s="511"/>
      <c r="AJE14" s="487"/>
      <c r="AJF14" s="487"/>
      <c r="AJG14" s="487"/>
      <c r="AJH14" s="488"/>
      <c r="AJI14" s="496" t="s">
        <v>521</v>
      </c>
      <c r="AJJ14" s="497"/>
      <c r="AJK14" s="497"/>
      <c r="AJL14" s="498"/>
      <c r="AJM14" s="517"/>
      <c r="AJN14" s="496" t="s">
        <v>159</v>
      </c>
      <c r="AJO14" s="497"/>
      <c r="AJP14" s="497"/>
      <c r="AJQ14" s="498"/>
      <c r="AJR14" s="517"/>
      <c r="AJS14" s="496" t="s">
        <v>159</v>
      </c>
      <c r="AJT14" s="497"/>
      <c r="AJU14" s="497"/>
      <c r="AJV14" s="498"/>
      <c r="AJW14" s="81" t="s">
        <v>716</v>
      </c>
      <c r="AJX14" s="496" t="s">
        <v>521</v>
      </c>
      <c r="AJY14" s="497"/>
      <c r="AJZ14" s="497"/>
      <c r="AKA14" s="498"/>
      <c r="AKB14" s="81" t="s">
        <v>521</v>
      </c>
      <c r="AKC14" s="479"/>
      <c r="AKD14" s="511"/>
      <c r="AKE14" s="487"/>
      <c r="AKF14" s="487"/>
      <c r="AKG14" s="487"/>
      <c r="AKH14" s="488"/>
      <c r="AKI14" s="496" t="s">
        <v>159</v>
      </c>
      <c r="AKJ14" s="497"/>
      <c r="AKK14" s="497"/>
      <c r="AKL14" s="498"/>
      <c r="AKM14" s="517"/>
      <c r="AKN14" s="496" t="s">
        <v>159</v>
      </c>
      <c r="AKO14" s="497"/>
      <c r="AKP14" s="497"/>
      <c r="AKQ14" s="498"/>
      <c r="AKR14" s="81" t="s">
        <v>711</v>
      </c>
      <c r="AKS14" s="496" t="s">
        <v>521</v>
      </c>
      <c r="AKT14" s="497"/>
      <c r="AKU14" s="497"/>
      <c r="AKV14" s="498"/>
      <c r="AKW14" s="81" t="s">
        <v>633</v>
      </c>
      <c r="AKX14" s="496" t="s">
        <v>521</v>
      </c>
      <c r="AKY14" s="497"/>
      <c r="AKZ14" s="497"/>
      <c r="ALA14" s="498"/>
      <c r="ALB14" s="81" t="s">
        <v>521</v>
      </c>
      <c r="ALC14" s="479"/>
      <c r="ALD14" s="511"/>
      <c r="ALE14" s="487"/>
      <c r="ALF14" s="487"/>
      <c r="ALG14" s="487"/>
      <c r="ALH14" s="488"/>
      <c r="ALI14" s="496" t="s">
        <v>159</v>
      </c>
      <c r="ALJ14" s="497"/>
      <c r="ALK14" s="497"/>
      <c r="ALL14" s="498"/>
      <c r="ALM14" s="81" t="s">
        <v>521</v>
      </c>
      <c r="ALN14" s="496" t="s">
        <v>159</v>
      </c>
      <c r="ALO14" s="497"/>
      <c r="ALP14" s="497"/>
      <c r="ALQ14" s="498"/>
      <c r="ALR14" s="81" t="s">
        <v>717</v>
      </c>
      <c r="ALS14" s="496" t="s">
        <v>159</v>
      </c>
      <c r="ALT14" s="497"/>
      <c r="ALU14" s="497"/>
      <c r="ALV14" s="498"/>
      <c r="ALW14" s="81" t="s">
        <v>717</v>
      </c>
      <c r="ALX14" s="496" t="s">
        <v>159</v>
      </c>
      <c r="ALY14" s="497"/>
      <c r="ALZ14" s="497"/>
      <c r="AMA14" s="498"/>
      <c r="AMB14" s="81" t="s">
        <v>678</v>
      </c>
      <c r="AMC14" s="479"/>
      <c r="AMD14" s="511"/>
      <c r="AME14" s="487"/>
      <c r="AMF14" s="487"/>
      <c r="AMG14" s="487"/>
      <c r="AMH14" s="488"/>
      <c r="AMI14" s="496" t="s">
        <v>159</v>
      </c>
      <c r="AMJ14" s="497"/>
      <c r="AMK14" s="497"/>
      <c r="AML14" s="498"/>
      <c r="AMM14" s="517"/>
      <c r="AMN14" s="496" t="s">
        <v>159</v>
      </c>
      <c r="AMO14" s="497"/>
      <c r="AMP14" s="497"/>
      <c r="AMQ14" s="498"/>
      <c r="AMR14" s="81" t="s">
        <v>159</v>
      </c>
      <c r="AMS14" s="81"/>
      <c r="AMT14" s="496" t="s">
        <v>159</v>
      </c>
      <c r="AMU14" s="497"/>
      <c r="AMV14" s="497"/>
      <c r="AMW14" s="498"/>
      <c r="AMX14" s="81" t="s">
        <v>159</v>
      </c>
      <c r="AMY14" s="496" t="s">
        <v>159</v>
      </c>
      <c r="AMZ14" s="497"/>
      <c r="ANA14" s="497"/>
      <c r="ANB14" s="498"/>
      <c r="ANC14" s="81" t="s">
        <v>159</v>
      </c>
      <c r="AND14" s="479"/>
      <c r="ANE14" s="511"/>
      <c r="ANF14" s="487"/>
      <c r="ANG14" s="487"/>
      <c r="ANH14" s="487"/>
      <c r="ANI14" s="488"/>
      <c r="ANJ14" s="496" t="s">
        <v>159</v>
      </c>
      <c r="ANK14" s="497"/>
      <c r="ANL14" s="497"/>
      <c r="ANM14" s="498"/>
      <c r="ANN14" s="517"/>
      <c r="ANO14" s="496" t="s">
        <v>159</v>
      </c>
      <c r="ANP14" s="497"/>
      <c r="ANQ14" s="497"/>
      <c r="ANR14" s="498"/>
      <c r="ANS14" s="81" t="s">
        <v>718</v>
      </c>
      <c r="ANT14" s="81"/>
      <c r="ANU14" s="496" t="s">
        <v>159</v>
      </c>
      <c r="ANV14" s="497"/>
      <c r="ANW14" s="497"/>
      <c r="ANX14" s="498"/>
      <c r="ANY14" s="517"/>
      <c r="ANZ14" s="496" t="s">
        <v>159</v>
      </c>
      <c r="AOA14" s="497"/>
      <c r="AOB14" s="497"/>
      <c r="AOC14" s="498"/>
      <c r="AOD14" s="81" t="s">
        <v>678</v>
      </c>
      <c r="AOE14" s="479"/>
      <c r="AOF14" s="511"/>
      <c r="AOG14" s="487"/>
      <c r="AOH14" s="487"/>
      <c r="AOI14" s="487"/>
      <c r="AOJ14" s="488"/>
      <c r="AOK14" s="496" t="s">
        <v>159</v>
      </c>
      <c r="AOL14" s="497"/>
      <c r="AOM14" s="497"/>
      <c r="AON14" s="498"/>
      <c r="AOO14" s="81" t="s">
        <v>521</v>
      </c>
      <c r="AOP14" s="496" t="s">
        <v>159</v>
      </c>
      <c r="AOQ14" s="497"/>
      <c r="AOR14" s="497"/>
      <c r="AOS14" s="498"/>
      <c r="AOT14" s="517"/>
      <c r="AOU14" s="81"/>
      <c r="AOV14" s="496" t="s">
        <v>159</v>
      </c>
      <c r="AOW14" s="497"/>
      <c r="AOX14" s="497"/>
      <c r="AOY14" s="498"/>
      <c r="AOZ14" s="517"/>
      <c r="APA14" s="496"/>
      <c r="APB14" s="497"/>
      <c r="APC14" s="497"/>
      <c r="APD14" s="498"/>
      <c r="APE14" s="81"/>
    </row>
    <row r="15" spans="1:1097" ht="45" customHeight="1" x14ac:dyDescent="0.4">
      <c r="A15" s="479"/>
      <c r="B15" s="507" t="s">
        <v>1</v>
      </c>
      <c r="C15" s="485"/>
      <c r="D15" s="485"/>
      <c r="E15" s="485"/>
      <c r="F15" s="486"/>
      <c r="G15" s="584">
        <v>0.5</v>
      </c>
      <c r="H15" s="585"/>
      <c r="I15" s="585"/>
      <c r="J15" s="586"/>
      <c r="K15" s="82">
        <v>0.52083333333333337</v>
      </c>
      <c r="L15" s="584">
        <v>0.5</v>
      </c>
      <c r="M15" s="585"/>
      <c r="N15" s="585"/>
      <c r="O15" s="586"/>
      <c r="P15" s="517"/>
      <c r="Q15" s="584">
        <v>0.5</v>
      </c>
      <c r="R15" s="585"/>
      <c r="S15" s="585"/>
      <c r="T15" s="586"/>
      <c r="U15" s="517"/>
      <c r="V15" s="584">
        <v>0.5</v>
      </c>
      <c r="W15" s="585"/>
      <c r="X15" s="585"/>
      <c r="Y15" s="586"/>
      <c r="Z15" s="82">
        <v>0.54166666666666663</v>
      </c>
      <c r="AA15" s="479"/>
      <c r="AB15" s="507" t="s">
        <v>1</v>
      </c>
      <c r="AC15" s="485"/>
      <c r="AD15" s="485"/>
      <c r="AE15" s="485"/>
      <c r="AF15" s="486"/>
      <c r="AG15" s="584">
        <v>0.5</v>
      </c>
      <c r="AH15" s="585"/>
      <c r="AI15" s="585"/>
      <c r="AJ15" s="586"/>
      <c r="AK15" s="82">
        <v>0.52083333333333337</v>
      </c>
      <c r="AL15" s="584">
        <v>0.5</v>
      </c>
      <c r="AM15" s="585"/>
      <c r="AN15" s="585"/>
      <c r="AO15" s="586"/>
      <c r="AP15" s="82">
        <v>0.5</v>
      </c>
      <c r="AQ15" s="584">
        <v>0.5</v>
      </c>
      <c r="AR15" s="585"/>
      <c r="AS15" s="585"/>
      <c r="AT15" s="586"/>
      <c r="AU15" s="517"/>
      <c r="AV15" s="584">
        <v>0.52083333333333337</v>
      </c>
      <c r="AW15" s="585"/>
      <c r="AX15" s="585"/>
      <c r="AY15" s="586"/>
      <c r="AZ15" s="82">
        <v>0.5</v>
      </c>
      <c r="BA15" s="479"/>
      <c r="BB15" s="507" t="s">
        <v>1</v>
      </c>
      <c r="BC15" s="485"/>
      <c r="BD15" s="485"/>
      <c r="BE15" s="485"/>
      <c r="BF15" s="486"/>
      <c r="BG15" s="584">
        <v>0.5</v>
      </c>
      <c r="BH15" s="585"/>
      <c r="BI15" s="585"/>
      <c r="BJ15" s="586"/>
      <c r="BK15" s="82">
        <v>0.5</v>
      </c>
      <c r="BL15" s="584">
        <v>0.5</v>
      </c>
      <c r="BM15" s="585"/>
      <c r="BN15" s="585"/>
      <c r="BO15" s="586"/>
      <c r="BP15" s="82">
        <v>0.5</v>
      </c>
      <c r="BQ15" s="584">
        <v>0.5</v>
      </c>
      <c r="BR15" s="585"/>
      <c r="BS15" s="585"/>
      <c r="BT15" s="586"/>
      <c r="BU15" s="517"/>
      <c r="BV15" s="584">
        <v>0.5</v>
      </c>
      <c r="BW15" s="585"/>
      <c r="BX15" s="585"/>
      <c r="BY15" s="586"/>
      <c r="BZ15" s="82">
        <v>0.52083333333333337</v>
      </c>
      <c r="CA15" s="479"/>
      <c r="CB15" s="507" t="s">
        <v>1</v>
      </c>
      <c r="CC15" s="485"/>
      <c r="CD15" s="485"/>
      <c r="CE15" s="485"/>
      <c r="CF15" s="486"/>
      <c r="CG15" s="584">
        <v>0.52083333333333337</v>
      </c>
      <c r="CH15" s="585"/>
      <c r="CI15" s="585"/>
      <c r="CJ15" s="586"/>
      <c r="CK15" s="82">
        <v>0.5</v>
      </c>
      <c r="CL15" s="584">
        <v>0.52083333333333337</v>
      </c>
      <c r="CM15" s="585"/>
      <c r="CN15" s="585"/>
      <c r="CO15" s="586"/>
      <c r="CP15" s="517"/>
      <c r="CQ15" s="584">
        <v>0.52083333333333337</v>
      </c>
      <c r="CR15" s="585"/>
      <c r="CS15" s="585"/>
      <c r="CT15" s="586"/>
      <c r="CU15" s="82">
        <v>0.58333333333333337</v>
      </c>
      <c r="CV15" s="584">
        <v>0.52083333333333337</v>
      </c>
      <c r="CW15" s="585"/>
      <c r="CX15" s="585"/>
      <c r="CY15" s="586"/>
      <c r="CZ15" s="82">
        <v>0.5625</v>
      </c>
      <c r="DA15" s="479"/>
      <c r="DB15" s="507" t="s">
        <v>1</v>
      </c>
      <c r="DC15" s="485"/>
      <c r="DD15" s="485"/>
      <c r="DE15" s="485"/>
      <c r="DF15" s="486"/>
      <c r="DG15" s="584">
        <v>0.5</v>
      </c>
      <c r="DH15" s="585"/>
      <c r="DI15" s="585"/>
      <c r="DJ15" s="586"/>
      <c r="DK15" s="82">
        <v>0.5</v>
      </c>
      <c r="DL15" s="584">
        <v>0.5</v>
      </c>
      <c r="DM15" s="585"/>
      <c r="DN15" s="585"/>
      <c r="DO15" s="586"/>
      <c r="DP15" s="82">
        <v>0.52083333333333337</v>
      </c>
      <c r="DQ15" s="584">
        <v>0.52083333333333337</v>
      </c>
      <c r="DR15" s="585"/>
      <c r="DS15" s="585"/>
      <c r="DT15" s="586"/>
      <c r="DU15" s="82">
        <v>0.52083333333333337</v>
      </c>
      <c r="DV15" s="584">
        <v>0.5</v>
      </c>
      <c r="DW15" s="585"/>
      <c r="DX15" s="585"/>
      <c r="DY15" s="586"/>
      <c r="DZ15" s="82">
        <v>0.52083333333333337</v>
      </c>
      <c r="EA15" s="479"/>
      <c r="EB15" s="507" t="s">
        <v>1</v>
      </c>
      <c r="EC15" s="485"/>
      <c r="ED15" s="485"/>
      <c r="EE15" s="485"/>
      <c r="EF15" s="486"/>
      <c r="EG15" s="584">
        <v>0.5</v>
      </c>
      <c r="EH15" s="585"/>
      <c r="EI15" s="585"/>
      <c r="EJ15" s="586"/>
      <c r="EK15" s="82">
        <v>0.41666666666666669</v>
      </c>
      <c r="EL15" s="584">
        <v>0.52083333333333337</v>
      </c>
      <c r="EM15" s="585"/>
      <c r="EN15" s="585"/>
      <c r="EO15" s="586"/>
      <c r="EP15" s="82">
        <v>0.52083333333333337</v>
      </c>
      <c r="EQ15" s="584">
        <v>0.5</v>
      </c>
      <c r="ER15" s="585"/>
      <c r="ES15" s="585"/>
      <c r="ET15" s="586"/>
      <c r="EU15" s="82">
        <v>0.52083333333333337</v>
      </c>
      <c r="EV15" s="584">
        <v>0.52083333333333337</v>
      </c>
      <c r="EW15" s="585"/>
      <c r="EX15" s="585"/>
      <c r="EY15" s="586"/>
      <c r="EZ15" s="82">
        <v>0.5</v>
      </c>
      <c r="FA15" s="479"/>
      <c r="FB15" s="507" t="s">
        <v>1</v>
      </c>
      <c r="FC15" s="485"/>
      <c r="FD15" s="485"/>
      <c r="FE15" s="485"/>
      <c r="FF15" s="486"/>
      <c r="FG15" s="584">
        <v>0.5</v>
      </c>
      <c r="FH15" s="585"/>
      <c r="FI15" s="585"/>
      <c r="FJ15" s="586"/>
      <c r="FK15" s="82">
        <v>0.5</v>
      </c>
      <c r="FL15" s="584">
        <v>0.52083333333333337</v>
      </c>
      <c r="FM15" s="585"/>
      <c r="FN15" s="585"/>
      <c r="FO15" s="586"/>
      <c r="FP15" s="82">
        <v>0.52083333333333337</v>
      </c>
      <c r="FQ15" s="584">
        <v>0.54166666666666663</v>
      </c>
      <c r="FR15" s="585"/>
      <c r="FS15" s="585"/>
      <c r="FT15" s="586"/>
      <c r="FU15" s="82">
        <v>0.5</v>
      </c>
      <c r="FV15" s="584">
        <v>0.5</v>
      </c>
      <c r="FW15" s="585"/>
      <c r="FX15" s="585"/>
      <c r="FY15" s="586"/>
      <c r="FZ15" s="82">
        <v>0.41666666666666669</v>
      </c>
      <c r="GA15" s="479"/>
      <c r="GB15" s="507" t="s">
        <v>1</v>
      </c>
      <c r="GC15" s="485"/>
      <c r="GD15" s="485"/>
      <c r="GE15" s="485"/>
      <c r="GF15" s="486"/>
      <c r="GG15" s="584">
        <v>0.52083333333333337</v>
      </c>
      <c r="GH15" s="585"/>
      <c r="GI15" s="585"/>
      <c r="GJ15" s="586"/>
      <c r="GK15" s="82">
        <v>0.54166666666666663</v>
      </c>
      <c r="GL15" s="584">
        <v>0.5</v>
      </c>
      <c r="GM15" s="585"/>
      <c r="GN15" s="585"/>
      <c r="GO15" s="586"/>
      <c r="GP15" s="82">
        <v>0.4375</v>
      </c>
      <c r="GQ15" s="584">
        <v>0.52083333333333337</v>
      </c>
      <c r="GR15" s="585"/>
      <c r="GS15" s="585"/>
      <c r="GT15" s="586"/>
      <c r="GU15" s="82">
        <v>0.60416666666666663</v>
      </c>
      <c r="GV15" s="584">
        <v>0.5</v>
      </c>
      <c r="GW15" s="585"/>
      <c r="GX15" s="585"/>
      <c r="GY15" s="586"/>
      <c r="GZ15" s="82">
        <v>0.5</v>
      </c>
      <c r="HA15" s="479"/>
      <c r="HB15" s="507" t="s">
        <v>1</v>
      </c>
      <c r="HC15" s="485"/>
      <c r="HD15" s="485"/>
      <c r="HE15" s="485"/>
      <c r="HF15" s="486"/>
      <c r="HG15" s="584">
        <v>0.52083333333333337</v>
      </c>
      <c r="HH15" s="585"/>
      <c r="HI15" s="585"/>
      <c r="HJ15" s="586"/>
      <c r="HK15" s="517"/>
      <c r="HL15" s="584">
        <v>0.5</v>
      </c>
      <c r="HM15" s="585"/>
      <c r="HN15" s="585"/>
      <c r="HO15" s="586"/>
      <c r="HP15" s="82">
        <v>0.5</v>
      </c>
      <c r="HQ15" s="584">
        <v>0.52083333333333337</v>
      </c>
      <c r="HR15" s="585"/>
      <c r="HS15" s="585"/>
      <c r="HT15" s="586"/>
      <c r="HU15" s="82">
        <v>0.52083333333333337</v>
      </c>
      <c r="HV15" s="584">
        <v>0.52083333333333337</v>
      </c>
      <c r="HW15" s="585"/>
      <c r="HX15" s="585"/>
      <c r="HY15" s="586"/>
      <c r="HZ15" s="517"/>
      <c r="IA15" s="479"/>
      <c r="IB15" s="507" t="s">
        <v>1</v>
      </c>
      <c r="IC15" s="485"/>
      <c r="ID15" s="485"/>
      <c r="IE15" s="485"/>
      <c r="IF15" s="486"/>
      <c r="IG15" s="584">
        <v>0.5</v>
      </c>
      <c r="IH15" s="585"/>
      <c r="II15" s="585"/>
      <c r="IJ15" s="586"/>
      <c r="IK15" s="517"/>
      <c r="IL15" s="584">
        <v>0.5</v>
      </c>
      <c r="IM15" s="585"/>
      <c r="IN15" s="585"/>
      <c r="IO15" s="586"/>
      <c r="IP15" s="517"/>
      <c r="IQ15" s="584">
        <v>0.52083333333333337</v>
      </c>
      <c r="IR15" s="585"/>
      <c r="IS15" s="585"/>
      <c r="IT15" s="586"/>
      <c r="IU15" s="82">
        <v>0.52083333333333337</v>
      </c>
      <c r="IV15" s="584">
        <v>0.5</v>
      </c>
      <c r="IW15" s="585"/>
      <c r="IX15" s="585"/>
      <c r="IY15" s="586"/>
      <c r="IZ15" s="517"/>
      <c r="JA15" s="479"/>
      <c r="JB15" s="507" t="s">
        <v>1</v>
      </c>
      <c r="JC15" s="485"/>
      <c r="JD15" s="485"/>
      <c r="JE15" s="485"/>
      <c r="JF15" s="486"/>
      <c r="JG15" s="584">
        <v>0.52083333333333337</v>
      </c>
      <c r="JH15" s="585"/>
      <c r="JI15" s="585"/>
      <c r="JJ15" s="586"/>
      <c r="JK15" s="82">
        <v>0.52083333333333337</v>
      </c>
      <c r="JL15" s="584">
        <v>0.5</v>
      </c>
      <c r="JM15" s="585"/>
      <c r="JN15" s="585"/>
      <c r="JO15" s="586"/>
      <c r="JP15" s="82">
        <v>0.47916666666666669</v>
      </c>
      <c r="JQ15" s="584">
        <v>0.52083333333333337</v>
      </c>
      <c r="JR15" s="585"/>
      <c r="JS15" s="585"/>
      <c r="JT15" s="586"/>
      <c r="JU15" s="82">
        <v>0.5625</v>
      </c>
      <c r="JV15" s="584">
        <v>0.5</v>
      </c>
      <c r="JW15" s="585"/>
      <c r="JX15" s="585"/>
      <c r="JY15" s="586"/>
      <c r="JZ15" s="517"/>
      <c r="KA15" s="479"/>
      <c r="KB15" s="507" t="s">
        <v>1</v>
      </c>
      <c r="KC15" s="485"/>
      <c r="KD15" s="485"/>
      <c r="KE15" s="485"/>
      <c r="KF15" s="486"/>
      <c r="KG15" s="584">
        <v>0.5</v>
      </c>
      <c r="KH15" s="585"/>
      <c r="KI15" s="585"/>
      <c r="KJ15" s="586"/>
      <c r="KK15" s="82">
        <v>0.5</v>
      </c>
      <c r="KL15" s="584">
        <v>0.52083333333333337</v>
      </c>
      <c r="KM15" s="585"/>
      <c r="KN15" s="585"/>
      <c r="KO15" s="586"/>
      <c r="KP15" s="82">
        <v>0.47916666666666669</v>
      </c>
      <c r="KQ15" s="584">
        <v>0.52083333333333337</v>
      </c>
      <c r="KR15" s="585"/>
      <c r="KS15" s="585"/>
      <c r="KT15" s="586"/>
      <c r="KU15" s="82">
        <v>0.52083333333333337</v>
      </c>
      <c r="KV15" s="584">
        <v>0.52083333333333337</v>
      </c>
      <c r="KW15" s="585"/>
      <c r="KX15" s="585"/>
      <c r="KY15" s="586"/>
      <c r="KZ15" s="82">
        <v>0.5</v>
      </c>
      <c r="LA15" s="479"/>
      <c r="LB15" s="507" t="s">
        <v>1</v>
      </c>
      <c r="LC15" s="485"/>
      <c r="LD15" s="485"/>
      <c r="LE15" s="485"/>
      <c r="LF15" s="486"/>
      <c r="LG15" s="584">
        <v>0.5</v>
      </c>
      <c r="LH15" s="585"/>
      <c r="LI15" s="585"/>
      <c r="LJ15" s="586"/>
      <c r="LK15" s="82">
        <v>0.52083333333333337</v>
      </c>
      <c r="LL15" s="584">
        <v>0.5</v>
      </c>
      <c r="LM15" s="585"/>
      <c r="LN15" s="585"/>
      <c r="LO15" s="586"/>
      <c r="LP15" s="517"/>
      <c r="LQ15" s="584">
        <v>0.5</v>
      </c>
      <c r="LR15" s="585"/>
      <c r="LS15" s="585"/>
      <c r="LT15" s="586"/>
      <c r="LU15" s="517"/>
      <c r="LV15" s="584">
        <v>0.5</v>
      </c>
      <c r="LW15" s="585"/>
      <c r="LX15" s="585"/>
      <c r="LY15" s="586"/>
      <c r="LZ15" s="517"/>
      <c r="MA15" s="479"/>
      <c r="MB15" s="507" t="s">
        <v>1</v>
      </c>
      <c r="MC15" s="485"/>
      <c r="MD15" s="485"/>
      <c r="ME15" s="485"/>
      <c r="MF15" s="486"/>
      <c r="MG15" s="584">
        <v>0.52083333333333337</v>
      </c>
      <c r="MH15" s="585"/>
      <c r="MI15" s="585"/>
      <c r="MJ15" s="586"/>
      <c r="MK15" s="517"/>
      <c r="ML15" s="584">
        <v>0.5</v>
      </c>
      <c r="MM15" s="585"/>
      <c r="MN15" s="585"/>
      <c r="MO15" s="586"/>
      <c r="MP15" s="82">
        <v>0.45833333333333331</v>
      </c>
      <c r="MQ15" s="584">
        <v>0.52083333333333337</v>
      </c>
      <c r="MR15" s="585"/>
      <c r="MS15" s="585"/>
      <c r="MT15" s="586"/>
      <c r="MU15" s="517"/>
      <c r="MV15" s="584">
        <v>0.52083333333333337</v>
      </c>
      <c r="MW15" s="585"/>
      <c r="MX15" s="585"/>
      <c r="MY15" s="586"/>
      <c r="MZ15" s="517"/>
      <c r="NA15" s="479"/>
      <c r="NB15" s="507" t="s">
        <v>1</v>
      </c>
      <c r="NC15" s="485"/>
      <c r="ND15" s="485"/>
      <c r="NE15" s="485"/>
      <c r="NF15" s="486"/>
      <c r="NG15" s="584">
        <v>0.52083333333333337</v>
      </c>
      <c r="NH15" s="585"/>
      <c r="NI15" s="585"/>
      <c r="NJ15" s="586"/>
      <c r="NK15" s="517"/>
      <c r="NL15" s="584">
        <v>0.5</v>
      </c>
      <c r="NM15" s="585"/>
      <c r="NN15" s="585"/>
      <c r="NO15" s="586"/>
      <c r="NP15" s="517"/>
      <c r="NQ15" s="584">
        <v>0.5</v>
      </c>
      <c r="NR15" s="585"/>
      <c r="NS15" s="585"/>
      <c r="NT15" s="586"/>
      <c r="NU15" s="517"/>
      <c r="NV15" s="584">
        <v>0.5</v>
      </c>
      <c r="NW15" s="585"/>
      <c r="NX15" s="585"/>
      <c r="NY15" s="586"/>
      <c r="NZ15" s="517"/>
      <c r="OA15" s="479"/>
      <c r="OB15" s="507" t="s">
        <v>1</v>
      </c>
      <c r="OC15" s="485"/>
      <c r="OD15" s="485"/>
      <c r="OE15" s="485"/>
      <c r="OF15" s="486"/>
      <c r="OG15" s="584">
        <v>0.5</v>
      </c>
      <c r="OH15" s="585"/>
      <c r="OI15" s="585"/>
      <c r="OJ15" s="586"/>
      <c r="OK15" s="517"/>
      <c r="OL15" s="584">
        <v>0.39583333333333331</v>
      </c>
      <c r="OM15" s="585"/>
      <c r="ON15" s="585"/>
      <c r="OO15" s="586"/>
      <c r="OP15" s="82">
        <v>0.39583333333333331</v>
      </c>
      <c r="OQ15" s="584">
        <v>0.4375</v>
      </c>
      <c r="OR15" s="585"/>
      <c r="OS15" s="585"/>
      <c r="OT15" s="586"/>
      <c r="OU15" s="517"/>
      <c r="OV15" s="584">
        <v>0.4375</v>
      </c>
      <c r="OW15" s="585"/>
      <c r="OX15" s="585"/>
      <c r="OY15" s="586"/>
      <c r="OZ15" s="517"/>
      <c r="PA15" s="479"/>
      <c r="PB15" s="507" t="s">
        <v>1</v>
      </c>
      <c r="PC15" s="485"/>
      <c r="PD15" s="485"/>
      <c r="PE15" s="485"/>
      <c r="PF15" s="486"/>
      <c r="PG15" s="584">
        <v>0.375</v>
      </c>
      <c r="PH15" s="585"/>
      <c r="PI15" s="585"/>
      <c r="PJ15" s="586"/>
      <c r="PK15" s="517"/>
      <c r="PL15" s="584">
        <v>0.4375</v>
      </c>
      <c r="PM15" s="585"/>
      <c r="PN15" s="585"/>
      <c r="PO15" s="586"/>
      <c r="PP15" s="517"/>
      <c r="PQ15" s="584">
        <v>0.45833333333333331</v>
      </c>
      <c r="PR15" s="585"/>
      <c r="PS15" s="585"/>
      <c r="PT15" s="586"/>
      <c r="PU15" s="517"/>
      <c r="PV15" s="584">
        <v>0.52083333333333337</v>
      </c>
      <c r="PW15" s="585"/>
      <c r="PX15" s="585"/>
      <c r="PY15" s="586"/>
      <c r="PZ15" s="517"/>
      <c r="QA15" s="479"/>
      <c r="QB15" s="507" t="s">
        <v>1</v>
      </c>
      <c r="QC15" s="485"/>
      <c r="QD15" s="485"/>
      <c r="QE15" s="485"/>
      <c r="QF15" s="486"/>
      <c r="QG15" s="584">
        <v>0.45833333333333331</v>
      </c>
      <c r="QH15" s="585"/>
      <c r="QI15" s="585"/>
      <c r="QJ15" s="586"/>
      <c r="QK15" s="517"/>
      <c r="QL15" s="584">
        <v>0.5</v>
      </c>
      <c r="QM15" s="585"/>
      <c r="QN15" s="585"/>
      <c r="QO15" s="586"/>
      <c r="QP15" s="82">
        <v>0.45833333333333331</v>
      </c>
      <c r="QQ15" s="584">
        <v>0.47916666666666669</v>
      </c>
      <c r="QR15" s="585"/>
      <c r="QS15" s="585"/>
      <c r="QT15" s="586"/>
      <c r="QU15" s="82">
        <v>0.45833333333333331</v>
      </c>
      <c r="QV15" s="584">
        <v>0.5</v>
      </c>
      <c r="QW15" s="585"/>
      <c r="QX15" s="585"/>
      <c r="QY15" s="586"/>
      <c r="QZ15" s="517"/>
      <c r="RA15" s="479"/>
      <c r="RB15" s="507" t="s">
        <v>1</v>
      </c>
      <c r="RC15" s="485"/>
      <c r="RD15" s="485"/>
      <c r="RE15" s="485"/>
      <c r="RF15" s="486"/>
      <c r="RG15" s="584">
        <v>0.5</v>
      </c>
      <c r="RH15" s="585"/>
      <c r="RI15" s="585"/>
      <c r="RJ15" s="586"/>
      <c r="RK15" s="517"/>
      <c r="RL15" s="584">
        <v>0.5</v>
      </c>
      <c r="RM15" s="585"/>
      <c r="RN15" s="585"/>
      <c r="RO15" s="586"/>
      <c r="RP15" s="82">
        <v>0.45833333333333331</v>
      </c>
      <c r="RQ15" s="584">
        <v>0.4375</v>
      </c>
      <c r="RR15" s="585"/>
      <c r="RS15" s="585"/>
      <c r="RT15" s="586"/>
      <c r="RU15" s="82">
        <v>0.47916666666666669</v>
      </c>
      <c r="RV15" s="584">
        <v>0.52083333333333337</v>
      </c>
      <c r="RW15" s="585"/>
      <c r="RX15" s="585"/>
      <c r="RY15" s="586"/>
      <c r="RZ15" s="517"/>
      <c r="SA15" s="479"/>
      <c r="SB15" s="507" t="s">
        <v>1</v>
      </c>
      <c r="SC15" s="485"/>
      <c r="SD15" s="485"/>
      <c r="SE15" s="485"/>
      <c r="SF15" s="486"/>
      <c r="SG15" s="584">
        <v>0.5</v>
      </c>
      <c r="SH15" s="585"/>
      <c r="SI15" s="585"/>
      <c r="SJ15" s="586"/>
      <c r="SK15" s="82">
        <v>0.47916666666666669</v>
      </c>
      <c r="SL15" s="584">
        <v>0.4375</v>
      </c>
      <c r="SM15" s="585"/>
      <c r="SN15" s="585"/>
      <c r="SO15" s="586"/>
      <c r="SP15" s="82">
        <v>0.47916666666666669</v>
      </c>
      <c r="SQ15" s="584">
        <v>0.5</v>
      </c>
      <c r="SR15" s="585"/>
      <c r="SS15" s="585"/>
      <c r="ST15" s="586"/>
      <c r="SU15" s="517"/>
      <c r="SV15" s="584">
        <v>0.5</v>
      </c>
      <c r="SW15" s="585"/>
      <c r="SX15" s="585"/>
      <c r="SY15" s="586"/>
      <c r="SZ15" s="517"/>
      <c r="TA15" s="479"/>
      <c r="TB15" s="507" t="s">
        <v>1</v>
      </c>
      <c r="TC15" s="485"/>
      <c r="TD15" s="485"/>
      <c r="TE15" s="485"/>
      <c r="TF15" s="486"/>
      <c r="TG15" s="584">
        <v>0.5</v>
      </c>
      <c r="TH15" s="585"/>
      <c r="TI15" s="585"/>
      <c r="TJ15" s="586"/>
      <c r="TK15" s="517"/>
      <c r="TL15" s="584">
        <v>0.5</v>
      </c>
      <c r="TM15" s="585"/>
      <c r="TN15" s="585"/>
      <c r="TO15" s="586"/>
      <c r="TP15" s="82"/>
      <c r="TQ15" s="517"/>
      <c r="TR15" s="584">
        <v>0.5</v>
      </c>
      <c r="TS15" s="585"/>
      <c r="TT15" s="585"/>
      <c r="TU15" s="586"/>
      <c r="TV15" s="517"/>
      <c r="TW15" s="584">
        <v>0.5</v>
      </c>
      <c r="TX15" s="585"/>
      <c r="TY15" s="585"/>
      <c r="TZ15" s="586"/>
      <c r="UA15" s="517"/>
      <c r="UB15" s="479"/>
      <c r="UC15" s="507" t="s">
        <v>1</v>
      </c>
      <c r="UD15" s="485"/>
      <c r="UE15" s="485"/>
      <c r="UF15" s="485"/>
      <c r="UG15" s="486"/>
      <c r="UH15" s="584">
        <v>0.5</v>
      </c>
      <c r="UI15" s="585"/>
      <c r="UJ15" s="585"/>
      <c r="UK15" s="586"/>
      <c r="UL15" s="82">
        <v>0.47916666666666669</v>
      </c>
      <c r="UM15" s="584">
        <v>0.5</v>
      </c>
      <c r="UN15" s="585"/>
      <c r="UO15" s="585"/>
      <c r="UP15" s="586"/>
      <c r="UQ15" s="517"/>
      <c r="UR15" s="584">
        <v>0.41666666666666669</v>
      </c>
      <c r="US15" s="585"/>
      <c r="UT15" s="585"/>
      <c r="UU15" s="586"/>
      <c r="UV15" s="517"/>
      <c r="UW15" s="584">
        <v>0.5</v>
      </c>
      <c r="UX15" s="585"/>
      <c r="UY15" s="585"/>
      <c r="UZ15" s="586"/>
      <c r="VA15" s="82">
        <v>0.54166666666666663</v>
      </c>
      <c r="VB15" s="479"/>
      <c r="VC15" s="507" t="s">
        <v>1</v>
      </c>
      <c r="VD15" s="485"/>
      <c r="VE15" s="485"/>
      <c r="VF15" s="485"/>
      <c r="VG15" s="486"/>
      <c r="VH15" s="584">
        <v>0.5</v>
      </c>
      <c r="VI15" s="585"/>
      <c r="VJ15" s="585"/>
      <c r="VK15" s="586"/>
      <c r="VL15" s="517"/>
      <c r="VM15" s="584">
        <v>0.5</v>
      </c>
      <c r="VN15" s="585"/>
      <c r="VO15" s="585"/>
      <c r="VP15" s="586"/>
      <c r="VQ15" s="517"/>
      <c r="VR15" s="584">
        <v>0.5</v>
      </c>
      <c r="VS15" s="585"/>
      <c r="VT15" s="585"/>
      <c r="VU15" s="586"/>
      <c r="VV15" s="517"/>
      <c r="VW15" s="584">
        <v>0.5</v>
      </c>
      <c r="VX15" s="585"/>
      <c r="VY15" s="585"/>
      <c r="VZ15" s="586"/>
      <c r="WA15" s="517"/>
      <c r="WB15" s="479"/>
      <c r="WC15" s="507" t="s">
        <v>1</v>
      </c>
      <c r="WD15" s="485"/>
      <c r="WE15" s="485"/>
      <c r="WF15" s="485"/>
      <c r="WG15" s="486"/>
      <c r="WH15" s="584">
        <v>0.5</v>
      </c>
      <c r="WI15" s="585"/>
      <c r="WJ15" s="585"/>
      <c r="WK15" s="586"/>
      <c r="WL15" s="82">
        <v>0.54166666666666663</v>
      </c>
      <c r="WM15" s="584">
        <v>0.5</v>
      </c>
      <c r="WN15" s="585"/>
      <c r="WO15" s="585"/>
      <c r="WP15" s="586"/>
      <c r="WQ15" s="82">
        <v>0.5</v>
      </c>
      <c r="WR15" s="584">
        <v>0.5</v>
      </c>
      <c r="WS15" s="585"/>
      <c r="WT15" s="585"/>
      <c r="WU15" s="586"/>
      <c r="WV15" s="82">
        <v>0.5</v>
      </c>
      <c r="WW15" s="584">
        <v>0.5</v>
      </c>
      <c r="WX15" s="585"/>
      <c r="WY15" s="585"/>
      <c r="WZ15" s="586"/>
      <c r="XA15" s="82">
        <v>0.52083333333333337</v>
      </c>
      <c r="XB15" s="479"/>
      <c r="XC15" s="507" t="s">
        <v>1</v>
      </c>
      <c r="XD15" s="485"/>
      <c r="XE15" s="485"/>
      <c r="XF15" s="485"/>
      <c r="XG15" s="486"/>
      <c r="XH15" s="584">
        <v>0.52083333333333337</v>
      </c>
      <c r="XI15" s="585"/>
      <c r="XJ15" s="585"/>
      <c r="XK15" s="586"/>
      <c r="XL15" s="82">
        <v>0.52083333333333337</v>
      </c>
      <c r="XM15" s="584">
        <v>0.5</v>
      </c>
      <c r="XN15" s="585"/>
      <c r="XO15" s="585"/>
      <c r="XP15" s="586"/>
      <c r="XQ15" s="82">
        <v>0.52083333333333337</v>
      </c>
      <c r="XR15" s="584">
        <v>0.5</v>
      </c>
      <c r="XS15" s="585"/>
      <c r="XT15" s="585"/>
      <c r="XU15" s="586"/>
      <c r="XV15" s="517"/>
      <c r="XW15" s="584">
        <v>0.5</v>
      </c>
      <c r="XX15" s="585"/>
      <c r="XY15" s="585"/>
      <c r="XZ15" s="586"/>
      <c r="YA15" s="82">
        <v>0.5</v>
      </c>
      <c r="YB15" s="479"/>
      <c r="YC15" s="507" t="s">
        <v>1</v>
      </c>
      <c r="YD15" s="485"/>
      <c r="YE15" s="485"/>
      <c r="YF15" s="485"/>
      <c r="YG15" s="486"/>
      <c r="YH15" s="584">
        <v>0.5</v>
      </c>
      <c r="YI15" s="585"/>
      <c r="YJ15" s="585"/>
      <c r="YK15" s="586"/>
      <c r="YL15" s="517"/>
      <c r="YM15" s="584">
        <v>0.5</v>
      </c>
      <c r="YN15" s="585"/>
      <c r="YO15" s="585"/>
      <c r="YP15" s="586"/>
      <c r="YQ15" s="517"/>
      <c r="YR15" s="584">
        <v>0.5</v>
      </c>
      <c r="YS15" s="585"/>
      <c r="YT15" s="585"/>
      <c r="YU15" s="586"/>
      <c r="YV15" s="517"/>
      <c r="YW15" s="584">
        <v>0.5</v>
      </c>
      <c r="YX15" s="585"/>
      <c r="YY15" s="585"/>
      <c r="YZ15" s="586"/>
      <c r="ZA15" s="82">
        <v>0.52083333333333337</v>
      </c>
      <c r="ZB15" s="479"/>
      <c r="ZC15" s="507" t="s">
        <v>1</v>
      </c>
      <c r="ZD15" s="485"/>
      <c r="ZE15" s="485"/>
      <c r="ZF15" s="485"/>
      <c r="ZG15" s="486"/>
      <c r="ZH15" s="584">
        <v>0.5</v>
      </c>
      <c r="ZI15" s="585"/>
      <c r="ZJ15" s="585"/>
      <c r="ZK15" s="586"/>
      <c r="ZL15" s="82">
        <v>0.5</v>
      </c>
      <c r="ZM15" s="584">
        <v>0.5</v>
      </c>
      <c r="ZN15" s="585"/>
      <c r="ZO15" s="585"/>
      <c r="ZP15" s="586"/>
      <c r="ZQ15" s="517"/>
      <c r="ZR15" s="584">
        <v>0.5</v>
      </c>
      <c r="ZS15" s="585"/>
      <c r="ZT15" s="585"/>
      <c r="ZU15" s="586"/>
      <c r="ZV15" s="82">
        <v>0.52083333333333337</v>
      </c>
      <c r="ZW15" s="584">
        <v>0.5</v>
      </c>
      <c r="ZX15" s="585"/>
      <c r="ZY15" s="585"/>
      <c r="ZZ15" s="586"/>
      <c r="AAA15" s="517"/>
      <c r="AAB15" s="479"/>
      <c r="AAC15" s="507" t="s">
        <v>1</v>
      </c>
      <c r="AAD15" s="485"/>
      <c r="AAE15" s="485"/>
      <c r="AAF15" s="485"/>
      <c r="AAG15" s="486"/>
      <c r="AAH15" s="584">
        <v>0.5</v>
      </c>
      <c r="AAI15" s="585"/>
      <c r="AAJ15" s="585"/>
      <c r="AAK15" s="586"/>
      <c r="AAL15" s="517"/>
      <c r="AAM15" s="584">
        <v>0.5</v>
      </c>
      <c r="AAN15" s="585"/>
      <c r="AAO15" s="585"/>
      <c r="AAP15" s="586"/>
      <c r="AAQ15" s="517"/>
      <c r="AAR15" s="584">
        <v>0.5</v>
      </c>
      <c r="AAS15" s="585"/>
      <c r="AAT15" s="585"/>
      <c r="AAU15" s="586"/>
      <c r="AAV15" s="82">
        <v>0.5</v>
      </c>
      <c r="AAW15" s="584">
        <v>0.5</v>
      </c>
      <c r="AAX15" s="585"/>
      <c r="AAY15" s="585"/>
      <c r="AAZ15" s="586"/>
      <c r="ABA15" s="517"/>
      <c r="ABB15" s="479"/>
      <c r="ABC15" s="507" t="s">
        <v>1</v>
      </c>
      <c r="ABD15" s="485"/>
      <c r="ABE15" s="485"/>
      <c r="ABF15" s="485"/>
      <c r="ABG15" s="486"/>
      <c r="ABH15" s="584">
        <v>0.5</v>
      </c>
      <c r="ABI15" s="585"/>
      <c r="ABJ15" s="585"/>
      <c r="ABK15" s="586"/>
      <c r="ABL15" s="82">
        <v>0.5</v>
      </c>
      <c r="ABM15" s="584">
        <v>0.5</v>
      </c>
      <c r="ABN15" s="585"/>
      <c r="ABO15" s="585"/>
      <c r="ABP15" s="586"/>
      <c r="ABQ15" s="82">
        <v>0.5</v>
      </c>
      <c r="ABR15" s="584">
        <v>0.5</v>
      </c>
      <c r="ABS15" s="585"/>
      <c r="ABT15" s="585"/>
      <c r="ABU15" s="586"/>
      <c r="ABV15" s="517"/>
      <c r="ABW15" s="584">
        <v>0.5</v>
      </c>
      <c r="ABX15" s="585"/>
      <c r="ABY15" s="585"/>
      <c r="ABZ15" s="586"/>
      <c r="ACA15" s="517"/>
      <c r="ACB15" s="479"/>
      <c r="ACC15" s="507" t="s">
        <v>1</v>
      </c>
      <c r="ACD15" s="485"/>
      <c r="ACE15" s="485"/>
      <c r="ACF15" s="485"/>
      <c r="ACG15" s="486"/>
      <c r="ACH15" s="584">
        <v>0.5</v>
      </c>
      <c r="ACI15" s="585"/>
      <c r="ACJ15" s="585"/>
      <c r="ACK15" s="586"/>
      <c r="ACL15" s="82">
        <v>0.52083333333333337</v>
      </c>
      <c r="ACM15" s="504">
        <v>0.49999999999999978</v>
      </c>
      <c r="ACN15" s="505"/>
      <c r="ACO15" s="505"/>
      <c r="ACP15" s="506"/>
      <c r="ACQ15" s="517"/>
      <c r="ACR15" s="504">
        <v>0.49999999999999978</v>
      </c>
      <c r="ACS15" s="505"/>
      <c r="ACT15" s="505"/>
      <c r="ACU15" s="506"/>
      <c r="ACV15" s="517"/>
      <c r="ACW15" s="504">
        <v>0.49999999999999978</v>
      </c>
      <c r="ACX15" s="505"/>
      <c r="ACY15" s="505"/>
      <c r="ACZ15" s="506"/>
      <c r="ADA15" s="517"/>
      <c r="ADB15" s="479"/>
      <c r="ADC15" s="507" t="s">
        <v>1</v>
      </c>
      <c r="ADD15" s="485"/>
      <c r="ADE15" s="485"/>
      <c r="ADF15" s="485"/>
      <c r="ADG15" s="486"/>
      <c r="ADH15" s="504">
        <v>0.49999999999999978</v>
      </c>
      <c r="ADI15" s="505"/>
      <c r="ADJ15" s="505"/>
      <c r="ADK15" s="506"/>
      <c r="ADL15" s="517"/>
      <c r="ADM15" s="504">
        <v>0.49999999999999978</v>
      </c>
      <c r="ADN15" s="505"/>
      <c r="ADO15" s="505"/>
      <c r="ADP15" s="506"/>
      <c r="ADQ15" s="517"/>
      <c r="ADR15" s="504">
        <v>0.49999999999999978</v>
      </c>
      <c r="ADS15" s="505"/>
      <c r="ADT15" s="505"/>
      <c r="ADU15" s="506"/>
      <c r="ADV15" s="517"/>
      <c r="ADW15" s="504">
        <v>0.49999999999999978</v>
      </c>
      <c r="ADX15" s="505"/>
      <c r="ADY15" s="505"/>
      <c r="ADZ15" s="506"/>
      <c r="AEA15" s="517"/>
      <c r="AEB15" s="479"/>
      <c r="AEC15" s="507" t="s">
        <v>1</v>
      </c>
      <c r="AED15" s="485"/>
      <c r="AEE15" s="485"/>
      <c r="AEF15" s="485"/>
      <c r="AEG15" s="486"/>
      <c r="AEH15" s="504">
        <v>0.49999999999999978</v>
      </c>
      <c r="AEI15" s="505"/>
      <c r="AEJ15" s="505"/>
      <c r="AEK15" s="506"/>
      <c r="AEL15" s="517"/>
      <c r="AEM15" s="504">
        <v>0.49999999999999978</v>
      </c>
      <c r="AEN15" s="505"/>
      <c r="AEO15" s="505"/>
      <c r="AEP15" s="506"/>
      <c r="AEQ15" s="403"/>
      <c r="AER15" s="517"/>
      <c r="AES15" s="504">
        <v>0.49999999999999978</v>
      </c>
      <c r="AET15" s="505"/>
      <c r="AEU15" s="505"/>
      <c r="AEV15" s="506"/>
      <c r="AEW15" s="517"/>
      <c r="AEX15" s="504">
        <v>0.49999999999999978</v>
      </c>
      <c r="AEY15" s="505"/>
      <c r="AEZ15" s="505"/>
      <c r="AFA15" s="506"/>
      <c r="AFB15" s="517"/>
      <c r="AFC15" s="479"/>
      <c r="AFD15" s="507" t="s">
        <v>1</v>
      </c>
      <c r="AFE15" s="485"/>
      <c r="AFF15" s="485"/>
      <c r="AFG15" s="485"/>
      <c r="AFH15" s="486"/>
      <c r="AFI15" s="504">
        <v>0.49999999999999978</v>
      </c>
      <c r="AFJ15" s="505"/>
      <c r="AFK15" s="505"/>
      <c r="AFL15" s="506"/>
      <c r="AFM15" s="517"/>
      <c r="AFN15" s="504">
        <v>0.52083333333333337</v>
      </c>
      <c r="AFO15" s="505"/>
      <c r="AFP15" s="505"/>
      <c r="AFQ15" s="506"/>
      <c r="AFR15" s="82">
        <v>0.54166666666666663</v>
      </c>
      <c r="AFS15" s="504">
        <v>0.5</v>
      </c>
      <c r="AFT15" s="505"/>
      <c r="AFU15" s="505"/>
      <c r="AFV15" s="506"/>
      <c r="AFW15" s="82">
        <v>0.52083333333333337</v>
      </c>
      <c r="AFX15" s="504">
        <v>0.5</v>
      </c>
      <c r="AFY15" s="505"/>
      <c r="AFZ15" s="505"/>
      <c r="AGA15" s="506"/>
      <c r="AGB15" s="82">
        <v>0.5625</v>
      </c>
      <c r="AGC15" s="479"/>
      <c r="AGD15" s="507" t="s">
        <v>1</v>
      </c>
      <c r="AGE15" s="485"/>
      <c r="AGF15" s="485"/>
      <c r="AGG15" s="485"/>
      <c r="AGH15" s="486"/>
      <c r="AGI15" s="504">
        <v>0.49999999999999978</v>
      </c>
      <c r="AGJ15" s="505"/>
      <c r="AGK15" s="505"/>
      <c r="AGL15" s="506"/>
      <c r="AGM15" s="82">
        <v>0.52083333333333337</v>
      </c>
      <c r="AGN15" s="504">
        <v>0.49999999999999978</v>
      </c>
      <c r="AGO15" s="505"/>
      <c r="AGP15" s="505"/>
      <c r="AGQ15" s="506"/>
      <c r="AGR15" s="517"/>
      <c r="AGS15" s="504">
        <v>0.49999999999999978</v>
      </c>
      <c r="AGT15" s="505"/>
      <c r="AGU15" s="505"/>
      <c r="AGV15" s="506"/>
      <c r="AGW15" s="517"/>
      <c r="AGX15" s="504">
        <v>0.49999999999999978</v>
      </c>
      <c r="AGY15" s="505"/>
      <c r="AGZ15" s="505"/>
      <c r="AHA15" s="506"/>
      <c r="AHB15" s="517"/>
      <c r="AHC15" s="479"/>
      <c r="AHD15" s="507" t="s">
        <v>1</v>
      </c>
      <c r="AHE15" s="485"/>
      <c r="AHF15" s="485"/>
      <c r="AHG15" s="485"/>
      <c r="AHH15" s="486"/>
      <c r="AHI15" s="504">
        <v>0.49999999999999978</v>
      </c>
      <c r="AHJ15" s="505"/>
      <c r="AHK15" s="505"/>
      <c r="AHL15" s="506"/>
      <c r="AHM15" s="82">
        <v>0.52083333333333337</v>
      </c>
      <c r="AHN15" s="504">
        <v>0.49999999999999978</v>
      </c>
      <c r="AHO15" s="505"/>
      <c r="AHP15" s="505"/>
      <c r="AHQ15" s="506"/>
      <c r="AHR15" s="517"/>
      <c r="AHS15" s="504">
        <v>0.49999999999999978</v>
      </c>
      <c r="AHT15" s="505"/>
      <c r="AHU15" s="505"/>
      <c r="AHV15" s="506"/>
      <c r="AHW15" s="517"/>
      <c r="AHX15" s="504">
        <v>0.54166666666666663</v>
      </c>
      <c r="AHY15" s="505"/>
      <c r="AHZ15" s="505"/>
      <c r="AIA15" s="506"/>
      <c r="AIB15" s="517"/>
      <c r="AIC15" s="479"/>
      <c r="AID15" s="507" t="s">
        <v>1</v>
      </c>
      <c r="AIE15" s="485"/>
      <c r="AIF15" s="485"/>
      <c r="AIG15" s="485"/>
      <c r="AIH15" s="486"/>
      <c r="AII15" s="504">
        <v>0.49999999999999978</v>
      </c>
      <c r="AIJ15" s="505"/>
      <c r="AIK15" s="505"/>
      <c r="AIL15" s="506"/>
      <c r="AIM15" s="517"/>
      <c r="AIN15" s="504">
        <v>0.52083333333333337</v>
      </c>
      <c r="AIO15" s="505"/>
      <c r="AIP15" s="505"/>
      <c r="AIQ15" s="506"/>
      <c r="AIR15" s="517"/>
      <c r="AIS15" s="504">
        <v>0.5625</v>
      </c>
      <c r="AIT15" s="505"/>
      <c r="AIU15" s="505"/>
      <c r="AIV15" s="506"/>
      <c r="AIW15" s="517"/>
      <c r="AIX15" s="504">
        <v>0.58333333333333337</v>
      </c>
      <c r="AIY15" s="505"/>
      <c r="AIZ15" s="505"/>
      <c r="AJA15" s="506"/>
      <c r="AJB15" s="517"/>
      <c r="AJC15" s="479"/>
      <c r="AJD15" s="507" t="s">
        <v>1</v>
      </c>
      <c r="AJE15" s="485"/>
      <c r="AJF15" s="485"/>
      <c r="AJG15" s="485"/>
      <c r="AJH15" s="486"/>
      <c r="AJI15" s="504">
        <v>0.5</v>
      </c>
      <c r="AJJ15" s="505"/>
      <c r="AJK15" s="505"/>
      <c r="AJL15" s="506"/>
      <c r="AJM15" s="517"/>
      <c r="AJN15" s="504">
        <v>0.58333333333333326</v>
      </c>
      <c r="AJO15" s="505"/>
      <c r="AJP15" s="505"/>
      <c r="AJQ15" s="506"/>
      <c r="AJR15" s="517"/>
      <c r="AJS15" s="504">
        <v>0.5</v>
      </c>
      <c r="AJT15" s="505"/>
      <c r="AJU15" s="505"/>
      <c r="AJV15" s="506"/>
      <c r="AJW15" s="82">
        <v>0.52083333333333337</v>
      </c>
      <c r="AJX15" s="504">
        <v>0.49999999999999978</v>
      </c>
      <c r="AJY15" s="505"/>
      <c r="AJZ15" s="505"/>
      <c r="AKA15" s="506"/>
      <c r="AKB15" s="41">
        <v>0.52083333333333337</v>
      </c>
      <c r="AKC15" s="479"/>
      <c r="AKD15" s="507" t="s">
        <v>1</v>
      </c>
      <c r="AKE15" s="485"/>
      <c r="AKF15" s="485"/>
      <c r="AKG15" s="485"/>
      <c r="AKH15" s="486"/>
      <c r="AKI15" s="504">
        <v>0.49999999999999978</v>
      </c>
      <c r="AKJ15" s="505"/>
      <c r="AKK15" s="505"/>
      <c r="AKL15" s="506"/>
      <c r="AKM15" s="517"/>
      <c r="AKN15" s="504">
        <v>0.54166666666666652</v>
      </c>
      <c r="AKO15" s="505"/>
      <c r="AKP15" s="505"/>
      <c r="AKQ15" s="506"/>
      <c r="AKR15" s="82">
        <v>0.52083333333333337</v>
      </c>
      <c r="AKS15" s="504">
        <v>0.5</v>
      </c>
      <c r="AKT15" s="505"/>
      <c r="AKU15" s="505"/>
      <c r="AKV15" s="506"/>
      <c r="AKW15" s="82">
        <v>0.5</v>
      </c>
      <c r="AKX15" s="504">
        <v>0.52083333333333315</v>
      </c>
      <c r="AKY15" s="505"/>
      <c r="AKZ15" s="505"/>
      <c r="ALA15" s="506"/>
      <c r="ALB15" s="82">
        <v>0.52083333333333337</v>
      </c>
      <c r="ALC15" s="479"/>
      <c r="ALD15" s="507" t="s">
        <v>1</v>
      </c>
      <c r="ALE15" s="485"/>
      <c r="ALF15" s="485"/>
      <c r="ALG15" s="485"/>
      <c r="ALH15" s="486"/>
      <c r="ALI15" s="504">
        <v>0.54166666666666663</v>
      </c>
      <c r="ALJ15" s="505"/>
      <c r="ALK15" s="505"/>
      <c r="ALL15" s="506"/>
      <c r="ALM15" s="82">
        <v>0.52083333333333337</v>
      </c>
      <c r="ALN15" s="504">
        <v>0.5</v>
      </c>
      <c r="ALO15" s="505"/>
      <c r="ALP15" s="505"/>
      <c r="ALQ15" s="506"/>
      <c r="ALR15" s="82">
        <v>0.52083333333333337</v>
      </c>
      <c r="ALS15" s="504">
        <v>0.49999999999999978</v>
      </c>
      <c r="ALT15" s="505"/>
      <c r="ALU15" s="505"/>
      <c r="ALV15" s="506"/>
      <c r="ALW15" s="82">
        <v>0.52083333333333337</v>
      </c>
      <c r="ALX15" s="504">
        <v>0.52083333333333315</v>
      </c>
      <c r="ALY15" s="505"/>
      <c r="ALZ15" s="505"/>
      <c r="AMA15" s="506"/>
      <c r="AMB15" s="82">
        <v>0.5</v>
      </c>
      <c r="AMC15" s="479"/>
      <c r="AMD15" s="507" t="s">
        <v>1</v>
      </c>
      <c r="AME15" s="485"/>
      <c r="AMF15" s="485"/>
      <c r="AMG15" s="485"/>
      <c r="AMH15" s="486"/>
      <c r="AMI15" s="504">
        <v>0.52083333333333315</v>
      </c>
      <c r="AMJ15" s="505"/>
      <c r="AMK15" s="505"/>
      <c r="AML15" s="506"/>
      <c r="AMM15" s="517"/>
      <c r="AMN15" s="504">
        <v>0.49999999999999978</v>
      </c>
      <c r="AMO15" s="505"/>
      <c r="AMP15" s="505"/>
      <c r="AMQ15" s="506"/>
      <c r="AMR15" s="82">
        <v>0.47916666666666669</v>
      </c>
      <c r="AMS15" s="82"/>
      <c r="AMT15" s="504">
        <v>0.49999999999999978</v>
      </c>
      <c r="AMU15" s="505"/>
      <c r="AMV15" s="505"/>
      <c r="AMW15" s="506"/>
      <c r="AMX15" s="82">
        <v>0.52083333333333337</v>
      </c>
      <c r="AMY15" s="504">
        <v>0.52083333333333315</v>
      </c>
      <c r="AMZ15" s="505"/>
      <c r="ANA15" s="505"/>
      <c r="ANB15" s="506"/>
      <c r="ANC15" s="82">
        <v>0.52083333333333337</v>
      </c>
      <c r="AND15" s="479"/>
      <c r="ANE15" s="507" t="s">
        <v>1</v>
      </c>
      <c r="ANF15" s="485"/>
      <c r="ANG15" s="485"/>
      <c r="ANH15" s="485"/>
      <c r="ANI15" s="486"/>
      <c r="ANJ15" s="504">
        <v>0.49999999999999978</v>
      </c>
      <c r="ANK15" s="505"/>
      <c r="ANL15" s="505"/>
      <c r="ANM15" s="506"/>
      <c r="ANN15" s="517"/>
      <c r="ANO15" s="504">
        <v>0.47916666666666669</v>
      </c>
      <c r="ANP15" s="505"/>
      <c r="ANQ15" s="505"/>
      <c r="ANR15" s="506"/>
      <c r="ANS15" s="82">
        <v>0.5625</v>
      </c>
      <c r="ANT15" s="82"/>
      <c r="ANU15" s="504">
        <v>0.52083333333333315</v>
      </c>
      <c r="ANV15" s="505"/>
      <c r="ANW15" s="505"/>
      <c r="ANX15" s="506"/>
      <c r="ANY15" s="517"/>
      <c r="ANZ15" s="504">
        <v>0.52083333333333315</v>
      </c>
      <c r="AOA15" s="505"/>
      <c r="AOB15" s="505"/>
      <c r="AOC15" s="506"/>
      <c r="AOD15" s="82">
        <v>0.47916666666666669</v>
      </c>
      <c r="AOE15" s="479"/>
      <c r="AOF15" s="507" t="s">
        <v>1</v>
      </c>
      <c r="AOG15" s="485"/>
      <c r="AOH15" s="485"/>
      <c r="AOI15" s="485"/>
      <c r="AOJ15" s="486"/>
      <c r="AOK15" s="504">
        <v>0.52083333333333315</v>
      </c>
      <c r="AOL15" s="505"/>
      <c r="AOM15" s="505"/>
      <c r="AON15" s="506"/>
      <c r="AOO15" s="82">
        <v>0.52083333333333337</v>
      </c>
      <c r="AOP15" s="504">
        <v>0.52083333333333337</v>
      </c>
      <c r="AOQ15" s="505"/>
      <c r="AOR15" s="505"/>
      <c r="AOS15" s="506"/>
      <c r="AOT15" s="517"/>
      <c r="AOU15" s="82"/>
      <c r="AOV15" s="504">
        <v>0.52083333333333315</v>
      </c>
      <c r="AOW15" s="505"/>
      <c r="AOX15" s="505"/>
      <c r="AOY15" s="506"/>
      <c r="AOZ15" s="517"/>
      <c r="APA15" s="504"/>
      <c r="APB15" s="505"/>
      <c r="APC15" s="505"/>
      <c r="APD15" s="506"/>
      <c r="APE15" s="82"/>
    </row>
    <row r="16" spans="1:1097" ht="30" customHeight="1" x14ac:dyDescent="0.4">
      <c r="A16" s="479"/>
      <c r="B16" s="508"/>
      <c r="C16" s="509"/>
      <c r="D16" s="509"/>
      <c r="E16" s="509"/>
      <c r="F16" s="510"/>
      <c r="G16" s="513" t="s">
        <v>160</v>
      </c>
      <c r="H16" s="514"/>
      <c r="I16" s="514"/>
      <c r="J16" s="515"/>
      <c r="K16" s="42" t="s">
        <v>673</v>
      </c>
      <c r="L16" s="513" t="s">
        <v>160</v>
      </c>
      <c r="M16" s="514"/>
      <c r="N16" s="514"/>
      <c r="O16" s="515"/>
      <c r="P16" s="517"/>
      <c r="Q16" s="513" t="s">
        <v>160</v>
      </c>
      <c r="R16" s="514"/>
      <c r="S16" s="514"/>
      <c r="T16" s="515"/>
      <c r="U16" s="517"/>
      <c r="V16" s="513" t="s">
        <v>160</v>
      </c>
      <c r="W16" s="514"/>
      <c r="X16" s="514"/>
      <c r="Y16" s="515"/>
      <c r="Z16" s="42" t="s">
        <v>673</v>
      </c>
      <c r="AA16" s="479"/>
      <c r="AB16" s="508"/>
      <c r="AC16" s="509"/>
      <c r="AD16" s="509"/>
      <c r="AE16" s="509"/>
      <c r="AF16" s="510"/>
      <c r="AG16" s="513" t="s">
        <v>160</v>
      </c>
      <c r="AH16" s="514"/>
      <c r="AI16" s="514"/>
      <c r="AJ16" s="515"/>
      <c r="AK16" s="42" t="s">
        <v>673</v>
      </c>
      <c r="AL16" s="513" t="s">
        <v>160</v>
      </c>
      <c r="AM16" s="514"/>
      <c r="AN16" s="514"/>
      <c r="AO16" s="515"/>
      <c r="AP16" s="42" t="s">
        <v>673</v>
      </c>
      <c r="AQ16" s="513" t="s">
        <v>160</v>
      </c>
      <c r="AR16" s="514"/>
      <c r="AS16" s="514"/>
      <c r="AT16" s="515"/>
      <c r="AU16" s="517"/>
      <c r="AV16" s="513" t="s">
        <v>160</v>
      </c>
      <c r="AW16" s="514"/>
      <c r="AX16" s="514"/>
      <c r="AY16" s="515"/>
      <c r="AZ16" s="42" t="s">
        <v>673</v>
      </c>
      <c r="BA16" s="479"/>
      <c r="BB16" s="508"/>
      <c r="BC16" s="509"/>
      <c r="BD16" s="509"/>
      <c r="BE16" s="509"/>
      <c r="BF16" s="510"/>
      <c r="BG16" s="513" t="s">
        <v>160</v>
      </c>
      <c r="BH16" s="514"/>
      <c r="BI16" s="514"/>
      <c r="BJ16" s="515"/>
      <c r="BK16" s="42" t="s">
        <v>673</v>
      </c>
      <c r="BL16" s="513" t="s">
        <v>160</v>
      </c>
      <c r="BM16" s="514"/>
      <c r="BN16" s="514"/>
      <c r="BO16" s="515"/>
      <c r="BP16" s="42" t="s">
        <v>673</v>
      </c>
      <c r="BQ16" s="513" t="s">
        <v>160</v>
      </c>
      <c r="BR16" s="514"/>
      <c r="BS16" s="514"/>
      <c r="BT16" s="515"/>
      <c r="BU16" s="517"/>
      <c r="BV16" s="513" t="s">
        <v>160</v>
      </c>
      <c r="BW16" s="514"/>
      <c r="BX16" s="514"/>
      <c r="BY16" s="515"/>
      <c r="BZ16" s="42" t="s">
        <v>673</v>
      </c>
      <c r="CA16" s="479"/>
      <c r="CB16" s="508"/>
      <c r="CC16" s="509"/>
      <c r="CD16" s="509"/>
      <c r="CE16" s="509"/>
      <c r="CF16" s="510"/>
      <c r="CG16" s="513" t="s">
        <v>160</v>
      </c>
      <c r="CH16" s="514"/>
      <c r="CI16" s="514"/>
      <c r="CJ16" s="515"/>
      <c r="CK16" s="42" t="s">
        <v>673</v>
      </c>
      <c r="CL16" s="513" t="s">
        <v>160</v>
      </c>
      <c r="CM16" s="514"/>
      <c r="CN16" s="514"/>
      <c r="CO16" s="515"/>
      <c r="CP16" s="517"/>
      <c r="CQ16" s="513" t="s">
        <v>160</v>
      </c>
      <c r="CR16" s="514"/>
      <c r="CS16" s="514"/>
      <c r="CT16" s="515"/>
      <c r="CU16" s="42" t="s">
        <v>673</v>
      </c>
      <c r="CV16" s="513" t="s">
        <v>160</v>
      </c>
      <c r="CW16" s="514"/>
      <c r="CX16" s="514"/>
      <c r="CY16" s="515"/>
      <c r="CZ16" s="42" t="s">
        <v>673</v>
      </c>
      <c r="DA16" s="479"/>
      <c r="DB16" s="508"/>
      <c r="DC16" s="509"/>
      <c r="DD16" s="509"/>
      <c r="DE16" s="509"/>
      <c r="DF16" s="510"/>
      <c r="DG16" s="513" t="s">
        <v>160</v>
      </c>
      <c r="DH16" s="514"/>
      <c r="DI16" s="514"/>
      <c r="DJ16" s="515"/>
      <c r="DK16" s="42" t="s">
        <v>673</v>
      </c>
      <c r="DL16" s="513" t="s">
        <v>160</v>
      </c>
      <c r="DM16" s="514"/>
      <c r="DN16" s="514"/>
      <c r="DO16" s="515"/>
      <c r="DP16" s="42" t="s">
        <v>673</v>
      </c>
      <c r="DQ16" s="513" t="s">
        <v>160</v>
      </c>
      <c r="DR16" s="514"/>
      <c r="DS16" s="514"/>
      <c r="DT16" s="515"/>
      <c r="DU16" s="42" t="s">
        <v>673</v>
      </c>
      <c r="DV16" s="513" t="s">
        <v>160</v>
      </c>
      <c r="DW16" s="514"/>
      <c r="DX16" s="514"/>
      <c r="DY16" s="515"/>
      <c r="DZ16" s="42" t="s">
        <v>673</v>
      </c>
      <c r="EA16" s="479"/>
      <c r="EB16" s="508"/>
      <c r="EC16" s="509"/>
      <c r="ED16" s="509"/>
      <c r="EE16" s="509"/>
      <c r="EF16" s="510"/>
      <c r="EG16" s="513" t="s">
        <v>160</v>
      </c>
      <c r="EH16" s="514"/>
      <c r="EI16" s="514"/>
      <c r="EJ16" s="515"/>
      <c r="EK16" s="42" t="s">
        <v>673</v>
      </c>
      <c r="EL16" s="513" t="s">
        <v>160</v>
      </c>
      <c r="EM16" s="514"/>
      <c r="EN16" s="514"/>
      <c r="EO16" s="515"/>
      <c r="EP16" s="42" t="s">
        <v>673</v>
      </c>
      <c r="EQ16" s="513" t="s">
        <v>160</v>
      </c>
      <c r="ER16" s="514"/>
      <c r="ES16" s="514"/>
      <c r="ET16" s="515"/>
      <c r="EU16" s="42" t="s">
        <v>673</v>
      </c>
      <c r="EV16" s="513" t="s">
        <v>160</v>
      </c>
      <c r="EW16" s="514"/>
      <c r="EX16" s="514"/>
      <c r="EY16" s="515"/>
      <c r="EZ16" s="42" t="s">
        <v>673</v>
      </c>
      <c r="FA16" s="479"/>
      <c r="FB16" s="508"/>
      <c r="FC16" s="509"/>
      <c r="FD16" s="509"/>
      <c r="FE16" s="509"/>
      <c r="FF16" s="510"/>
      <c r="FG16" s="513" t="s">
        <v>160</v>
      </c>
      <c r="FH16" s="514"/>
      <c r="FI16" s="514"/>
      <c r="FJ16" s="515"/>
      <c r="FK16" s="42" t="s">
        <v>673</v>
      </c>
      <c r="FL16" s="513" t="s">
        <v>160</v>
      </c>
      <c r="FM16" s="514"/>
      <c r="FN16" s="514"/>
      <c r="FO16" s="515"/>
      <c r="FP16" s="42" t="s">
        <v>673</v>
      </c>
      <c r="FQ16" s="513" t="s">
        <v>160</v>
      </c>
      <c r="FR16" s="514"/>
      <c r="FS16" s="514"/>
      <c r="FT16" s="515"/>
      <c r="FU16" s="42" t="s">
        <v>673</v>
      </c>
      <c r="FV16" s="513" t="s">
        <v>160</v>
      </c>
      <c r="FW16" s="514"/>
      <c r="FX16" s="514"/>
      <c r="FY16" s="515"/>
      <c r="FZ16" s="42" t="s">
        <v>673</v>
      </c>
      <c r="GA16" s="479"/>
      <c r="GB16" s="508"/>
      <c r="GC16" s="509"/>
      <c r="GD16" s="509"/>
      <c r="GE16" s="509"/>
      <c r="GF16" s="510"/>
      <c r="GG16" s="513" t="s">
        <v>160</v>
      </c>
      <c r="GH16" s="514"/>
      <c r="GI16" s="514"/>
      <c r="GJ16" s="515"/>
      <c r="GK16" s="42" t="s">
        <v>673</v>
      </c>
      <c r="GL16" s="513" t="s">
        <v>160</v>
      </c>
      <c r="GM16" s="514"/>
      <c r="GN16" s="514"/>
      <c r="GO16" s="515"/>
      <c r="GP16" s="42" t="s">
        <v>673</v>
      </c>
      <c r="GQ16" s="513" t="s">
        <v>160</v>
      </c>
      <c r="GR16" s="514"/>
      <c r="GS16" s="514"/>
      <c r="GT16" s="515"/>
      <c r="GU16" s="42" t="s">
        <v>673</v>
      </c>
      <c r="GV16" s="513" t="s">
        <v>160</v>
      </c>
      <c r="GW16" s="514"/>
      <c r="GX16" s="514"/>
      <c r="GY16" s="515"/>
      <c r="GZ16" s="42" t="s">
        <v>673</v>
      </c>
      <c r="HA16" s="479"/>
      <c r="HB16" s="508"/>
      <c r="HC16" s="509"/>
      <c r="HD16" s="509"/>
      <c r="HE16" s="509"/>
      <c r="HF16" s="510"/>
      <c r="HG16" s="513" t="s">
        <v>160</v>
      </c>
      <c r="HH16" s="514"/>
      <c r="HI16" s="514"/>
      <c r="HJ16" s="515"/>
      <c r="HK16" s="517"/>
      <c r="HL16" s="513" t="s">
        <v>160</v>
      </c>
      <c r="HM16" s="514"/>
      <c r="HN16" s="514"/>
      <c r="HO16" s="515"/>
      <c r="HP16" s="42" t="s">
        <v>673</v>
      </c>
      <c r="HQ16" s="513" t="s">
        <v>160</v>
      </c>
      <c r="HR16" s="514"/>
      <c r="HS16" s="514"/>
      <c r="HT16" s="515"/>
      <c r="HU16" s="42" t="s">
        <v>160</v>
      </c>
      <c r="HV16" s="513" t="s">
        <v>160</v>
      </c>
      <c r="HW16" s="514"/>
      <c r="HX16" s="514"/>
      <c r="HY16" s="515"/>
      <c r="HZ16" s="517"/>
      <c r="IA16" s="479"/>
      <c r="IB16" s="508"/>
      <c r="IC16" s="509"/>
      <c r="ID16" s="509"/>
      <c r="IE16" s="509"/>
      <c r="IF16" s="510"/>
      <c r="IG16" s="513" t="s">
        <v>160</v>
      </c>
      <c r="IH16" s="514"/>
      <c r="II16" s="514"/>
      <c r="IJ16" s="515"/>
      <c r="IK16" s="517"/>
      <c r="IL16" s="513" t="s">
        <v>160</v>
      </c>
      <c r="IM16" s="514"/>
      <c r="IN16" s="514"/>
      <c r="IO16" s="515"/>
      <c r="IP16" s="517"/>
      <c r="IQ16" s="513" t="s">
        <v>673</v>
      </c>
      <c r="IR16" s="514"/>
      <c r="IS16" s="514"/>
      <c r="IT16" s="515"/>
      <c r="IU16" s="42" t="s">
        <v>673</v>
      </c>
      <c r="IV16" s="513" t="s">
        <v>673</v>
      </c>
      <c r="IW16" s="514"/>
      <c r="IX16" s="514"/>
      <c r="IY16" s="515"/>
      <c r="IZ16" s="517"/>
      <c r="JA16" s="479"/>
      <c r="JB16" s="508"/>
      <c r="JC16" s="509"/>
      <c r="JD16" s="509"/>
      <c r="JE16" s="509"/>
      <c r="JF16" s="510"/>
      <c r="JG16" s="513" t="s">
        <v>673</v>
      </c>
      <c r="JH16" s="514"/>
      <c r="JI16" s="514"/>
      <c r="JJ16" s="515"/>
      <c r="JK16" s="42" t="s">
        <v>673</v>
      </c>
      <c r="JL16" s="513" t="s">
        <v>160</v>
      </c>
      <c r="JM16" s="514"/>
      <c r="JN16" s="514"/>
      <c r="JO16" s="515"/>
      <c r="JP16" s="42" t="s">
        <v>673</v>
      </c>
      <c r="JQ16" s="513" t="s">
        <v>160</v>
      </c>
      <c r="JR16" s="514"/>
      <c r="JS16" s="514"/>
      <c r="JT16" s="515"/>
      <c r="JU16" s="42" t="s">
        <v>673</v>
      </c>
      <c r="JV16" s="513" t="s">
        <v>160</v>
      </c>
      <c r="JW16" s="514"/>
      <c r="JX16" s="514"/>
      <c r="JY16" s="515"/>
      <c r="JZ16" s="517"/>
      <c r="KA16" s="479"/>
      <c r="KB16" s="508"/>
      <c r="KC16" s="509"/>
      <c r="KD16" s="509"/>
      <c r="KE16" s="509"/>
      <c r="KF16" s="510"/>
      <c r="KG16" s="513" t="s">
        <v>160</v>
      </c>
      <c r="KH16" s="514"/>
      <c r="KI16" s="514"/>
      <c r="KJ16" s="515"/>
      <c r="KK16" s="42" t="s">
        <v>673</v>
      </c>
      <c r="KL16" s="513" t="s">
        <v>673</v>
      </c>
      <c r="KM16" s="514"/>
      <c r="KN16" s="514"/>
      <c r="KO16" s="515"/>
      <c r="KP16" s="42" t="s">
        <v>673</v>
      </c>
      <c r="KQ16" s="513" t="s">
        <v>673</v>
      </c>
      <c r="KR16" s="514"/>
      <c r="KS16" s="514"/>
      <c r="KT16" s="515"/>
      <c r="KU16" s="42" t="s">
        <v>673</v>
      </c>
      <c r="KV16" s="513" t="s">
        <v>673</v>
      </c>
      <c r="KW16" s="514"/>
      <c r="KX16" s="514"/>
      <c r="KY16" s="515"/>
      <c r="KZ16" s="42" t="s">
        <v>673</v>
      </c>
      <c r="LA16" s="479"/>
      <c r="LB16" s="508"/>
      <c r="LC16" s="509"/>
      <c r="LD16" s="509"/>
      <c r="LE16" s="509"/>
      <c r="LF16" s="510"/>
      <c r="LG16" s="513" t="s">
        <v>160</v>
      </c>
      <c r="LH16" s="514"/>
      <c r="LI16" s="514"/>
      <c r="LJ16" s="515"/>
      <c r="LK16" s="42" t="s">
        <v>673</v>
      </c>
      <c r="LL16" s="513" t="s">
        <v>160</v>
      </c>
      <c r="LM16" s="514"/>
      <c r="LN16" s="514"/>
      <c r="LO16" s="515"/>
      <c r="LP16" s="517"/>
      <c r="LQ16" s="513" t="s">
        <v>160</v>
      </c>
      <c r="LR16" s="514"/>
      <c r="LS16" s="514"/>
      <c r="LT16" s="515"/>
      <c r="LU16" s="517"/>
      <c r="LV16" s="513" t="s">
        <v>160</v>
      </c>
      <c r="LW16" s="514"/>
      <c r="LX16" s="514"/>
      <c r="LY16" s="515"/>
      <c r="LZ16" s="517"/>
      <c r="MA16" s="479"/>
      <c r="MB16" s="508"/>
      <c r="MC16" s="509"/>
      <c r="MD16" s="509"/>
      <c r="ME16" s="509"/>
      <c r="MF16" s="510"/>
      <c r="MG16" s="513" t="s">
        <v>160</v>
      </c>
      <c r="MH16" s="514"/>
      <c r="MI16" s="514"/>
      <c r="MJ16" s="515"/>
      <c r="MK16" s="517"/>
      <c r="ML16" s="513" t="s">
        <v>160</v>
      </c>
      <c r="MM16" s="514"/>
      <c r="MN16" s="514"/>
      <c r="MO16" s="515"/>
      <c r="MP16" s="42" t="s">
        <v>673</v>
      </c>
      <c r="MQ16" s="513" t="s">
        <v>160</v>
      </c>
      <c r="MR16" s="514"/>
      <c r="MS16" s="514"/>
      <c r="MT16" s="515"/>
      <c r="MU16" s="517"/>
      <c r="MV16" s="513" t="s">
        <v>160</v>
      </c>
      <c r="MW16" s="514"/>
      <c r="MX16" s="514"/>
      <c r="MY16" s="515"/>
      <c r="MZ16" s="517"/>
      <c r="NA16" s="479"/>
      <c r="NB16" s="508"/>
      <c r="NC16" s="509"/>
      <c r="ND16" s="509"/>
      <c r="NE16" s="509"/>
      <c r="NF16" s="510"/>
      <c r="NG16" s="513" t="s">
        <v>160</v>
      </c>
      <c r="NH16" s="514"/>
      <c r="NI16" s="514"/>
      <c r="NJ16" s="515"/>
      <c r="NK16" s="517"/>
      <c r="NL16" s="513" t="s">
        <v>160</v>
      </c>
      <c r="NM16" s="514"/>
      <c r="NN16" s="514"/>
      <c r="NO16" s="515"/>
      <c r="NP16" s="517"/>
      <c r="NQ16" s="513" t="s">
        <v>160</v>
      </c>
      <c r="NR16" s="514"/>
      <c r="NS16" s="514"/>
      <c r="NT16" s="515"/>
      <c r="NU16" s="517"/>
      <c r="NV16" s="513" t="s">
        <v>160</v>
      </c>
      <c r="NW16" s="514"/>
      <c r="NX16" s="514"/>
      <c r="NY16" s="515"/>
      <c r="NZ16" s="517"/>
      <c r="OA16" s="479"/>
      <c r="OB16" s="508"/>
      <c r="OC16" s="509"/>
      <c r="OD16" s="509"/>
      <c r="OE16" s="509"/>
      <c r="OF16" s="510"/>
      <c r="OG16" s="513" t="s">
        <v>160</v>
      </c>
      <c r="OH16" s="514"/>
      <c r="OI16" s="514"/>
      <c r="OJ16" s="515"/>
      <c r="OK16" s="517"/>
      <c r="OL16" s="513" t="s">
        <v>160</v>
      </c>
      <c r="OM16" s="514"/>
      <c r="ON16" s="514"/>
      <c r="OO16" s="515"/>
      <c r="OP16" s="42" t="s">
        <v>673</v>
      </c>
      <c r="OQ16" s="513" t="s">
        <v>160</v>
      </c>
      <c r="OR16" s="514"/>
      <c r="OS16" s="514"/>
      <c r="OT16" s="515"/>
      <c r="OU16" s="517"/>
      <c r="OV16" s="513" t="s">
        <v>160</v>
      </c>
      <c r="OW16" s="514"/>
      <c r="OX16" s="514"/>
      <c r="OY16" s="515"/>
      <c r="OZ16" s="517"/>
      <c r="PA16" s="479"/>
      <c r="PB16" s="508"/>
      <c r="PC16" s="509"/>
      <c r="PD16" s="509"/>
      <c r="PE16" s="509"/>
      <c r="PF16" s="510"/>
      <c r="PG16" s="513" t="s">
        <v>160</v>
      </c>
      <c r="PH16" s="514"/>
      <c r="PI16" s="514"/>
      <c r="PJ16" s="515"/>
      <c r="PK16" s="517"/>
      <c r="PL16" s="513" t="s">
        <v>160</v>
      </c>
      <c r="PM16" s="514"/>
      <c r="PN16" s="514"/>
      <c r="PO16" s="515"/>
      <c r="PP16" s="517"/>
      <c r="PQ16" s="513" t="s">
        <v>160</v>
      </c>
      <c r="PR16" s="514"/>
      <c r="PS16" s="514"/>
      <c r="PT16" s="515"/>
      <c r="PU16" s="517"/>
      <c r="PV16" s="513" t="s">
        <v>160</v>
      </c>
      <c r="PW16" s="514"/>
      <c r="PX16" s="514"/>
      <c r="PY16" s="515"/>
      <c r="PZ16" s="517"/>
      <c r="QA16" s="479"/>
      <c r="QB16" s="508"/>
      <c r="QC16" s="509"/>
      <c r="QD16" s="509"/>
      <c r="QE16" s="509"/>
      <c r="QF16" s="510"/>
      <c r="QG16" s="513" t="s">
        <v>673</v>
      </c>
      <c r="QH16" s="514"/>
      <c r="QI16" s="514"/>
      <c r="QJ16" s="515"/>
      <c r="QK16" s="517"/>
      <c r="QL16" s="513" t="s">
        <v>673</v>
      </c>
      <c r="QM16" s="514"/>
      <c r="QN16" s="514"/>
      <c r="QO16" s="515"/>
      <c r="QP16" s="42" t="s">
        <v>673</v>
      </c>
      <c r="QQ16" s="513" t="s">
        <v>673</v>
      </c>
      <c r="QR16" s="514"/>
      <c r="QS16" s="514"/>
      <c r="QT16" s="515"/>
      <c r="QU16" s="42" t="s">
        <v>673</v>
      </c>
      <c r="QV16" s="513" t="s">
        <v>673</v>
      </c>
      <c r="QW16" s="514"/>
      <c r="QX16" s="514"/>
      <c r="QY16" s="515"/>
      <c r="QZ16" s="517"/>
      <c r="RA16" s="479"/>
      <c r="RB16" s="508"/>
      <c r="RC16" s="509"/>
      <c r="RD16" s="509"/>
      <c r="RE16" s="509"/>
      <c r="RF16" s="510"/>
      <c r="RG16" s="513" t="s">
        <v>673</v>
      </c>
      <c r="RH16" s="514"/>
      <c r="RI16" s="514"/>
      <c r="RJ16" s="515"/>
      <c r="RK16" s="517"/>
      <c r="RL16" s="513" t="s">
        <v>673</v>
      </c>
      <c r="RM16" s="514"/>
      <c r="RN16" s="514"/>
      <c r="RO16" s="515"/>
      <c r="RP16" s="42" t="s">
        <v>673</v>
      </c>
      <c r="RQ16" s="513" t="s">
        <v>673</v>
      </c>
      <c r="RR16" s="514"/>
      <c r="RS16" s="514"/>
      <c r="RT16" s="515"/>
      <c r="RU16" s="42" t="s">
        <v>673</v>
      </c>
      <c r="RV16" s="513" t="s">
        <v>673</v>
      </c>
      <c r="RW16" s="514"/>
      <c r="RX16" s="514"/>
      <c r="RY16" s="515"/>
      <c r="RZ16" s="517"/>
      <c r="SA16" s="479"/>
      <c r="SB16" s="508"/>
      <c r="SC16" s="509"/>
      <c r="SD16" s="509"/>
      <c r="SE16" s="509"/>
      <c r="SF16" s="510"/>
      <c r="SG16" s="513" t="s">
        <v>673</v>
      </c>
      <c r="SH16" s="514"/>
      <c r="SI16" s="514"/>
      <c r="SJ16" s="515"/>
      <c r="SK16" s="42" t="s">
        <v>673</v>
      </c>
      <c r="SL16" s="513" t="s">
        <v>673</v>
      </c>
      <c r="SM16" s="514"/>
      <c r="SN16" s="514"/>
      <c r="SO16" s="515"/>
      <c r="SP16" s="42" t="s">
        <v>673</v>
      </c>
      <c r="SQ16" s="513" t="s">
        <v>673</v>
      </c>
      <c r="SR16" s="514"/>
      <c r="SS16" s="514"/>
      <c r="ST16" s="515"/>
      <c r="SU16" s="517"/>
      <c r="SV16" s="513" t="s">
        <v>673</v>
      </c>
      <c r="SW16" s="514"/>
      <c r="SX16" s="514"/>
      <c r="SY16" s="515"/>
      <c r="SZ16" s="517"/>
      <c r="TA16" s="479"/>
      <c r="TB16" s="508"/>
      <c r="TC16" s="509"/>
      <c r="TD16" s="509"/>
      <c r="TE16" s="509"/>
      <c r="TF16" s="510"/>
      <c r="TG16" s="513" t="s">
        <v>160</v>
      </c>
      <c r="TH16" s="514"/>
      <c r="TI16" s="514"/>
      <c r="TJ16" s="515"/>
      <c r="TK16" s="517"/>
      <c r="TL16" s="513" t="s">
        <v>160</v>
      </c>
      <c r="TM16" s="514"/>
      <c r="TN16" s="514"/>
      <c r="TO16" s="515"/>
      <c r="TP16" s="42"/>
      <c r="TQ16" s="517"/>
      <c r="TR16" s="513" t="s">
        <v>160</v>
      </c>
      <c r="TS16" s="514"/>
      <c r="TT16" s="514"/>
      <c r="TU16" s="515"/>
      <c r="TV16" s="517"/>
      <c r="TW16" s="513" t="s">
        <v>160</v>
      </c>
      <c r="TX16" s="514"/>
      <c r="TY16" s="514"/>
      <c r="TZ16" s="515"/>
      <c r="UA16" s="517"/>
      <c r="UB16" s="479"/>
      <c r="UC16" s="508"/>
      <c r="UD16" s="509"/>
      <c r="UE16" s="509"/>
      <c r="UF16" s="509"/>
      <c r="UG16" s="510"/>
      <c r="UH16" s="513" t="s">
        <v>160</v>
      </c>
      <c r="UI16" s="514"/>
      <c r="UJ16" s="514"/>
      <c r="UK16" s="515"/>
      <c r="UL16" s="42" t="s">
        <v>673</v>
      </c>
      <c r="UM16" s="513" t="s">
        <v>160</v>
      </c>
      <c r="UN16" s="514"/>
      <c r="UO16" s="514"/>
      <c r="UP16" s="515"/>
      <c r="UQ16" s="517"/>
      <c r="UR16" s="513" t="s">
        <v>160</v>
      </c>
      <c r="US16" s="514"/>
      <c r="UT16" s="514"/>
      <c r="UU16" s="515"/>
      <c r="UV16" s="517"/>
      <c r="UW16" s="513" t="s">
        <v>160</v>
      </c>
      <c r="UX16" s="514"/>
      <c r="UY16" s="514"/>
      <c r="UZ16" s="515"/>
      <c r="VA16" s="42" t="s">
        <v>673</v>
      </c>
      <c r="VB16" s="479"/>
      <c r="VC16" s="508"/>
      <c r="VD16" s="509"/>
      <c r="VE16" s="509"/>
      <c r="VF16" s="509"/>
      <c r="VG16" s="510"/>
      <c r="VH16" s="513" t="s">
        <v>160</v>
      </c>
      <c r="VI16" s="514"/>
      <c r="VJ16" s="514"/>
      <c r="VK16" s="515"/>
      <c r="VL16" s="517"/>
      <c r="VM16" s="513" t="s">
        <v>160</v>
      </c>
      <c r="VN16" s="514"/>
      <c r="VO16" s="514"/>
      <c r="VP16" s="515"/>
      <c r="VQ16" s="517"/>
      <c r="VR16" s="513" t="s">
        <v>160</v>
      </c>
      <c r="VS16" s="514"/>
      <c r="VT16" s="514"/>
      <c r="VU16" s="515"/>
      <c r="VV16" s="517"/>
      <c r="VW16" s="513" t="s">
        <v>160</v>
      </c>
      <c r="VX16" s="514"/>
      <c r="VY16" s="514"/>
      <c r="VZ16" s="515"/>
      <c r="WA16" s="517"/>
      <c r="WB16" s="479"/>
      <c r="WC16" s="508"/>
      <c r="WD16" s="509"/>
      <c r="WE16" s="509"/>
      <c r="WF16" s="509"/>
      <c r="WG16" s="510"/>
      <c r="WH16" s="513" t="s">
        <v>160</v>
      </c>
      <c r="WI16" s="514"/>
      <c r="WJ16" s="514"/>
      <c r="WK16" s="515"/>
      <c r="WL16" s="42" t="s">
        <v>673</v>
      </c>
      <c r="WM16" s="513" t="s">
        <v>160</v>
      </c>
      <c r="WN16" s="514"/>
      <c r="WO16" s="514"/>
      <c r="WP16" s="515"/>
      <c r="WQ16" s="42" t="s">
        <v>673</v>
      </c>
      <c r="WR16" s="513" t="s">
        <v>160</v>
      </c>
      <c r="WS16" s="514"/>
      <c r="WT16" s="514"/>
      <c r="WU16" s="515"/>
      <c r="WV16" s="42" t="s">
        <v>673</v>
      </c>
      <c r="WW16" s="513" t="s">
        <v>160</v>
      </c>
      <c r="WX16" s="514"/>
      <c r="WY16" s="514"/>
      <c r="WZ16" s="515"/>
      <c r="XA16" s="42" t="s">
        <v>673</v>
      </c>
      <c r="XB16" s="479"/>
      <c r="XC16" s="508"/>
      <c r="XD16" s="509"/>
      <c r="XE16" s="509"/>
      <c r="XF16" s="509"/>
      <c r="XG16" s="510"/>
      <c r="XH16" s="513" t="s">
        <v>160</v>
      </c>
      <c r="XI16" s="514"/>
      <c r="XJ16" s="514"/>
      <c r="XK16" s="515"/>
      <c r="XL16" s="42" t="s">
        <v>673</v>
      </c>
      <c r="XM16" s="513" t="s">
        <v>160</v>
      </c>
      <c r="XN16" s="514"/>
      <c r="XO16" s="514"/>
      <c r="XP16" s="515"/>
      <c r="XQ16" s="42" t="s">
        <v>673</v>
      </c>
      <c r="XR16" s="513" t="s">
        <v>160</v>
      </c>
      <c r="XS16" s="514"/>
      <c r="XT16" s="514"/>
      <c r="XU16" s="515"/>
      <c r="XV16" s="517"/>
      <c r="XW16" s="513" t="s">
        <v>160</v>
      </c>
      <c r="XX16" s="514"/>
      <c r="XY16" s="514"/>
      <c r="XZ16" s="515"/>
      <c r="YA16" s="42" t="s">
        <v>673</v>
      </c>
      <c r="YB16" s="479"/>
      <c r="YC16" s="508"/>
      <c r="YD16" s="509"/>
      <c r="YE16" s="509"/>
      <c r="YF16" s="509"/>
      <c r="YG16" s="510"/>
      <c r="YH16" s="513" t="s">
        <v>160</v>
      </c>
      <c r="YI16" s="514"/>
      <c r="YJ16" s="514"/>
      <c r="YK16" s="515"/>
      <c r="YL16" s="517"/>
      <c r="YM16" s="513" t="s">
        <v>160</v>
      </c>
      <c r="YN16" s="514"/>
      <c r="YO16" s="514"/>
      <c r="YP16" s="515"/>
      <c r="YQ16" s="517"/>
      <c r="YR16" s="513" t="s">
        <v>160</v>
      </c>
      <c r="YS16" s="514"/>
      <c r="YT16" s="514"/>
      <c r="YU16" s="515"/>
      <c r="YV16" s="517"/>
      <c r="YW16" s="513" t="s">
        <v>673</v>
      </c>
      <c r="YX16" s="514"/>
      <c r="YY16" s="514"/>
      <c r="YZ16" s="515"/>
      <c r="ZA16" s="42" t="s">
        <v>673</v>
      </c>
      <c r="ZB16" s="479"/>
      <c r="ZC16" s="508"/>
      <c r="ZD16" s="509"/>
      <c r="ZE16" s="509"/>
      <c r="ZF16" s="509"/>
      <c r="ZG16" s="510"/>
      <c r="ZH16" s="513" t="s">
        <v>160</v>
      </c>
      <c r="ZI16" s="514"/>
      <c r="ZJ16" s="514"/>
      <c r="ZK16" s="515"/>
      <c r="ZL16" s="42" t="s">
        <v>160</v>
      </c>
      <c r="ZM16" s="513" t="s">
        <v>673</v>
      </c>
      <c r="ZN16" s="514"/>
      <c r="ZO16" s="514"/>
      <c r="ZP16" s="515"/>
      <c r="ZQ16" s="517"/>
      <c r="ZR16" s="513" t="s">
        <v>673</v>
      </c>
      <c r="ZS16" s="514"/>
      <c r="ZT16" s="514"/>
      <c r="ZU16" s="515"/>
      <c r="ZV16" s="42" t="s">
        <v>160</v>
      </c>
      <c r="ZW16" s="513" t="s">
        <v>673</v>
      </c>
      <c r="ZX16" s="514"/>
      <c r="ZY16" s="514"/>
      <c r="ZZ16" s="515"/>
      <c r="AAA16" s="517"/>
      <c r="AAB16" s="479"/>
      <c r="AAC16" s="508"/>
      <c r="AAD16" s="509"/>
      <c r="AAE16" s="509"/>
      <c r="AAF16" s="509"/>
      <c r="AAG16" s="510"/>
      <c r="AAH16" s="513" t="s">
        <v>673</v>
      </c>
      <c r="AAI16" s="514"/>
      <c r="AAJ16" s="514"/>
      <c r="AAK16" s="515"/>
      <c r="AAL16" s="517"/>
      <c r="AAM16" s="513" t="s">
        <v>673</v>
      </c>
      <c r="AAN16" s="514"/>
      <c r="AAO16" s="514"/>
      <c r="AAP16" s="515"/>
      <c r="AAQ16" s="517"/>
      <c r="AAR16" s="513" t="s">
        <v>673</v>
      </c>
      <c r="AAS16" s="514"/>
      <c r="AAT16" s="514"/>
      <c r="AAU16" s="515"/>
      <c r="AAV16" s="42" t="s">
        <v>160</v>
      </c>
      <c r="AAW16" s="513" t="s">
        <v>673</v>
      </c>
      <c r="AAX16" s="514"/>
      <c r="AAY16" s="514"/>
      <c r="AAZ16" s="515"/>
      <c r="ABA16" s="517"/>
      <c r="ABB16" s="479"/>
      <c r="ABC16" s="508"/>
      <c r="ABD16" s="509"/>
      <c r="ABE16" s="509"/>
      <c r="ABF16" s="509"/>
      <c r="ABG16" s="510"/>
      <c r="ABH16" s="513" t="s">
        <v>673</v>
      </c>
      <c r="ABI16" s="514"/>
      <c r="ABJ16" s="514"/>
      <c r="ABK16" s="515"/>
      <c r="ABL16" s="42" t="s">
        <v>160</v>
      </c>
      <c r="ABM16" s="513" t="s">
        <v>673</v>
      </c>
      <c r="ABN16" s="514"/>
      <c r="ABO16" s="514"/>
      <c r="ABP16" s="515"/>
      <c r="ABQ16" s="42" t="s">
        <v>160</v>
      </c>
      <c r="ABR16" s="513" t="s">
        <v>673</v>
      </c>
      <c r="ABS16" s="514"/>
      <c r="ABT16" s="514"/>
      <c r="ABU16" s="515"/>
      <c r="ABV16" s="517"/>
      <c r="ABW16" s="513" t="s">
        <v>673</v>
      </c>
      <c r="ABX16" s="514"/>
      <c r="ABY16" s="514"/>
      <c r="ABZ16" s="515"/>
      <c r="ACA16" s="517"/>
      <c r="ACB16" s="479"/>
      <c r="ACC16" s="508"/>
      <c r="ACD16" s="509"/>
      <c r="ACE16" s="509"/>
      <c r="ACF16" s="509"/>
      <c r="ACG16" s="510"/>
      <c r="ACH16" s="513" t="s">
        <v>673</v>
      </c>
      <c r="ACI16" s="514"/>
      <c r="ACJ16" s="514"/>
      <c r="ACK16" s="515"/>
      <c r="ACL16" s="42" t="s">
        <v>160</v>
      </c>
      <c r="ACM16" s="513" t="s">
        <v>160</v>
      </c>
      <c r="ACN16" s="514"/>
      <c r="ACO16" s="514"/>
      <c r="ACP16" s="515"/>
      <c r="ACQ16" s="517"/>
      <c r="ACR16" s="513" t="s">
        <v>160</v>
      </c>
      <c r="ACS16" s="514"/>
      <c r="ACT16" s="514"/>
      <c r="ACU16" s="515"/>
      <c r="ACV16" s="517"/>
      <c r="ACW16" s="513" t="s">
        <v>160</v>
      </c>
      <c r="ACX16" s="514"/>
      <c r="ACY16" s="514"/>
      <c r="ACZ16" s="515"/>
      <c r="ADA16" s="517"/>
      <c r="ADB16" s="479"/>
      <c r="ADC16" s="508"/>
      <c r="ADD16" s="509"/>
      <c r="ADE16" s="509"/>
      <c r="ADF16" s="509"/>
      <c r="ADG16" s="510"/>
      <c r="ADH16" s="513" t="s">
        <v>160</v>
      </c>
      <c r="ADI16" s="514"/>
      <c r="ADJ16" s="514"/>
      <c r="ADK16" s="515"/>
      <c r="ADL16" s="517"/>
      <c r="ADM16" s="513" t="s">
        <v>160</v>
      </c>
      <c r="ADN16" s="514"/>
      <c r="ADO16" s="514"/>
      <c r="ADP16" s="515"/>
      <c r="ADQ16" s="517"/>
      <c r="ADR16" s="513" t="s">
        <v>160</v>
      </c>
      <c r="ADS16" s="514"/>
      <c r="ADT16" s="514"/>
      <c r="ADU16" s="515"/>
      <c r="ADV16" s="517"/>
      <c r="ADW16" s="513" t="s">
        <v>160</v>
      </c>
      <c r="ADX16" s="514"/>
      <c r="ADY16" s="514"/>
      <c r="ADZ16" s="515"/>
      <c r="AEA16" s="517"/>
      <c r="AEB16" s="479"/>
      <c r="AEC16" s="508"/>
      <c r="AED16" s="509"/>
      <c r="AEE16" s="509"/>
      <c r="AEF16" s="509"/>
      <c r="AEG16" s="510"/>
      <c r="AEH16" s="513" t="s">
        <v>160</v>
      </c>
      <c r="AEI16" s="514"/>
      <c r="AEJ16" s="514"/>
      <c r="AEK16" s="515"/>
      <c r="AEL16" s="517"/>
      <c r="AEM16" s="513" t="s">
        <v>160</v>
      </c>
      <c r="AEN16" s="514"/>
      <c r="AEO16" s="514"/>
      <c r="AEP16" s="515"/>
      <c r="AEQ16" s="405"/>
      <c r="AER16" s="517"/>
      <c r="AES16" s="513" t="s">
        <v>160</v>
      </c>
      <c r="AET16" s="514"/>
      <c r="AEU16" s="514"/>
      <c r="AEV16" s="515"/>
      <c r="AEW16" s="517"/>
      <c r="AEX16" s="513" t="s">
        <v>160</v>
      </c>
      <c r="AEY16" s="514"/>
      <c r="AEZ16" s="514"/>
      <c r="AFA16" s="515"/>
      <c r="AFB16" s="517"/>
      <c r="AFC16" s="479"/>
      <c r="AFD16" s="508"/>
      <c r="AFE16" s="509"/>
      <c r="AFF16" s="509"/>
      <c r="AFG16" s="509"/>
      <c r="AFH16" s="510"/>
      <c r="AFI16" s="513" t="s">
        <v>160</v>
      </c>
      <c r="AFJ16" s="514"/>
      <c r="AFK16" s="514"/>
      <c r="AFL16" s="515"/>
      <c r="AFM16" s="517"/>
      <c r="AFN16" s="513" t="s">
        <v>160</v>
      </c>
      <c r="AFO16" s="514"/>
      <c r="AFP16" s="514"/>
      <c r="AFQ16" s="515"/>
      <c r="AFR16" s="42" t="s">
        <v>160</v>
      </c>
      <c r="AFS16" s="513" t="s">
        <v>160</v>
      </c>
      <c r="AFT16" s="514"/>
      <c r="AFU16" s="514"/>
      <c r="AFV16" s="515"/>
      <c r="AFW16" s="42" t="s">
        <v>160</v>
      </c>
      <c r="AFX16" s="513" t="s">
        <v>160</v>
      </c>
      <c r="AFY16" s="514"/>
      <c r="AFZ16" s="514"/>
      <c r="AGA16" s="515"/>
      <c r="AGB16" s="42" t="s">
        <v>160</v>
      </c>
      <c r="AGC16" s="479"/>
      <c r="AGD16" s="508"/>
      <c r="AGE16" s="509"/>
      <c r="AGF16" s="509"/>
      <c r="AGG16" s="509"/>
      <c r="AGH16" s="510"/>
      <c r="AGI16" s="513" t="s">
        <v>160</v>
      </c>
      <c r="AGJ16" s="514"/>
      <c r="AGK16" s="514"/>
      <c r="AGL16" s="515"/>
      <c r="AGM16" s="42" t="s">
        <v>160</v>
      </c>
      <c r="AGN16" s="513" t="s">
        <v>160</v>
      </c>
      <c r="AGO16" s="514"/>
      <c r="AGP16" s="514"/>
      <c r="AGQ16" s="515"/>
      <c r="AGR16" s="517"/>
      <c r="AGS16" s="513" t="s">
        <v>160</v>
      </c>
      <c r="AGT16" s="514"/>
      <c r="AGU16" s="514"/>
      <c r="AGV16" s="515"/>
      <c r="AGW16" s="517"/>
      <c r="AGX16" s="513" t="s">
        <v>160</v>
      </c>
      <c r="AGY16" s="514"/>
      <c r="AGZ16" s="514"/>
      <c r="AHA16" s="515"/>
      <c r="AHB16" s="517"/>
      <c r="AHC16" s="479"/>
      <c r="AHD16" s="508"/>
      <c r="AHE16" s="509"/>
      <c r="AHF16" s="509"/>
      <c r="AHG16" s="509"/>
      <c r="AHH16" s="510"/>
      <c r="AHI16" s="513" t="s">
        <v>160</v>
      </c>
      <c r="AHJ16" s="514"/>
      <c r="AHK16" s="514"/>
      <c r="AHL16" s="515"/>
      <c r="AHM16" s="42" t="s">
        <v>160</v>
      </c>
      <c r="AHN16" s="513" t="s">
        <v>160</v>
      </c>
      <c r="AHO16" s="514"/>
      <c r="AHP16" s="514"/>
      <c r="AHQ16" s="515"/>
      <c r="AHR16" s="517"/>
      <c r="AHS16" s="513" t="s">
        <v>160</v>
      </c>
      <c r="AHT16" s="514"/>
      <c r="AHU16" s="514"/>
      <c r="AHV16" s="515"/>
      <c r="AHW16" s="517"/>
      <c r="AHX16" s="513" t="s">
        <v>160</v>
      </c>
      <c r="AHY16" s="514"/>
      <c r="AHZ16" s="514"/>
      <c r="AIA16" s="515"/>
      <c r="AIB16" s="517"/>
      <c r="AIC16" s="479"/>
      <c r="AID16" s="508"/>
      <c r="AIE16" s="509"/>
      <c r="AIF16" s="509"/>
      <c r="AIG16" s="509"/>
      <c r="AIH16" s="510"/>
      <c r="AII16" s="513" t="s">
        <v>160</v>
      </c>
      <c r="AIJ16" s="514"/>
      <c r="AIK16" s="514"/>
      <c r="AIL16" s="515"/>
      <c r="AIM16" s="517"/>
      <c r="AIN16" s="513" t="s">
        <v>160</v>
      </c>
      <c r="AIO16" s="514"/>
      <c r="AIP16" s="514"/>
      <c r="AIQ16" s="515"/>
      <c r="AIR16" s="517"/>
      <c r="AIS16" s="513" t="s">
        <v>160</v>
      </c>
      <c r="AIT16" s="514"/>
      <c r="AIU16" s="514"/>
      <c r="AIV16" s="515"/>
      <c r="AIW16" s="517"/>
      <c r="AIX16" s="513" t="s">
        <v>160</v>
      </c>
      <c r="AIY16" s="514"/>
      <c r="AIZ16" s="514"/>
      <c r="AJA16" s="515"/>
      <c r="AJB16" s="517"/>
      <c r="AJC16" s="479"/>
      <c r="AJD16" s="508"/>
      <c r="AJE16" s="509"/>
      <c r="AJF16" s="509"/>
      <c r="AJG16" s="509"/>
      <c r="AJH16" s="510"/>
      <c r="AJI16" s="513" t="s">
        <v>160</v>
      </c>
      <c r="AJJ16" s="514"/>
      <c r="AJK16" s="514"/>
      <c r="AJL16" s="515"/>
      <c r="AJM16" s="517"/>
      <c r="AJN16" s="513" t="s">
        <v>160</v>
      </c>
      <c r="AJO16" s="514"/>
      <c r="AJP16" s="514"/>
      <c r="AJQ16" s="515"/>
      <c r="AJR16" s="517"/>
      <c r="AJS16" s="513" t="s">
        <v>160</v>
      </c>
      <c r="AJT16" s="514"/>
      <c r="AJU16" s="514"/>
      <c r="AJV16" s="515"/>
      <c r="AJW16" s="42" t="s">
        <v>160</v>
      </c>
      <c r="AJX16" s="513" t="s">
        <v>160</v>
      </c>
      <c r="AJY16" s="514"/>
      <c r="AJZ16" s="514"/>
      <c r="AKA16" s="515"/>
      <c r="AKB16" s="42" t="s">
        <v>160</v>
      </c>
      <c r="AKC16" s="479"/>
      <c r="AKD16" s="508"/>
      <c r="AKE16" s="509"/>
      <c r="AKF16" s="509"/>
      <c r="AKG16" s="509"/>
      <c r="AKH16" s="510"/>
      <c r="AKI16" s="513" t="s">
        <v>673</v>
      </c>
      <c r="AKJ16" s="514"/>
      <c r="AKK16" s="514"/>
      <c r="AKL16" s="515"/>
      <c r="AKM16" s="517"/>
      <c r="AKN16" s="513" t="s">
        <v>160</v>
      </c>
      <c r="AKO16" s="514"/>
      <c r="AKP16" s="514"/>
      <c r="AKQ16" s="515"/>
      <c r="AKR16" s="42" t="s">
        <v>160</v>
      </c>
      <c r="AKS16" s="513" t="s">
        <v>160</v>
      </c>
      <c r="AKT16" s="514"/>
      <c r="AKU16" s="514"/>
      <c r="AKV16" s="515"/>
      <c r="AKW16" s="42" t="s">
        <v>160</v>
      </c>
      <c r="AKX16" s="513" t="s">
        <v>160</v>
      </c>
      <c r="AKY16" s="514"/>
      <c r="AKZ16" s="514"/>
      <c r="ALA16" s="515"/>
      <c r="ALB16" s="42" t="s">
        <v>160</v>
      </c>
      <c r="ALC16" s="479"/>
      <c r="ALD16" s="508"/>
      <c r="ALE16" s="509"/>
      <c r="ALF16" s="509"/>
      <c r="ALG16" s="509"/>
      <c r="ALH16" s="510"/>
      <c r="ALI16" s="513" t="s">
        <v>160</v>
      </c>
      <c r="ALJ16" s="514"/>
      <c r="ALK16" s="514"/>
      <c r="ALL16" s="515"/>
      <c r="ALM16" s="42" t="s">
        <v>160</v>
      </c>
      <c r="ALN16" s="513" t="s">
        <v>160</v>
      </c>
      <c r="ALO16" s="514"/>
      <c r="ALP16" s="514"/>
      <c r="ALQ16" s="515"/>
      <c r="ALR16" s="42" t="s">
        <v>160</v>
      </c>
      <c r="ALS16" s="513" t="s">
        <v>160</v>
      </c>
      <c r="ALT16" s="514"/>
      <c r="ALU16" s="514"/>
      <c r="ALV16" s="515"/>
      <c r="ALW16" s="42" t="s">
        <v>160</v>
      </c>
      <c r="ALX16" s="513" t="s">
        <v>160</v>
      </c>
      <c r="ALY16" s="514"/>
      <c r="ALZ16" s="514"/>
      <c r="AMA16" s="515"/>
      <c r="AMB16" s="42" t="s">
        <v>160</v>
      </c>
      <c r="AMC16" s="479"/>
      <c r="AMD16" s="508"/>
      <c r="AME16" s="509"/>
      <c r="AMF16" s="509"/>
      <c r="AMG16" s="509"/>
      <c r="AMH16" s="510"/>
      <c r="AMI16" s="513" t="s">
        <v>160</v>
      </c>
      <c r="AMJ16" s="514"/>
      <c r="AMK16" s="514"/>
      <c r="AML16" s="515"/>
      <c r="AMM16" s="517"/>
      <c r="AMN16" s="513" t="s">
        <v>160</v>
      </c>
      <c r="AMO16" s="514"/>
      <c r="AMP16" s="514"/>
      <c r="AMQ16" s="515"/>
      <c r="AMR16" s="42" t="s">
        <v>160</v>
      </c>
      <c r="AMS16" s="42"/>
      <c r="AMT16" s="513" t="s">
        <v>160</v>
      </c>
      <c r="AMU16" s="514"/>
      <c r="AMV16" s="514"/>
      <c r="AMW16" s="515"/>
      <c r="AMX16" s="42" t="s">
        <v>160</v>
      </c>
      <c r="AMY16" s="513" t="s">
        <v>160</v>
      </c>
      <c r="AMZ16" s="514"/>
      <c r="ANA16" s="514"/>
      <c r="ANB16" s="515"/>
      <c r="ANC16" s="42" t="s">
        <v>160</v>
      </c>
      <c r="AND16" s="479"/>
      <c r="ANE16" s="508"/>
      <c r="ANF16" s="509"/>
      <c r="ANG16" s="509"/>
      <c r="ANH16" s="509"/>
      <c r="ANI16" s="510"/>
      <c r="ANJ16" s="513" t="s">
        <v>160</v>
      </c>
      <c r="ANK16" s="514"/>
      <c r="ANL16" s="514"/>
      <c r="ANM16" s="515"/>
      <c r="ANN16" s="517"/>
      <c r="ANO16" s="513" t="s">
        <v>160</v>
      </c>
      <c r="ANP16" s="514"/>
      <c r="ANQ16" s="514"/>
      <c r="ANR16" s="515"/>
      <c r="ANS16" s="42" t="s">
        <v>160</v>
      </c>
      <c r="ANT16" s="42"/>
      <c r="ANU16" s="513" t="s">
        <v>160</v>
      </c>
      <c r="ANV16" s="514"/>
      <c r="ANW16" s="514"/>
      <c r="ANX16" s="515"/>
      <c r="ANY16" s="517"/>
      <c r="ANZ16" s="513" t="s">
        <v>160</v>
      </c>
      <c r="AOA16" s="514"/>
      <c r="AOB16" s="514"/>
      <c r="AOC16" s="515"/>
      <c r="AOD16" s="42" t="s">
        <v>160</v>
      </c>
      <c r="AOE16" s="479"/>
      <c r="AOF16" s="508"/>
      <c r="AOG16" s="509"/>
      <c r="AOH16" s="509"/>
      <c r="AOI16" s="509"/>
      <c r="AOJ16" s="510"/>
      <c r="AOK16" s="513" t="s">
        <v>160</v>
      </c>
      <c r="AOL16" s="514"/>
      <c r="AOM16" s="514"/>
      <c r="AON16" s="515"/>
      <c r="AOO16" s="42" t="s">
        <v>160</v>
      </c>
      <c r="AOP16" s="513" t="s">
        <v>160</v>
      </c>
      <c r="AOQ16" s="514"/>
      <c r="AOR16" s="514"/>
      <c r="AOS16" s="515"/>
      <c r="AOT16" s="517"/>
      <c r="AOU16" s="42"/>
      <c r="AOV16" s="513" t="s">
        <v>160</v>
      </c>
      <c r="AOW16" s="514"/>
      <c r="AOX16" s="514"/>
      <c r="AOY16" s="515"/>
      <c r="AOZ16" s="517"/>
      <c r="APA16" s="513"/>
      <c r="APB16" s="514"/>
      <c r="APC16" s="514"/>
      <c r="APD16" s="515"/>
      <c r="APE16" s="42"/>
    </row>
    <row r="17" spans="1:1097" ht="45" customHeight="1" x14ac:dyDescent="0.4">
      <c r="A17" s="479"/>
      <c r="B17" s="511"/>
      <c r="C17" s="487"/>
      <c r="D17" s="487"/>
      <c r="E17" s="487"/>
      <c r="F17" s="488"/>
      <c r="G17" s="496">
        <v>0.52083333333333337</v>
      </c>
      <c r="H17" s="497"/>
      <c r="I17" s="497"/>
      <c r="J17" s="498"/>
      <c r="K17" s="81">
        <v>0.54166666666666663</v>
      </c>
      <c r="L17" s="496">
        <v>0.52083333333333337</v>
      </c>
      <c r="M17" s="497"/>
      <c r="N17" s="497"/>
      <c r="O17" s="498"/>
      <c r="P17" s="517"/>
      <c r="Q17" s="496">
        <v>0.52083333333333337</v>
      </c>
      <c r="R17" s="497"/>
      <c r="S17" s="497"/>
      <c r="T17" s="498"/>
      <c r="U17" s="517"/>
      <c r="V17" s="496">
        <v>0.52083333333333337</v>
      </c>
      <c r="W17" s="497"/>
      <c r="X17" s="497"/>
      <c r="Y17" s="498"/>
      <c r="Z17" s="81">
        <v>0.5625</v>
      </c>
      <c r="AA17" s="479"/>
      <c r="AB17" s="511"/>
      <c r="AC17" s="487"/>
      <c r="AD17" s="487"/>
      <c r="AE17" s="487"/>
      <c r="AF17" s="488"/>
      <c r="AG17" s="496">
        <v>0.52083333333333337</v>
      </c>
      <c r="AH17" s="497"/>
      <c r="AI17" s="497"/>
      <c r="AJ17" s="498"/>
      <c r="AK17" s="81">
        <v>0.54166666666666663</v>
      </c>
      <c r="AL17" s="496">
        <v>0.52083333333333337</v>
      </c>
      <c r="AM17" s="497"/>
      <c r="AN17" s="497"/>
      <c r="AO17" s="498"/>
      <c r="AP17" s="81">
        <v>0.52083333333333337</v>
      </c>
      <c r="AQ17" s="496">
        <v>0.52083333333333337</v>
      </c>
      <c r="AR17" s="497"/>
      <c r="AS17" s="497"/>
      <c r="AT17" s="498"/>
      <c r="AU17" s="517"/>
      <c r="AV17" s="496">
        <v>0.54166666666666663</v>
      </c>
      <c r="AW17" s="497"/>
      <c r="AX17" s="497"/>
      <c r="AY17" s="498"/>
      <c r="AZ17" s="81">
        <v>0.52083333333333337</v>
      </c>
      <c r="BA17" s="479"/>
      <c r="BB17" s="511"/>
      <c r="BC17" s="487"/>
      <c r="BD17" s="487"/>
      <c r="BE17" s="487"/>
      <c r="BF17" s="488"/>
      <c r="BG17" s="496">
        <v>0.52083333333333337</v>
      </c>
      <c r="BH17" s="497"/>
      <c r="BI17" s="497"/>
      <c r="BJ17" s="498"/>
      <c r="BK17" s="81">
        <v>0.52083333333333337</v>
      </c>
      <c r="BL17" s="496">
        <v>0.52083333333333337</v>
      </c>
      <c r="BM17" s="497"/>
      <c r="BN17" s="497"/>
      <c r="BO17" s="498"/>
      <c r="BP17" s="81">
        <v>0.52083333333333337</v>
      </c>
      <c r="BQ17" s="496">
        <v>0.52083333333333337</v>
      </c>
      <c r="BR17" s="497"/>
      <c r="BS17" s="497"/>
      <c r="BT17" s="498"/>
      <c r="BU17" s="517"/>
      <c r="BV17" s="496">
        <v>0.52083333333333337</v>
      </c>
      <c r="BW17" s="497"/>
      <c r="BX17" s="497"/>
      <c r="BY17" s="498"/>
      <c r="BZ17" s="81">
        <v>0.54166666666666663</v>
      </c>
      <c r="CA17" s="479"/>
      <c r="CB17" s="511"/>
      <c r="CC17" s="487"/>
      <c r="CD17" s="487"/>
      <c r="CE17" s="487"/>
      <c r="CF17" s="488"/>
      <c r="CG17" s="496">
        <v>0.54166666666666663</v>
      </c>
      <c r="CH17" s="497"/>
      <c r="CI17" s="497"/>
      <c r="CJ17" s="498"/>
      <c r="CK17" s="81">
        <v>0.52083333333333337</v>
      </c>
      <c r="CL17" s="496">
        <v>0.54166666666666663</v>
      </c>
      <c r="CM17" s="497"/>
      <c r="CN17" s="497"/>
      <c r="CO17" s="498"/>
      <c r="CP17" s="517"/>
      <c r="CQ17" s="496">
        <v>0.54166666666666663</v>
      </c>
      <c r="CR17" s="497"/>
      <c r="CS17" s="497"/>
      <c r="CT17" s="498"/>
      <c r="CU17" s="81">
        <v>0.60416666666666663</v>
      </c>
      <c r="CV17" s="496">
        <v>0.54166666666666663</v>
      </c>
      <c r="CW17" s="497"/>
      <c r="CX17" s="497"/>
      <c r="CY17" s="498"/>
      <c r="CZ17" s="81">
        <v>0.58333333333333337</v>
      </c>
      <c r="DA17" s="479"/>
      <c r="DB17" s="511"/>
      <c r="DC17" s="487"/>
      <c r="DD17" s="487"/>
      <c r="DE17" s="487"/>
      <c r="DF17" s="488"/>
      <c r="DG17" s="496">
        <v>0.52083333333333337</v>
      </c>
      <c r="DH17" s="497"/>
      <c r="DI17" s="497"/>
      <c r="DJ17" s="498"/>
      <c r="DK17" s="81">
        <v>0.52083333333333337</v>
      </c>
      <c r="DL17" s="496">
        <v>0.52083333333333337</v>
      </c>
      <c r="DM17" s="497"/>
      <c r="DN17" s="497"/>
      <c r="DO17" s="498"/>
      <c r="DP17" s="81">
        <v>0.54166666666666663</v>
      </c>
      <c r="DQ17" s="496">
        <v>0.54166666666666663</v>
      </c>
      <c r="DR17" s="497"/>
      <c r="DS17" s="497"/>
      <c r="DT17" s="498"/>
      <c r="DU17" s="81">
        <v>0.54166666666666663</v>
      </c>
      <c r="DV17" s="496">
        <v>0.52083333333333337</v>
      </c>
      <c r="DW17" s="497"/>
      <c r="DX17" s="497"/>
      <c r="DY17" s="498"/>
      <c r="DZ17" s="81">
        <v>0.54166666666666663</v>
      </c>
      <c r="EA17" s="479"/>
      <c r="EB17" s="511"/>
      <c r="EC17" s="487"/>
      <c r="ED17" s="487"/>
      <c r="EE17" s="487"/>
      <c r="EF17" s="488"/>
      <c r="EG17" s="496">
        <v>0.52083333333333337</v>
      </c>
      <c r="EH17" s="497"/>
      <c r="EI17" s="497"/>
      <c r="EJ17" s="498"/>
      <c r="EK17" s="81">
        <v>0.4375</v>
      </c>
      <c r="EL17" s="496">
        <v>0.54166666666666663</v>
      </c>
      <c r="EM17" s="497"/>
      <c r="EN17" s="497"/>
      <c r="EO17" s="498"/>
      <c r="EP17" s="81">
        <v>0.54166666666666663</v>
      </c>
      <c r="EQ17" s="496">
        <v>0.52083333333333337</v>
      </c>
      <c r="ER17" s="497"/>
      <c r="ES17" s="497"/>
      <c r="ET17" s="498"/>
      <c r="EU17" s="81">
        <v>0.54166666666666663</v>
      </c>
      <c r="EV17" s="496">
        <v>0.54166666666666663</v>
      </c>
      <c r="EW17" s="497"/>
      <c r="EX17" s="497"/>
      <c r="EY17" s="498"/>
      <c r="EZ17" s="81">
        <v>0.52083333333333337</v>
      </c>
      <c r="FA17" s="479"/>
      <c r="FB17" s="511"/>
      <c r="FC17" s="487"/>
      <c r="FD17" s="487"/>
      <c r="FE17" s="487"/>
      <c r="FF17" s="488"/>
      <c r="FG17" s="496">
        <v>0.52083333333333337</v>
      </c>
      <c r="FH17" s="497"/>
      <c r="FI17" s="497"/>
      <c r="FJ17" s="498"/>
      <c r="FK17" s="81">
        <v>0.52083333333333337</v>
      </c>
      <c r="FL17" s="496">
        <v>0.54166666666666663</v>
      </c>
      <c r="FM17" s="497"/>
      <c r="FN17" s="497"/>
      <c r="FO17" s="498"/>
      <c r="FP17" s="81">
        <v>0.54166666666666663</v>
      </c>
      <c r="FQ17" s="496">
        <v>0.5625</v>
      </c>
      <c r="FR17" s="497"/>
      <c r="FS17" s="497"/>
      <c r="FT17" s="498"/>
      <c r="FU17" s="81">
        <v>0.52083333333333337</v>
      </c>
      <c r="FV17" s="496">
        <v>0.52083333333333337</v>
      </c>
      <c r="FW17" s="497"/>
      <c r="FX17" s="497"/>
      <c r="FY17" s="498"/>
      <c r="FZ17" s="81">
        <v>0.4375</v>
      </c>
      <c r="GA17" s="479"/>
      <c r="GB17" s="511"/>
      <c r="GC17" s="487"/>
      <c r="GD17" s="487"/>
      <c r="GE17" s="487"/>
      <c r="GF17" s="488"/>
      <c r="GG17" s="496">
        <v>0.54166666666666663</v>
      </c>
      <c r="GH17" s="497"/>
      <c r="GI17" s="497"/>
      <c r="GJ17" s="498"/>
      <c r="GK17" s="81">
        <v>0.5625</v>
      </c>
      <c r="GL17" s="496">
        <v>0.52083333333333337</v>
      </c>
      <c r="GM17" s="497"/>
      <c r="GN17" s="497"/>
      <c r="GO17" s="498"/>
      <c r="GP17" s="81">
        <v>0.45833333333333331</v>
      </c>
      <c r="GQ17" s="496">
        <v>0.54166666666666663</v>
      </c>
      <c r="GR17" s="497"/>
      <c r="GS17" s="497"/>
      <c r="GT17" s="498"/>
      <c r="GU17" s="81">
        <v>0.625</v>
      </c>
      <c r="GV17" s="496">
        <v>0.52083333333333337</v>
      </c>
      <c r="GW17" s="497"/>
      <c r="GX17" s="497"/>
      <c r="GY17" s="498"/>
      <c r="GZ17" s="81">
        <v>0.52083333333333337</v>
      </c>
      <c r="HA17" s="479"/>
      <c r="HB17" s="511"/>
      <c r="HC17" s="487"/>
      <c r="HD17" s="487"/>
      <c r="HE17" s="487"/>
      <c r="HF17" s="488"/>
      <c r="HG17" s="496">
        <v>0.54166666666666663</v>
      </c>
      <c r="HH17" s="497"/>
      <c r="HI17" s="497"/>
      <c r="HJ17" s="498"/>
      <c r="HK17" s="517"/>
      <c r="HL17" s="496">
        <v>0.52083333333333337</v>
      </c>
      <c r="HM17" s="497"/>
      <c r="HN17" s="497"/>
      <c r="HO17" s="498"/>
      <c r="HP17" s="81">
        <v>0.52083333333333337</v>
      </c>
      <c r="HQ17" s="496">
        <v>0.54166666666666663</v>
      </c>
      <c r="HR17" s="497"/>
      <c r="HS17" s="497"/>
      <c r="HT17" s="498"/>
      <c r="HU17" s="81">
        <v>0.54166666666666663</v>
      </c>
      <c r="HV17" s="496">
        <v>0.54166666666666663</v>
      </c>
      <c r="HW17" s="497"/>
      <c r="HX17" s="497"/>
      <c r="HY17" s="498"/>
      <c r="HZ17" s="517"/>
      <c r="IA17" s="479"/>
      <c r="IB17" s="511"/>
      <c r="IC17" s="487"/>
      <c r="ID17" s="487"/>
      <c r="IE17" s="487"/>
      <c r="IF17" s="488"/>
      <c r="IG17" s="496">
        <v>0.52083333333333337</v>
      </c>
      <c r="IH17" s="497"/>
      <c r="II17" s="497"/>
      <c r="IJ17" s="498"/>
      <c r="IK17" s="517"/>
      <c r="IL17" s="496">
        <v>0.52083333333333337</v>
      </c>
      <c r="IM17" s="497"/>
      <c r="IN17" s="497"/>
      <c r="IO17" s="498"/>
      <c r="IP17" s="517"/>
      <c r="IQ17" s="496">
        <v>0.54166666666666663</v>
      </c>
      <c r="IR17" s="497"/>
      <c r="IS17" s="497"/>
      <c r="IT17" s="498"/>
      <c r="IU17" s="81">
        <v>0.54166666666666663</v>
      </c>
      <c r="IV17" s="496">
        <v>0.52083333333333337</v>
      </c>
      <c r="IW17" s="497"/>
      <c r="IX17" s="497"/>
      <c r="IY17" s="498"/>
      <c r="IZ17" s="517"/>
      <c r="JA17" s="479"/>
      <c r="JB17" s="511"/>
      <c r="JC17" s="487"/>
      <c r="JD17" s="487"/>
      <c r="JE17" s="487"/>
      <c r="JF17" s="488"/>
      <c r="JG17" s="496">
        <v>0.54166666666666663</v>
      </c>
      <c r="JH17" s="497"/>
      <c r="JI17" s="497"/>
      <c r="JJ17" s="498"/>
      <c r="JK17" s="81">
        <v>0.54166666666666663</v>
      </c>
      <c r="JL17" s="496">
        <v>0.52083333333333337</v>
      </c>
      <c r="JM17" s="497"/>
      <c r="JN17" s="497"/>
      <c r="JO17" s="498"/>
      <c r="JP17" s="81">
        <v>0.5</v>
      </c>
      <c r="JQ17" s="496">
        <v>0.54166666666666663</v>
      </c>
      <c r="JR17" s="497"/>
      <c r="JS17" s="497"/>
      <c r="JT17" s="498"/>
      <c r="JU17" s="81">
        <v>0.58333333333333337</v>
      </c>
      <c r="JV17" s="496">
        <v>0.52083333333333337</v>
      </c>
      <c r="JW17" s="497"/>
      <c r="JX17" s="497"/>
      <c r="JY17" s="498"/>
      <c r="JZ17" s="517"/>
      <c r="KA17" s="479"/>
      <c r="KB17" s="511"/>
      <c r="KC17" s="487"/>
      <c r="KD17" s="487"/>
      <c r="KE17" s="487"/>
      <c r="KF17" s="488"/>
      <c r="KG17" s="496">
        <v>0.52083333333333337</v>
      </c>
      <c r="KH17" s="497"/>
      <c r="KI17" s="497"/>
      <c r="KJ17" s="498"/>
      <c r="KK17" s="81">
        <v>0.52083333333333337</v>
      </c>
      <c r="KL17" s="496">
        <v>0.54166666666666663</v>
      </c>
      <c r="KM17" s="497"/>
      <c r="KN17" s="497"/>
      <c r="KO17" s="498"/>
      <c r="KP17" s="81">
        <v>0.5</v>
      </c>
      <c r="KQ17" s="496">
        <v>0.54166666666666663</v>
      </c>
      <c r="KR17" s="497"/>
      <c r="KS17" s="497"/>
      <c r="KT17" s="498"/>
      <c r="KU17" s="81">
        <v>0.54166666666666663</v>
      </c>
      <c r="KV17" s="496">
        <v>0.54166666666666663</v>
      </c>
      <c r="KW17" s="497"/>
      <c r="KX17" s="497"/>
      <c r="KY17" s="498"/>
      <c r="KZ17" s="81">
        <v>0.52083333333333337</v>
      </c>
      <c r="LA17" s="479"/>
      <c r="LB17" s="511"/>
      <c r="LC17" s="487"/>
      <c r="LD17" s="487"/>
      <c r="LE17" s="487"/>
      <c r="LF17" s="488"/>
      <c r="LG17" s="496">
        <v>0.52083333333333337</v>
      </c>
      <c r="LH17" s="497"/>
      <c r="LI17" s="497"/>
      <c r="LJ17" s="498"/>
      <c r="LK17" s="81">
        <v>0.54166666666666663</v>
      </c>
      <c r="LL17" s="496">
        <v>0.52083333333333337</v>
      </c>
      <c r="LM17" s="497"/>
      <c r="LN17" s="497"/>
      <c r="LO17" s="498"/>
      <c r="LP17" s="517"/>
      <c r="LQ17" s="496">
        <v>0.52083333333333337</v>
      </c>
      <c r="LR17" s="497"/>
      <c r="LS17" s="497"/>
      <c r="LT17" s="498"/>
      <c r="LU17" s="517"/>
      <c r="LV17" s="496">
        <v>0.52083333333333337</v>
      </c>
      <c r="LW17" s="497"/>
      <c r="LX17" s="497"/>
      <c r="LY17" s="498"/>
      <c r="LZ17" s="517"/>
      <c r="MA17" s="479"/>
      <c r="MB17" s="511"/>
      <c r="MC17" s="487"/>
      <c r="MD17" s="487"/>
      <c r="ME17" s="487"/>
      <c r="MF17" s="488"/>
      <c r="MG17" s="496">
        <v>0.54166666666666663</v>
      </c>
      <c r="MH17" s="497"/>
      <c r="MI17" s="497"/>
      <c r="MJ17" s="498"/>
      <c r="MK17" s="517"/>
      <c r="ML17" s="496">
        <v>0.52083333333333337</v>
      </c>
      <c r="MM17" s="497"/>
      <c r="MN17" s="497"/>
      <c r="MO17" s="498"/>
      <c r="MP17" s="81">
        <v>0.47916666666666669</v>
      </c>
      <c r="MQ17" s="496">
        <v>0.54166666666666663</v>
      </c>
      <c r="MR17" s="497"/>
      <c r="MS17" s="497"/>
      <c r="MT17" s="498"/>
      <c r="MU17" s="517"/>
      <c r="MV17" s="496">
        <v>0.54166666666666663</v>
      </c>
      <c r="MW17" s="497"/>
      <c r="MX17" s="497"/>
      <c r="MY17" s="498"/>
      <c r="MZ17" s="517"/>
      <c r="NA17" s="479"/>
      <c r="NB17" s="511"/>
      <c r="NC17" s="487"/>
      <c r="ND17" s="487"/>
      <c r="NE17" s="487"/>
      <c r="NF17" s="488"/>
      <c r="NG17" s="496">
        <v>0.54166666666666663</v>
      </c>
      <c r="NH17" s="497"/>
      <c r="NI17" s="497"/>
      <c r="NJ17" s="498"/>
      <c r="NK17" s="517"/>
      <c r="NL17" s="496">
        <v>0.52083333333333337</v>
      </c>
      <c r="NM17" s="497"/>
      <c r="NN17" s="497"/>
      <c r="NO17" s="498"/>
      <c r="NP17" s="517"/>
      <c r="NQ17" s="496">
        <v>0.52083333333333337</v>
      </c>
      <c r="NR17" s="497"/>
      <c r="NS17" s="497"/>
      <c r="NT17" s="498"/>
      <c r="NU17" s="517"/>
      <c r="NV17" s="496">
        <v>0.52083333333333337</v>
      </c>
      <c r="NW17" s="497"/>
      <c r="NX17" s="497"/>
      <c r="NY17" s="498"/>
      <c r="NZ17" s="517"/>
      <c r="OA17" s="479"/>
      <c r="OB17" s="511"/>
      <c r="OC17" s="487"/>
      <c r="OD17" s="487"/>
      <c r="OE17" s="487"/>
      <c r="OF17" s="488"/>
      <c r="OG17" s="496">
        <v>0.52083333333333337</v>
      </c>
      <c r="OH17" s="497"/>
      <c r="OI17" s="497"/>
      <c r="OJ17" s="498"/>
      <c r="OK17" s="517"/>
      <c r="OL17" s="496">
        <v>0.41666666666666669</v>
      </c>
      <c r="OM17" s="497"/>
      <c r="ON17" s="497"/>
      <c r="OO17" s="498"/>
      <c r="OP17" s="81">
        <v>0.41666666666666669</v>
      </c>
      <c r="OQ17" s="496">
        <v>0.45833333333333331</v>
      </c>
      <c r="OR17" s="497"/>
      <c r="OS17" s="497"/>
      <c r="OT17" s="498"/>
      <c r="OU17" s="517"/>
      <c r="OV17" s="496">
        <v>0.45833333333333331</v>
      </c>
      <c r="OW17" s="497"/>
      <c r="OX17" s="497"/>
      <c r="OY17" s="498"/>
      <c r="OZ17" s="517"/>
      <c r="PA17" s="479"/>
      <c r="PB17" s="511"/>
      <c r="PC17" s="487"/>
      <c r="PD17" s="487"/>
      <c r="PE17" s="487"/>
      <c r="PF17" s="488"/>
      <c r="PG17" s="496">
        <v>0.39583333333333331</v>
      </c>
      <c r="PH17" s="497"/>
      <c r="PI17" s="497"/>
      <c r="PJ17" s="498"/>
      <c r="PK17" s="517"/>
      <c r="PL17" s="496">
        <v>0.45833333333333331</v>
      </c>
      <c r="PM17" s="497"/>
      <c r="PN17" s="497"/>
      <c r="PO17" s="498"/>
      <c r="PP17" s="517"/>
      <c r="PQ17" s="496">
        <v>0.47916666666666669</v>
      </c>
      <c r="PR17" s="497"/>
      <c r="PS17" s="497"/>
      <c r="PT17" s="498"/>
      <c r="PU17" s="517"/>
      <c r="PV17" s="496">
        <v>0.54166666666666663</v>
      </c>
      <c r="PW17" s="497"/>
      <c r="PX17" s="497"/>
      <c r="PY17" s="498"/>
      <c r="PZ17" s="517"/>
      <c r="QA17" s="479"/>
      <c r="QB17" s="511"/>
      <c r="QC17" s="487"/>
      <c r="QD17" s="487"/>
      <c r="QE17" s="487"/>
      <c r="QF17" s="488"/>
      <c r="QG17" s="496">
        <v>0.47916666666666669</v>
      </c>
      <c r="QH17" s="497"/>
      <c r="QI17" s="497"/>
      <c r="QJ17" s="498"/>
      <c r="QK17" s="517"/>
      <c r="QL17" s="496">
        <v>0.52083333333333337</v>
      </c>
      <c r="QM17" s="497"/>
      <c r="QN17" s="497"/>
      <c r="QO17" s="498"/>
      <c r="QP17" s="81">
        <v>0.47916666666666669</v>
      </c>
      <c r="QQ17" s="496">
        <v>0.5</v>
      </c>
      <c r="QR17" s="497"/>
      <c r="QS17" s="497"/>
      <c r="QT17" s="498"/>
      <c r="QU17" s="81">
        <v>0.47916666666666669</v>
      </c>
      <c r="QV17" s="496">
        <v>0.52083333333333337</v>
      </c>
      <c r="QW17" s="497"/>
      <c r="QX17" s="497"/>
      <c r="QY17" s="498"/>
      <c r="QZ17" s="517"/>
      <c r="RA17" s="479"/>
      <c r="RB17" s="511"/>
      <c r="RC17" s="487"/>
      <c r="RD17" s="487"/>
      <c r="RE17" s="487"/>
      <c r="RF17" s="488"/>
      <c r="RG17" s="496">
        <v>0.52083333333333337</v>
      </c>
      <c r="RH17" s="497"/>
      <c r="RI17" s="497"/>
      <c r="RJ17" s="498"/>
      <c r="RK17" s="517"/>
      <c r="RL17" s="496">
        <v>0.52083333333333337</v>
      </c>
      <c r="RM17" s="497"/>
      <c r="RN17" s="497"/>
      <c r="RO17" s="498"/>
      <c r="RP17" s="81">
        <v>0.47916666666666669</v>
      </c>
      <c r="RQ17" s="496">
        <v>0.45833333333333331</v>
      </c>
      <c r="RR17" s="497"/>
      <c r="RS17" s="497"/>
      <c r="RT17" s="498"/>
      <c r="RU17" s="81">
        <v>0.5</v>
      </c>
      <c r="RV17" s="496">
        <v>0.54166666666666663</v>
      </c>
      <c r="RW17" s="497"/>
      <c r="RX17" s="497"/>
      <c r="RY17" s="498"/>
      <c r="RZ17" s="517"/>
      <c r="SA17" s="479"/>
      <c r="SB17" s="511"/>
      <c r="SC17" s="487"/>
      <c r="SD17" s="487"/>
      <c r="SE17" s="487"/>
      <c r="SF17" s="488"/>
      <c r="SG17" s="496">
        <v>0.52083333333333337</v>
      </c>
      <c r="SH17" s="497"/>
      <c r="SI17" s="497"/>
      <c r="SJ17" s="498"/>
      <c r="SK17" s="81">
        <v>0.5</v>
      </c>
      <c r="SL17" s="496">
        <v>0.45833333333333331</v>
      </c>
      <c r="SM17" s="497"/>
      <c r="SN17" s="497"/>
      <c r="SO17" s="498"/>
      <c r="SP17" s="81">
        <v>0.5</v>
      </c>
      <c r="SQ17" s="496">
        <v>0.52083333333333337</v>
      </c>
      <c r="SR17" s="497"/>
      <c r="SS17" s="497"/>
      <c r="ST17" s="498"/>
      <c r="SU17" s="517"/>
      <c r="SV17" s="496">
        <v>0.52083333333333337</v>
      </c>
      <c r="SW17" s="497"/>
      <c r="SX17" s="497"/>
      <c r="SY17" s="498"/>
      <c r="SZ17" s="517"/>
      <c r="TA17" s="479"/>
      <c r="TB17" s="511"/>
      <c r="TC17" s="487"/>
      <c r="TD17" s="487"/>
      <c r="TE17" s="487"/>
      <c r="TF17" s="488"/>
      <c r="TG17" s="496">
        <v>0.52083333333333337</v>
      </c>
      <c r="TH17" s="497"/>
      <c r="TI17" s="497"/>
      <c r="TJ17" s="498"/>
      <c r="TK17" s="517"/>
      <c r="TL17" s="496">
        <v>0.52083333333333337</v>
      </c>
      <c r="TM17" s="497"/>
      <c r="TN17" s="497"/>
      <c r="TO17" s="498"/>
      <c r="TP17" s="81"/>
      <c r="TQ17" s="517"/>
      <c r="TR17" s="496">
        <v>0.52083333333333337</v>
      </c>
      <c r="TS17" s="497"/>
      <c r="TT17" s="497"/>
      <c r="TU17" s="498"/>
      <c r="TV17" s="517"/>
      <c r="TW17" s="496">
        <v>0.52083333333333337</v>
      </c>
      <c r="TX17" s="497"/>
      <c r="TY17" s="497"/>
      <c r="TZ17" s="498"/>
      <c r="UA17" s="517"/>
      <c r="UB17" s="479"/>
      <c r="UC17" s="511"/>
      <c r="UD17" s="487"/>
      <c r="UE17" s="487"/>
      <c r="UF17" s="487"/>
      <c r="UG17" s="488"/>
      <c r="UH17" s="496">
        <v>0.52083333333333337</v>
      </c>
      <c r="UI17" s="497"/>
      <c r="UJ17" s="497"/>
      <c r="UK17" s="498"/>
      <c r="UL17" s="81">
        <v>0.5</v>
      </c>
      <c r="UM17" s="496">
        <v>0.52083333333333337</v>
      </c>
      <c r="UN17" s="497"/>
      <c r="UO17" s="497"/>
      <c r="UP17" s="498"/>
      <c r="UQ17" s="517"/>
      <c r="UR17" s="496">
        <v>0.4375</v>
      </c>
      <c r="US17" s="497"/>
      <c r="UT17" s="497"/>
      <c r="UU17" s="498"/>
      <c r="UV17" s="517"/>
      <c r="UW17" s="496">
        <v>0.52083333333333337</v>
      </c>
      <c r="UX17" s="497"/>
      <c r="UY17" s="497"/>
      <c r="UZ17" s="498"/>
      <c r="VA17" s="81">
        <v>0.5625</v>
      </c>
      <c r="VB17" s="479"/>
      <c r="VC17" s="511"/>
      <c r="VD17" s="487"/>
      <c r="VE17" s="487"/>
      <c r="VF17" s="487"/>
      <c r="VG17" s="488"/>
      <c r="VH17" s="496">
        <v>0.52083333333333337</v>
      </c>
      <c r="VI17" s="497"/>
      <c r="VJ17" s="497"/>
      <c r="VK17" s="498"/>
      <c r="VL17" s="517"/>
      <c r="VM17" s="496">
        <v>0.52083333333333337</v>
      </c>
      <c r="VN17" s="497"/>
      <c r="VO17" s="497"/>
      <c r="VP17" s="498"/>
      <c r="VQ17" s="517"/>
      <c r="VR17" s="496">
        <v>0.52083333333333337</v>
      </c>
      <c r="VS17" s="497"/>
      <c r="VT17" s="497"/>
      <c r="VU17" s="498"/>
      <c r="VV17" s="517"/>
      <c r="VW17" s="496">
        <v>0.52083333333333337</v>
      </c>
      <c r="VX17" s="497"/>
      <c r="VY17" s="497"/>
      <c r="VZ17" s="498"/>
      <c r="WA17" s="517"/>
      <c r="WB17" s="479"/>
      <c r="WC17" s="511"/>
      <c r="WD17" s="487"/>
      <c r="WE17" s="487"/>
      <c r="WF17" s="487"/>
      <c r="WG17" s="488"/>
      <c r="WH17" s="496">
        <v>0.52083333333333337</v>
      </c>
      <c r="WI17" s="497"/>
      <c r="WJ17" s="497"/>
      <c r="WK17" s="498"/>
      <c r="WL17" s="81">
        <v>0.5625</v>
      </c>
      <c r="WM17" s="496">
        <v>0.52083333333333337</v>
      </c>
      <c r="WN17" s="497"/>
      <c r="WO17" s="497"/>
      <c r="WP17" s="498"/>
      <c r="WQ17" s="81">
        <v>0.52083333333333337</v>
      </c>
      <c r="WR17" s="496">
        <v>0.52083333333333337</v>
      </c>
      <c r="WS17" s="497"/>
      <c r="WT17" s="497"/>
      <c r="WU17" s="498"/>
      <c r="WV17" s="81">
        <v>0.52083333333333337</v>
      </c>
      <c r="WW17" s="496">
        <v>0.52083333333333337</v>
      </c>
      <c r="WX17" s="497"/>
      <c r="WY17" s="497"/>
      <c r="WZ17" s="498"/>
      <c r="XA17" s="81">
        <v>0.54166666666666663</v>
      </c>
      <c r="XB17" s="479"/>
      <c r="XC17" s="511"/>
      <c r="XD17" s="487"/>
      <c r="XE17" s="487"/>
      <c r="XF17" s="487"/>
      <c r="XG17" s="488"/>
      <c r="XH17" s="496">
        <v>0.54166666666666663</v>
      </c>
      <c r="XI17" s="497"/>
      <c r="XJ17" s="497"/>
      <c r="XK17" s="498"/>
      <c r="XL17" s="81">
        <v>0.54166666666666663</v>
      </c>
      <c r="XM17" s="496">
        <v>0.52083333333333337</v>
      </c>
      <c r="XN17" s="497"/>
      <c r="XO17" s="497"/>
      <c r="XP17" s="498"/>
      <c r="XQ17" s="81">
        <v>0.54166666666666663</v>
      </c>
      <c r="XR17" s="496">
        <v>0.52083333333333337</v>
      </c>
      <c r="XS17" s="497"/>
      <c r="XT17" s="497"/>
      <c r="XU17" s="498"/>
      <c r="XV17" s="517"/>
      <c r="XW17" s="496">
        <v>0.52083333333333337</v>
      </c>
      <c r="XX17" s="497"/>
      <c r="XY17" s="497"/>
      <c r="XZ17" s="498"/>
      <c r="YA17" s="81">
        <v>0.52083333333333337</v>
      </c>
      <c r="YB17" s="479"/>
      <c r="YC17" s="511"/>
      <c r="YD17" s="487"/>
      <c r="YE17" s="487"/>
      <c r="YF17" s="487"/>
      <c r="YG17" s="488"/>
      <c r="YH17" s="496">
        <v>0.52083333333333337</v>
      </c>
      <c r="YI17" s="497"/>
      <c r="YJ17" s="497"/>
      <c r="YK17" s="498"/>
      <c r="YL17" s="517"/>
      <c r="YM17" s="496">
        <v>0.52083333333333337</v>
      </c>
      <c r="YN17" s="497"/>
      <c r="YO17" s="497"/>
      <c r="YP17" s="498"/>
      <c r="YQ17" s="517"/>
      <c r="YR17" s="496">
        <v>0.52083333333333337</v>
      </c>
      <c r="YS17" s="497"/>
      <c r="YT17" s="497"/>
      <c r="YU17" s="498"/>
      <c r="YV17" s="517"/>
      <c r="YW17" s="496">
        <v>0.52083333333333337</v>
      </c>
      <c r="YX17" s="497"/>
      <c r="YY17" s="497"/>
      <c r="YZ17" s="498"/>
      <c r="ZA17" s="81">
        <v>0.54166666666666663</v>
      </c>
      <c r="ZB17" s="479"/>
      <c r="ZC17" s="511"/>
      <c r="ZD17" s="487"/>
      <c r="ZE17" s="487"/>
      <c r="ZF17" s="487"/>
      <c r="ZG17" s="488"/>
      <c r="ZH17" s="496">
        <v>0.52083333333333337</v>
      </c>
      <c r="ZI17" s="497"/>
      <c r="ZJ17" s="497"/>
      <c r="ZK17" s="498"/>
      <c r="ZL17" s="81">
        <v>0.52083333333333337</v>
      </c>
      <c r="ZM17" s="496">
        <v>0.52083333333333337</v>
      </c>
      <c r="ZN17" s="497"/>
      <c r="ZO17" s="497"/>
      <c r="ZP17" s="498"/>
      <c r="ZQ17" s="517"/>
      <c r="ZR17" s="496">
        <v>0.52083333333333337</v>
      </c>
      <c r="ZS17" s="497"/>
      <c r="ZT17" s="497"/>
      <c r="ZU17" s="498"/>
      <c r="ZV17" s="81">
        <v>0.54166666666666663</v>
      </c>
      <c r="ZW17" s="496">
        <v>0.52083333333333337</v>
      </c>
      <c r="ZX17" s="497"/>
      <c r="ZY17" s="497"/>
      <c r="ZZ17" s="498"/>
      <c r="AAA17" s="517"/>
      <c r="AAB17" s="479"/>
      <c r="AAC17" s="511"/>
      <c r="AAD17" s="487"/>
      <c r="AAE17" s="487"/>
      <c r="AAF17" s="487"/>
      <c r="AAG17" s="488"/>
      <c r="AAH17" s="496">
        <v>0.52083333333333337</v>
      </c>
      <c r="AAI17" s="497"/>
      <c r="AAJ17" s="497"/>
      <c r="AAK17" s="498"/>
      <c r="AAL17" s="517"/>
      <c r="AAM17" s="496">
        <v>0.52083333333333337</v>
      </c>
      <c r="AAN17" s="497"/>
      <c r="AAO17" s="497"/>
      <c r="AAP17" s="498"/>
      <c r="AAQ17" s="517"/>
      <c r="AAR17" s="496">
        <v>0.52083333333333337</v>
      </c>
      <c r="AAS17" s="497"/>
      <c r="AAT17" s="497"/>
      <c r="AAU17" s="498"/>
      <c r="AAV17" s="81">
        <v>0.52083333333333337</v>
      </c>
      <c r="AAW17" s="496">
        <v>0.52083333333333337</v>
      </c>
      <c r="AAX17" s="497"/>
      <c r="AAY17" s="497"/>
      <c r="AAZ17" s="498"/>
      <c r="ABA17" s="517"/>
      <c r="ABB17" s="479"/>
      <c r="ABC17" s="511"/>
      <c r="ABD17" s="487"/>
      <c r="ABE17" s="487"/>
      <c r="ABF17" s="487"/>
      <c r="ABG17" s="488"/>
      <c r="ABH17" s="496">
        <v>0.52083333333333337</v>
      </c>
      <c r="ABI17" s="497"/>
      <c r="ABJ17" s="497"/>
      <c r="ABK17" s="498"/>
      <c r="ABL17" s="81">
        <v>0.52083333333333337</v>
      </c>
      <c r="ABM17" s="496">
        <v>0.52083333333333337</v>
      </c>
      <c r="ABN17" s="497"/>
      <c r="ABO17" s="497"/>
      <c r="ABP17" s="498"/>
      <c r="ABQ17" s="81">
        <v>0.52083333333333337</v>
      </c>
      <c r="ABR17" s="496">
        <v>0.52083333333333337</v>
      </c>
      <c r="ABS17" s="497"/>
      <c r="ABT17" s="497"/>
      <c r="ABU17" s="498"/>
      <c r="ABV17" s="517"/>
      <c r="ABW17" s="496">
        <v>0.52083333333333337</v>
      </c>
      <c r="ABX17" s="497"/>
      <c r="ABY17" s="497"/>
      <c r="ABZ17" s="498"/>
      <c r="ACA17" s="517"/>
      <c r="ACB17" s="479"/>
      <c r="ACC17" s="511"/>
      <c r="ACD17" s="487"/>
      <c r="ACE17" s="487"/>
      <c r="ACF17" s="487"/>
      <c r="ACG17" s="488"/>
      <c r="ACH17" s="496">
        <v>0.52083333333333337</v>
      </c>
      <c r="ACI17" s="497"/>
      <c r="ACJ17" s="497"/>
      <c r="ACK17" s="498"/>
      <c r="ACL17" s="81">
        <v>0.54166666666666663</v>
      </c>
      <c r="ACM17" s="496">
        <v>0.52083333333333315</v>
      </c>
      <c r="ACN17" s="497"/>
      <c r="ACO17" s="497"/>
      <c r="ACP17" s="498"/>
      <c r="ACQ17" s="517"/>
      <c r="ACR17" s="496">
        <v>0.52083333333333315</v>
      </c>
      <c r="ACS17" s="497"/>
      <c r="ACT17" s="497"/>
      <c r="ACU17" s="498"/>
      <c r="ACV17" s="517"/>
      <c r="ACW17" s="496">
        <v>0.52083333333333315</v>
      </c>
      <c r="ACX17" s="497"/>
      <c r="ACY17" s="497"/>
      <c r="ACZ17" s="498"/>
      <c r="ADA17" s="517"/>
      <c r="ADB17" s="479"/>
      <c r="ADC17" s="511"/>
      <c r="ADD17" s="487"/>
      <c r="ADE17" s="487"/>
      <c r="ADF17" s="487"/>
      <c r="ADG17" s="488"/>
      <c r="ADH17" s="496">
        <v>0.52083333333333315</v>
      </c>
      <c r="ADI17" s="497"/>
      <c r="ADJ17" s="497"/>
      <c r="ADK17" s="498"/>
      <c r="ADL17" s="517"/>
      <c r="ADM17" s="496">
        <v>0.52083333333333315</v>
      </c>
      <c r="ADN17" s="497"/>
      <c r="ADO17" s="497"/>
      <c r="ADP17" s="498"/>
      <c r="ADQ17" s="517"/>
      <c r="ADR17" s="496">
        <v>0.52083333333333315</v>
      </c>
      <c r="ADS17" s="497"/>
      <c r="ADT17" s="497"/>
      <c r="ADU17" s="498"/>
      <c r="ADV17" s="517"/>
      <c r="ADW17" s="496">
        <v>0.52083333333333315</v>
      </c>
      <c r="ADX17" s="497"/>
      <c r="ADY17" s="497"/>
      <c r="ADZ17" s="498"/>
      <c r="AEA17" s="517"/>
      <c r="AEB17" s="479"/>
      <c r="AEC17" s="511"/>
      <c r="AED17" s="487"/>
      <c r="AEE17" s="487"/>
      <c r="AEF17" s="487"/>
      <c r="AEG17" s="488"/>
      <c r="AEH17" s="496">
        <v>0.52083333333333315</v>
      </c>
      <c r="AEI17" s="497"/>
      <c r="AEJ17" s="497"/>
      <c r="AEK17" s="498"/>
      <c r="AEL17" s="517"/>
      <c r="AEM17" s="496">
        <v>0.52083333333333315</v>
      </c>
      <c r="AEN17" s="497"/>
      <c r="AEO17" s="497"/>
      <c r="AEP17" s="498"/>
      <c r="AEQ17" s="404"/>
      <c r="AER17" s="517"/>
      <c r="AES17" s="496">
        <v>0.52083333333333315</v>
      </c>
      <c r="AET17" s="497"/>
      <c r="AEU17" s="497"/>
      <c r="AEV17" s="498"/>
      <c r="AEW17" s="517"/>
      <c r="AEX17" s="496">
        <v>0.52083333333333315</v>
      </c>
      <c r="AEY17" s="497"/>
      <c r="AEZ17" s="497"/>
      <c r="AFA17" s="498"/>
      <c r="AFB17" s="517"/>
      <c r="AFC17" s="479"/>
      <c r="AFD17" s="511"/>
      <c r="AFE17" s="487"/>
      <c r="AFF17" s="487"/>
      <c r="AFG17" s="487"/>
      <c r="AFH17" s="488"/>
      <c r="AFI17" s="496">
        <v>0.52083333333333315</v>
      </c>
      <c r="AFJ17" s="497"/>
      <c r="AFK17" s="497"/>
      <c r="AFL17" s="498"/>
      <c r="AFM17" s="517"/>
      <c r="AFN17" s="496">
        <v>0.54166666666666663</v>
      </c>
      <c r="AFO17" s="497"/>
      <c r="AFP17" s="497"/>
      <c r="AFQ17" s="498"/>
      <c r="AFR17" s="81">
        <v>0.5625</v>
      </c>
      <c r="AFS17" s="496">
        <v>0.52083333333333337</v>
      </c>
      <c r="AFT17" s="497"/>
      <c r="AFU17" s="497"/>
      <c r="AFV17" s="498"/>
      <c r="AFW17" s="81">
        <v>0.54166666666666663</v>
      </c>
      <c r="AFX17" s="496">
        <v>0.52083333333333337</v>
      </c>
      <c r="AFY17" s="497"/>
      <c r="AFZ17" s="497"/>
      <c r="AGA17" s="498"/>
      <c r="AGB17" s="81">
        <v>0.58333333333333337</v>
      </c>
      <c r="AGC17" s="479"/>
      <c r="AGD17" s="511"/>
      <c r="AGE17" s="487"/>
      <c r="AGF17" s="487"/>
      <c r="AGG17" s="487"/>
      <c r="AGH17" s="488"/>
      <c r="AGI17" s="496">
        <v>0.52083333333333315</v>
      </c>
      <c r="AGJ17" s="497"/>
      <c r="AGK17" s="497"/>
      <c r="AGL17" s="498"/>
      <c r="AGM17" s="81">
        <v>0.54166666666666663</v>
      </c>
      <c r="AGN17" s="496">
        <v>0.52083333333333315</v>
      </c>
      <c r="AGO17" s="497"/>
      <c r="AGP17" s="497"/>
      <c r="AGQ17" s="498"/>
      <c r="AGR17" s="517"/>
      <c r="AGS17" s="496">
        <v>0.52083333333333315</v>
      </c>
      <c r="AGT17" s="497"/>
      <c r="AGU17" s="497"/>
      <c r="AGV17" s="498"/>
      <c r="AGW17" s="517"/>
      <c r="AGX17" s="496">
        <v>0.52083333333333315</v>
      </c>
      <c r="AGY17" s="497"/>
      <c r="AGZ17" s="497"/>
      <c r="AHA17" s="498"/>
      <c r="AHB17" s="517"/>
      <c r="AHC17" s="479"/>
      <c r="AHD17" s="511"/>
      <c r="AHE17" s="487"/>
      <c r="AHF17" s="487"/>
      <c r="AHG17" s="487"/>
      <c r="AHH17" s="488"/>
      <c r="AHI17" s="496">
        <v>0.52083333333333315</v>
      </c>
      <c r="AHJ17" s="497"/>
      <c r="AHK17" s="497"/>
      <c r="AHL17" s="498"/>
      <c r="AHM17" s="81">
        <v>0.54166666666666663</v>
      </c>
      <c r="AHN17" s="496">
        <v>0.52083333333333315</v>
      </c>
      <c r="AHO17" s="497"/>
      <c r="AHP17" s="497"/>
      <c r="AHQ17" s="498"/>
      <c r="AHR17" s="517"/>
      <c r="AHS17" s="496">
        <v>0.52083333333333315</v>
      </c>
      <c r="AHT17" s="497"/>
      <c r="AHU17" s="497"/>
      <c r="AHV17" s="498"/>
      <c r="AHW17" s="517"/>
      <c r="AHX17" s="496">
        <v>0.5625</v>
      </c>
      <c r="AHY17" s="497"/>
      <c r="AHZ17" s="497"/>
      <c r="AIA17" s="498"/>
      <c r="AIB17" s="517"/>
      <c r="AIC17" s="479"/>
      <c r="AID17" s="511"/>
      <c r="AIE17" s="487"/>
      <c r="AIF17" s="487"/>
      <c r="AIG17" s="487"/>
      <c r="AIH17" s="488"/>
      <c r="AII17" s="496">
        <v>0.52083333333333315</v>
      </c>
      <c r="AIJ17" s="497"/>
      <c r="AIK17" s="497"/>
      <c r="AIL17" s="498"/>
      <c r="AIM17" s="517"/>
      <c r="AIN17" s="496">
        <v>0.54166666666666663</v>
      </c>
      <c r="AIO17" s="497"/>
      <c r="AIP17" s="497"/>
      <c r="AIQ17" s="498"/>
      <c r="AIR17" s="517"/>
      <c r="AIS17" s="496">
        <v>0.58333333333333337</v>
      </c>
      <c r="AIT17" s="497"/>
      <c r="AIU17" s="497"/>
      <c r="AIV17" s="498"/>
      <c r="AIW17" s="517"/>
      <c r="AIX17" s="496">
        <v>0.60416666666666663</v>
      </c>
      <c r="AIY17" s="497"/>
      <c r="AIZ17" s="497"/>
      <c r="AJA17" s="498"/>
      <c r="AJB17" s="517"/>
      <c r="AJC17" s="479"/>
      <c r="AJD17" s="511"/>
      <c r="AJE17" s="487"/>
      <c r="AJF17" s="487"/>
      <c r="AJG17" s="487"/>
      <c r="AJH17" s="488"/>
      <c r="AJI17" s="496">
        <v>0.52083333333333337</v>
      </c>
      <c r="AJJ17" s="497"/>
      <c r="AJK17" s="497"/>
      <c r="AJL17" s="498"/>
      <c r="AJM17" s="517"/>
      <c r="AJN17" s="496">
        <v>0.60416666666666663</v>
      </c>
      <c r="AJO17" s="497"/>
      <c r="AJP17" s="497"/>
      <c r="AJQ17" s="498"/>
      <c r="AJR17" s="517"/>
      <c r="AJS17" s="496">
        <v>0.52083333333333337</v>
      </c>
      <c r="AJT17" s="497"/>
      <c r="AJU17" s="497"/>
      <c r="AJV17" s="498"/>
      <c r="AJW17" s="81">
        <v>0.54166666666666663</v>
      </c>
      <c r="AJX17" s="496">
        <v>0.52083333333333315</v>
      </c>
      <c r="AJY17" s="497"/>
      <c r="AJZ17" s="497"/>
      <c r="AKA17" s="498"/>
      <c r="AKB17" s="81">
        <v>0.54166666666666674</v>
      </c>
      <c r="AKC17" s="479"/>
      <c r="AKD17" s="511"/>
      <c r="AKE17" s="487"/>
      <c r="AKF17" s="487"/>
      <c r="AKG17" s="487"/>
      <c r="AKH17" s="488"/>
      <c r="AKI17" s="496">
        <v>0.52083333333333315</v>
      </c>
      <c r="AKJ17" s="497"/>
      <c r="AKK17" s="497"/>
      <c r="AKL17" s="498"/>
      <c r="AKM17" s="517"/>
      <c r="AKN17" s="496">
        <v>0.56249999999999989</v>
      </c>
      <c r="AKO17" s="497"/>
      <c r="AKP17" s="497"/>
      <c r="AKQ17" s="498"/>
      <c r="AKR17" s="81">
        <v>0.54166666666666663</v>
      </c>
      <c r="AKS17" s="496">
        <v>0.52083333333333337</v>
      </c>
      <c r="AKT17" s="497"/>
      <c r="AKU17" s="497"/>
      <c r="AKV17" s="498"/>
      <c r="AKW17" s="81">
        <v>0.52083333333333337</v>
      </c>
      <c r="AKX17" s="496">
        <v>0.54166666666666652</v>
      </c>
      <c r="AKY17" s="497"/>
      <c r="AKZ17" s="497"/>
      <c r="ALA17" s="498"/>
      <c r="ALB17" s="81">
        <v>0.54166666666666663</v>
      </c>
      <c r="ALC17" s="479"/>
      <c r="ALD17" s="511"/>
      <c r="ALE17" s="487"/>
      <c r="ALF17" s="487"/>
      <c r="ALG17" s="487"/>
      <c r="ALH17" s="488"/>
      <c r="ALI17" s="496">
        <v>0.5625</v>
      </c>
      <c r="ALJ17" s="497"/>
      <c r="ALK17" s="497"/>
      <c r="ALL17" s="498"/>
      <c r="ALM17" s="81">
        <v>0.54166666666666663</v>
      </c>
      <c r="ALN17" s="496">
        <v>0.52083333333333337</v>
      </c>
      <c r="ALO17" s="497"/>
      <c r="ALP17" s="497"/>
      <c r="ALQ17" s="498"/>
      <c r="ALR17" s="81">
        <v>0.54166666666666663</v>
      </c>
      <c r="ALS17" s="496">
        <v>0.52083333333333315</v>
      </c>
      <c r="ALT17" s="497"/>
      <c r="ALU17" s="497"/>
      <c r="ALV17" s="498"/>
      <c r="ALW17" s="81">
        <v>0.54166666666666663</v>
      </c>
      <c r="ALX17" s="496">
        <v>0.54166666666666652</v>
      </c>
      <c r="ALY17" s="497"/>
      <c r="ALZ17" s="497"/>
      <c r="AMA17" s="498"/>
      <c r="AMB17" s="81">
        <v>0.52083333333333337</v>
      </c>
      <c r="AMC17" s="479"/>
      <c r="AMD17" s="511"/>
      <c r="AME17" s="487"/>
      <c r="AMF17" s="487"/>
      <c r="AMG17" s="487"/>
      <c r="AMH17" s="488"/>
      <c r="AMI17" s="496">
        <v>0.54166666666666652</v>
      </c>
      <c r="AMJ17" s="497"/>
      <c r="AMK17" s="497"/>
      <c r="AML17" s="498"/>
      <c r="AMM17" s="517"/>
      <c r="AMN17" s="496">
        <v>0.52083333333333315</v>
      </c>
      <c r="AMO17" s="497"/>
      <c r="AMP17" s="497"/>
      <c r="AMQ17" s="498"/>
      <c r="AMR17" s="81">
        <v>0.5</v>
      </c>
      <c r="AMS17" s="81"/>
      <c r="AMT17" s="496">
        <v>0.52083333333333315</v>
      </c>
      <c r="AMU17" s="497"/>
      <c r="AMV17" s="497"/>
      <c r="AMW17" s="498"/>
      <c r="AMX17" s="81">
        <v>0.54166666666666663</v>
      </c>
      <c r="AMY17" s="496">
        <v>0.54166666666666652</v>
      </c>
      <c r="AMZ17" s="497"/>
      <c r="ANA17" s="497"/>
      <c r="ANB17" s="498"/>
      <c r="ANC17" s="81">
        <v>0.54166666666666663</v>
      </c>
      <c r="AND17" s="479"/>
      <c r="ANE17" s="511"/>
      <c r="ANF17" s="487"/>
      <c r="ANG17" s="487"/>
      <c r="ANH17" s="487"/>
      <c r="ANI17" s="488"/>
      <c r="ANJ17" s="496">
        <v>0.52083333333333315</v>
      </c>
      <c r="ANK17" s="497"/>
      <c r="ANL17" s="497"/>
      <c r="ANM17" s="498"/>
      <c r="ANN17" s="517"/>
      <c r="ANO17" s="496">
        <v>0.5</v>
      </c>
      <c r="ANP17" s="497"/>
      <c r="ANQ17" s="497"/>
      <c r="ANR17" s="498"/>
      <c r="ANS17" s="81">
        <v>0.58333333333333337</v>
      </c>
      <c r="ANT17" s="81"/>
      <c r="ANU17" s="496">
        <v>0.54166666666666652</v>
      </c>
      <c r="ANV17" s="497"/>
      <c r="ANW17" s="497"/>
      <c r="ANX17" s="498"/>
      <c r="ANY17" s="517"/>
      <c r="ANZ17" s="496">
        <v>0.54166666666666652</v>
      </c>
      <c r="AOA17" s="497"/>
      <c r="AOB17" s="497"/>
      <c r="AOC17" s="498"/>
      <c r="AOD17" s="81">
        <v>0.5</v>
      </c>
      <c r="AOE17" s="479"/>
      <c r="AOF17" s="511"/>
      <c r="AOG17" s="487"/>
      <c r="AOH17" s="487"/>
      <c r="AOI17" s="487"/>
      <c r="AOJ17" s="488"/>
      <c r="AOK17" s="496">
        <v>0.54166666666666652</v>
      </c>
      <c r="AOL17" s="497"/>
      <c r="AOM17" s="497"/>
      <c r="AON17" s="498"/>
      <c r="AOO17" s="81">
        <v>0.54166666666666663</v>
      </c>
      <c r="AOP17" s="496">
        <v>0.54166666666666652</v>
      </c>
      <c r="AOQ17" s="497"/>
      <c r="AOR17" s="497"/>
      <c r="AOS17" s="498"/>
      <c r="AOT17" s="517"/>
      <c r="AOU17" s="81"/>
      <c r="AOV17" s="496">
        <v>0.54166666666666652</v>
      </c>
      <c r="AOW17" s="497"/>
      <c r="AOX17" s="497"/>
      <c r="AOY17" s="498"/>
      <c r="AOZ17" s="517"/>
      <c r="APA17" s="496"/>
      <c r="APB17" s="497"/>
      <c r="APC17" s="497"/>
      <c r="APD17" s="498"/>
      <c r="APE17" s="81"/>
    </row>
    <row r="18" spans="1:1097" ht="45" customHeight="1" x14ac:dyDescent="0.4">
      <c r="A18" s="479"/>
      <c r="B18" s="512" t="s">
        <v>11</v>
      </c>
      <c r="C18" s="458"/>
      <c r="D18" s="458"/>
      <c r="E18" s="458"/>
      <c r="F18" s="465"/>
      <c r="G18" s="49">
        <v>0</v>
      </c>
      <c r="H18" s="46" t="s">
        <v>378</v>
      </c>
      <c r="I18" s="398" t="s">
        <v>673</v>
      </c>
      <c r="J18" s="363">
        <v>201.2</v>
      </c>
      <c r="K18" s="24">
        <v>134</v>
      </c>
      <c r="L18" s="49">
        <v>0</v>
      </c>
      <c r="M18" s="46" t="s">
        <v>378</v>
      </c>
      <c r="N18" s="398" t="s">
        <v>673</v>
      </c>
      <c r="O18" s="363">
        <v>226</v>
      </c>
      <c r="P18" s="518"/>
      <c r="Q18" s="49">
        <v>0</v>
      </c>
      <c r="R18" s="46" t="s">
        <v>378</v>
      </c>
      <c r="S18" s="398" t="s">
        <v>673</v>
      </c>
      <c r="T18" s="363">
        <v>136</v>
      </c>
      <c r="U18" s="518"/>
      <c r="V18" s="49">
        <v>46</v>
      </c>
      <c r="W18" s="46" t="s">
        <v>378</v>
      </c>
      <c r="X18" s="398" t="s">
        <v>673</v>
      </c>
      <c r="Y18" s="363">
        <f>V25</f>
        <v>367</v>
      </c>
      <c r="Z18" s="24">
        <v>286.89999999999998</v>
      </c>
      <c r="AA18" s="479"/>
      <c r="AB18" s="512" t="s">
        <v>11</v>
      </c>
      <c r="AC18" s="458"/>
      <c r="AD18" s="458"/>
      <c r="AE18" s="458"/>
      <c r="AF18" s="465"/>
      <c r="AG18" s="49">
        <v>29.7</v>
      </c>
      <c r="AH18" s="46" t="s">
        <v>378</v>
      </c>
      <c r="AI18" s="398" t="s">
        <v>673</v>
      </c>
      <c r="AJ18" s="363">
        <v>356.7</v>
      </c>
      <c r="AK18" s="24">
        <v>224.1</v>
      </c>
      <c r="AL18" s="49">
        <v>44.9</v>
      </c>
      <c r="AM18" s="46" t="s">
        <v>378</v>
      </c>
      <c r="AN18" s="398" t="s">
        <v>673</v>
      </c>
      <c r="AO18" s="363">
        <v>372</v>
      </c>
      <c r="AP18" s="24">
        <v>273.27790000000005</v>
      </c>
      <c r="AQ18" s="49">
        <v>0</v>
      </c>
      <c r="AR18" s="46" t="s">
        <v>378</v>
      </c>
      <c r="AS18" s="398" t="s">
        <v>673</v>
      </c>
      <c r="AT18" s="363">
        <v>283</v>
      </c>
      <c r="AU18" s="518"/>
      <c r="AV18" s="49">
        <v>40</v>
      </c>
      <c r="AW18" s="46" t="s">
        <v>378</v>
      </c>
      <c r="AX18" s="398" t="s">
        <v>673</v>
      </c>
      <c r="AY18" s="363">
        <f>AV25</f>
        <v>356.79999999999995</v>
      </c>
      <c r="AZ18" s="24">
        <f>AZ25</f>
        <v>170.70000000000005</v>
      </c>
      <c r="BA18" s="479"/>
      <c r="BB18" s="512" t="s">
        <v>11</v>
      </c>
      <c r="BC18" s="458"/>
      <c r="BD18" s="458"/>
      <c r="BE18" s="458"/>
      <c r="BF18" s="465"/>
      <c r="BG18" s="49">
        <v>66</v>
      </c>
      <c r="BH18" s="46" t="s">
        <v>378</v>
      </c>
      <c r="BI18" s="398" t="s">
        <v>673</v>
      </c>
      <c r="BJ18" s="363">
        <f>BG25</f>
        <v>362.20000000000005</v>
      </c>
      <c r="BK18" s="24">
        <f>BK25</f>
        <v>287.90000000000009</v>
      </c>
      <c r="BL18" s="49">
        <v>108.4</v>
      </c>
      <c r="BM18" s="46" t="s">
        <v>378</v>
      </c>
      <c r="BN18" s="398" t="s">
        <v>673</v>
      </c>
      <c r="BO18" s="363">
        <f>BL25</f>
        <v>441.19999999999982</v>
      </c>
      <c r="BP18" s="24">
        <f>BP25</f>
        <v>334.5</v>
      </c>
      <c r="BQ18" s="49">
        <v>0</v>
      </c>
      <c r="BR18" s="46" t="s">
        <v>378</v>
      </c>
      <c r="BS18" s="398" t="s">
        <v>673</v>
      </c>
      <c r="BT18" s="363">
        <f>BQ25</f>
        <v>162.83539999999994</v>
      </c>
      <c r="BU18" s="518"/>
      <c r="BV18" s="49">
        <v>31.4</v>
      </c>
      <c r="BW18" s="46" t="s">
        <v>378</v>
      </c>
      <c r="BX18" s="398" t="s">
        <v>673</v>
      </c>
      <c r="BY18" s="363">
        <v>308</v>
      </c>
      <c r="BZ18" s="24">
        <f>BZ25</f>
        <v>116.67449999999985</v>
      </c>
      <c r="CA18" s="479"/>
      <c r="CB18" s="512" t="s">
        <v>11</v>
      </c>
      <c r="CC18" s="458"/>
      <c r="CD18" s="458"/>
      <c r="CE18" s="458"/>
      <c r="CF18" s="465"/>
      <c r="CG18" s="49">
        <v>52.4</v>
      </c>
      <c r="CH18" s="46" t="s">
        <v>378</v>
      </c>
      <c r="CI18" s="398" t="s">
        <v>673</v>
      </c>
      <c r="CJ18" s="363">
        <v>360.8</v>
      </c>
      <c r="CK18" s="24">
        <f>CK25</f>
        <v>313</v>
      </c>
      <c r="CL18" s="49">
        <v>0</v>
      </c>
      <c r="CM18" s="46" t="s">
        <v>378</v>
      </c>
      <c r="CN18" s="398" t="s">
        <v>673</v>
      </c>
      <c r="CO18" s="363">
        <v>97.3</v>
      </c>
      <c r="CP18" s="518"/>
      <c r="CQ18" s="49">
        <v>0</v>
      </c>
      <c r="CR18" s="46" t="s">
        <v>378</v>
      </c>
      <c r="CS18" s="398" t="s">
        <v>673</v>
      </c>
      <c r="CT18" s="363">
        <f>CQ25</f>
        <v>256.79999999999995</v>
      </c>
      <c r="CU18" s="24">
        <f>CU25</f>
        <v>127.11490000000003</v>
      </c>
      <c r="CV18" s="49">
        <v>180.7</v>
      </c>
      <c r="CW18" s="46" t="s">
        <v>378</v>
      </c>
      <c r="CX18" s="398" t="s">
        <v>673</v>
      </c>
      <c r="CY18" s="363">
        <f>CV25</f>
        <v>462.90000000000009</v>
      </c>
      <c r="CZ18" s="24">
        <v>381.9</v>
      </c>
      <c r="DA18" s="479"/>
      <c r="DB18" s="512" t="s">
        <v>11</v>
      </c>
      <c r="DC18" s="458"/>
      <c r="DD18" s="458"/>
      <c r="DE18" s="458"/>
      <c r="DF18" s="465"/>
      <c r="DG18" s="49">
        <v>81</v>
      </c>
      <c r="DH18" s="46" t="s">
        <v>378</v>
      </c>
      <c r="DI18" s="398" t="s">
        <v>673</v>
      </c>
      <c r="DJ18" s="363">
        <f>DG25</f>
        <v>374.79999999999995</v>
      </c>
      <c r="DK18" s="24">
        <f>DK25</f>
        <v>278.87959999999998</v>
      </c>
      <c r="DL18" s="49">
        <v>71.8</v>
      </c>
      <c r="DM18" s="46" t="s">
        <v>378</v>
      </c>
      <c r="DN18" s="398" t="s">
        <v>673</v>
      </c>
      <c r="DO18" s="363">
        <v>365.1</v>
      </c>
      <c r="DP18" s="24">
        <v>285</v>
      </c>
      <c r="DQ18" s="49">
        <v>0</v>
      </c>
      <c r="DR18" s="46" t="s">
        <v>378</v>
      </c>
      <c r="DS18" s="398" t="s">
        <v>673</v>
      </c>
      <c r="DT18" s="363">
        <v>271.8</v>
      </c>
      <c r="DU18" s="24">
        <v>204.7</v>
      </c>
      <c r="DV18" s="49">
        <v>0</v>
      </c>
      <c r="DW18" s="46" t="s">
        <v>378</v>
      </c>
      <c r="DX18" s="398" t="s">
        <v>673</v>
      </c>
      <c r="DY18" s="363">
        <v>256.3</v>
      </c>
      <c r="DZ18" s="24">
        <v>167.2</v>
      </c>
      <c r="EA18" s="479"/>
      <c r="EB18" s="512" t="s">
        <v>11</v>
      </c>
      <c r="EC18" s="458"/>
      <c r="ED18" s="458"/>
      <c r="EE18" s="458"/>
      <c r="EF18" s="465"/>
      <c r="EG18" s="49">
        <v>0</v>
      </c>
      <c r="EH18" s="46" t="s">
        <v>378</v>
      </c>
      <c r="EI18" s="398" t="s">
        <v>673</v>
      </c>
      <c r="EJ18" s="363">
        <v>64.8</v>
      </c>
      <c r="EK18" s="24">
        <v>80.2</v>
      </c>
      <c r="EL18" s="49">
        <v>173</v>
      </c>
      <c r="EM18" s="46" t="s">
        <v>378</v>
      </c>
      <c r="EN18" s="398" t="s">
        <v>673</v>
      </c>
      <c r="EO18" s="363">
        <v>331</v>
      </c>
      <c r="EP18" s="24">
        <v>193</v>
      </c>
      <c r="EQ18" s="49">
        <v>229.6</v>
      </c>
      <c r="ER18" s="46" t="s">
        <v>378</v>
      </c>
      <c r="ES18" s="398" t="s">
        <v>673</v>
      </c>
      <c r="ET18" s="363">
        <v>434.1</v>
      </c>
      <c r="EU18" s="24">
        <v>331.9</v>
      </c>
      <c r="EV18" s="49">
        <v>40.200000000000003</v>
      </c>
      <c r="EW18" s="46" t="s">
        <v>378</v>
      </c>
      <c r="EX18" s="398" t="s">
        <v>673</v>
      </c>
      <c r="EY18" s="363">
        <f>EV25</f>
        <v>316.70000000000005</v>
      </c>
      <c r="EZ18" s="24">
        <v>274.39999999999998</v>
      </c>
      <c r="FA18" s="479"/>
      <c r="FB18" s="512" t="s">
        <v>11</v>
      </c>
      <c r="FC18" s="458"/>
      <c r="FD18" s="458"/>
      <c r="FE18" s="458"/>
      <c r="FF18" s="465"/>
      <c r="FG18" s="49">
        <v>43.8</v>
      </c>
      <c r="FH18" s="46" t="s">
        <v>378</v>
      </c>
      <c r="FI18" s="398" t="s">
        <v>673</v>
      </c>
      <c r="FJ18" s="363">
        <v>242.6</v>
      </c>
      <c r="FK18" s="24">
        <v>29.6</v>
      </c>
      <c r="FL18" s="49">
        <v>59.2</v>
      </c>
      <c r="FM18" s="46" t="s">
        <v>378</v>
      </c>
      <c r="FN18" s="398" t="s">
        <v>673</v>
      </c>
      <c r="FO18" s="363">
        <v>254.6</v>
      </c>
      <c r="FP18" s="24">
        <v>87.8</v>
      </c>
      <c r="FQ18" s="49">
        <v>0</v>
      </c>
      <c r="FR18" s="46" t="s">
        <v>378</v>
      </c>
      <c r="FS18" s="398" t="s">
        <v>673</v>
      </c>
      <c r="FT18" s="363">
        <v>234.2</v>
      </c>
      <c r="FU18" s="24">
        <v>39.700000000000003</v>
      </c>
      <c r="FV18" s="49">
        <v>112.6</v>
      </c>
      <c r="FW18" s="46" t="s">
        <v>378</v>
      </c>
      <c r="FX18" s="398" t="s">
        <v>673</v>
      </c>
      <c r="FY18" s="363">
        <v>298.10000000000002</v>
      </c>
      <c r="FZ18" s="24">
        <v>101.4</v>
      </c>
      <c r="GA18" s="479"/>
      <c r="GB18" s="512" t="s">
        <v>11</v>
      </c>
      <c r="GC18" s="458"/>
      <c r="GD18" s="458"/>
      <c r="GE18" s="458"/>
      <c r="GF18" s="465"/>
      <c r="GG18" s="49">
        <v>189</v>
      </c>
      <c r="GH18" s="46" t="s">
        <v>378</v>
      </c>
      <c r="GI18" s="398" t="s">
        <v>673</v>
      </c>
      <c r="GJ18" s="363">
        <v>363.1</v>
      </c>
      <c r="GK18" s="24">
        <v>357.2</v>
      </c>
      <c r="GL18" s="49">
        <v>192.2</v>
      </c>
      <c r="GM18" s="46" t="s">
        <v>378</v>
      </c>
      <c r="GN18" s="398" t="s">
        <v>673</v>
      </c>
      <c r="GO18" s="363">
        <v>384.8</v>
      </c>
      <c r="GP18" s="24">
        <v>151.1</v>
      </c>
      <c r="GQ18" s="49">
        <v>0</v>
      </c>
      <c r="GR18" s="46" t="s">
        <v>378</v>
      </c>
      <c r="GS18" s="398" t="s">
        <v>673</v>
      </c>
      <c r="GT18" s="363">
        <v>53.5</v>
      </c>
      <c r="GU18" s="24">
        <v>107.5</v>
      </c>
      <c r="GV18" s="49">
        <v>212.5</v>
      </c>
      <c r="GW18" s="46" t="s">
        <v>378</v>
      </c>
      <c r="GX18" s="398" t="s">
        <v>673</v>
      </c>
      <c r="GY18" s="363">
        <v>260.3</v>
      </c>
      <c r="GZ18" s="24">
        <v>243.94</v>
      </c>
      <c r="HA18" s="479"/>
      <c r="HB18" s="512" t="s">
        <v>11</v>
      </c>
      <c r="HC18" s="458"/>
      <c r="HD18" s="458"/>
      <c r="HE18" s="458"/>
      <c r="HF18" s="465"/>
      <c r="HG18" s="49">
        <v>0</v>
      </c>
      <c r="HH18" s="46" t="s">
        <v>378</v>
      </c>
      <c r="HI18" s="398" t="s">
        <v>673</v>
      </c>
      <c r="HJ18" s="363">
        <v>224.3</v>
      </c>
      <c r="HK18" s="518"/>
      <c r="HL18" s="49">
        <v>224</v>
      </c>
      <c r="HM18" s="46" t="s">
        <v>378</v>
      </c>
      <c r="HN18" s="398" t="s">
        <v>673</v>
      </c>
      <c r="HO18" s="363">
        <v>374</v>
      </c>
      <c r="HP18" s="24">
        <v>289</v>
      </c>
      <c r="HQ18" s="49">
        <v>79.8</v>
      </c>
      <c r="HR18" s="46" t="s">
        <v>378</v>
      </c>
      <c r="HS18" s="398" t="s">
        <v>673</v>
      </c>
      <c r="HT18" s="363">
        <v>259.60000000000002</v>
      </c>
      <c r="HU18" s="24">
        <v>107.9</v>
      </c>
      <c r="HV18" s="49">
        <v>0</v>
      </c>
      <c r="HW18" s="46" t="s">
        <v>378</v>
      </c>
      <c r="HX18" s="398" t="s">
        <v>673</v>
      </c>
      <c r="HY18" s="363">
        <v>244.5</v>
      </c>
      <c r="HZ18" s="518"/>
      <c r="IA18" s="479"/>
      <c r="IB18" s="512" t="s">
        <v>11</v>
      </c>
      <c r="IC18" s="458"/>
      <c r="ID18" s="458"/>
      <c r="IE18" s="458"/>
      <c r="IF18" s="465"/>
      <c r="IG18" s="49">
        <v>0</v>
      </c>
      <c r="IH18" s="46" t="s">
        <v>378</v>
      </c>
      <c r="II18" s="398" t="s">
        <v>673</v>
      </c>
      <c r="IJ18" s="363">
        <v>88.6</v>
      </c>
      <c r="IK18" s="518"/>
      <c r="IL18" s="49">
        <v>0</v>
      </c>
      <c r="IM18" s="46" t="s">
        <v>378</v>
      </c>
      <c r="IN18" s="398" t="s">
        <v>673</v>
      </c>
      <c r="IO18" s="363">
        <v>84.2</v>
      </c>
      <c r="IP18" s="518"/>
      <c r="IQ18" s="49">
        <v>0</v>
      </c>
      <c r="IR18" s="46" t="s">
        <v>378</v>
      </c>
      <c r="IS18" s="398" t="s">
        <v>673</v>
      </c>
      <c r="IT18" s="363">
        <v>196.9</v>
      </c>
      <c r="IU18" s="24">
        <v>102.4</v>
      </c>
      <c r="IV18" s="49">
        <v>0</v>
      </c>
      <c r="IW18" s="46" t="s">
        <v>378</v>
      </c>
      <c r="IX18" s="398" t="s">
        <v>673</v>
      </c>
      <c r="IY18" s="363">
        <v>24.2</v>
      </c>
      <c r="IZ18" s="518"/>
      <c r="JA18" s="479"/>
      <c r="JB18" s="512" t="s">
        <v>11</v>
      </c>
      <c r="JC18" s="458"/>
      <c r="JD18" s="458"/>
      <c r="JE18" s="458"/>
      <c r="JF18" s="465"/>
      <c r="JG18" s="49">
        <v>102.8</v>
      </c>
      <c r="JH18" s="46" t="s">
        <v>378</v>
      </c>
      <c r="JI18" s="398" t="s">
        <v>673</v>
      </c>
      <c r="JJ18" s="363">
        <f>JG25</f>
        <v>266.59999999999991</v>
      </c>
      <c r="JK18" s="24">
        <v>63.1</v>
      </c>
      <c r="JL18" s="49">
        <v>187.5</v>
      </c>
      <c r="JM18" s="46" t="s">
        <v>378</v>
      </c>
      <c r="JN18" s="398" t="s">
        <v>673</v>
      </c>
      <c r="JO18" s="363">
        <f>JL25</f>
        <v>332.89999999999986</v>
      </c>
      <c r="JP18" s="24">
        <v>348.5</v>
      </c>
      <c r="JQ18" s="49">
        <v>68.3</v>
      </c>
      <c r="JR18" s="46" t="s">
        <v>378</v>
      </c>
      <c r="JS18" s="398" t="s">
        <v>673</v>
      </c>
      <c r="JT18" s="363">
        <f>JQ25</f>
        <v>267.30000000000041</v>
      </c>
      <c r="JU18" s="24">
        <v>50.8</v>
      </c>
      <c r="JV18" s="49">
        <v>0</v>
      </c>
      <c r="JW18" s="46" t="s">
        <v>378</v>
      </c>
      <c r="JX18" s="398" t="s">
        <v>673</v>
      </c>
      <c r="JY18" s="363">
        <v>298.10000000000002</v>
      </c>
      <c r="JZ18" s="518"/>
      <c r="KA18" s="479"/>
      <c r="KB18" s="512" t="s">
        <v>11</v>
      </c>
      <c r="KC18" s="458"/>
      <c r="KD18" s="458"/>
      <c r="KE18" s="458"/>
      <c r="KF18" s="465"/>
      <c r="KG18" s="49">
        <v>187.3</v>
      </c>
      <c r="KH18" s="46" t="s">
        <v>378</v>
      </c>
      <c r="KI18" s="398" t="s">
        <v>673</v>
      </c>
      <c r="KJ18" s="363">
        <v>339.2</v>
      </c>
      <c r="KK18" s="24">
        <f>KK25</f>
        <v>301.79999999999973</v>
      </c>
      <c r="KL18" s="49">
        <v>188.6</v>
      </c>
      <c r="KM18" s="46" t="s">
        <v>378</v>
      </c>
      <c r="KN18" s="398" t="s">
        <v>673</v>
      </c>
      <c r="KO18" s="363">
        <f>KL25</f>
        <v>342.50000000000023</v>
      </c>
      <c r="KP18" s="24">
        <f>KP25</f>
        <v>341.40000000000032</v>
      </c>
      <c r="KQ18" s="49">
        <v>93</v>
      </c>
      <c r="KR18" s="46" t="s">
        <v>378</v>
      </c>
      <c r="KS18" s="398" t="s">
        <v>673</v>
      </c>
      <c r="KT18" s="363">
        <v>284.7</v>
      </c>
      <c r="KU18" s="24">
        <v>205.1</v>
      </c>
      <c r="KV18" s="49">
        <v>0</v>
      </c>
      <c r="KW18" s="46" t="s">
        <v>378</v>
      </c>
      <c r="KX18" s="398" t="s">
        <v>673</v>
      </c>
      <c r="KY18" s="363">
        <v>157.6</v>
      </c>
      <c r="KZ18" s="24">
        <v>133.4</v>
      </c>
      <c r="LA18" s="479"/>
      <c r="LB18" s="512" t="s">
        <v>11</v>
      </c>
      <c r="LC18" s="458"/>
      <c r="LD18" s="458"/>
      <c r="LE18" s="458"/>
      <c r="LF18" s="465"/>
      <c r="LG18" s="49">
        <v>0</v>
      </c>
      <c r="LH18" s="46" t="s">
        <v>378</v>
      </c>
      <c r="LI18" s="398" t="s">
        <v>673</v>
      </c>
      <c r="LJ18" s="363">
        <v>174.3</v>
      </c>
      <c r="LK18" s="24">
        <v>83.6</v>
      </c>
      <c r="LL18" s="49">
        <v>0</v>
      </c>
      <c r="LM18" s="46" t="s">
        <v>378</v>
      </c>
      <c r="LN18" s="398" t="s">
        <v>673</v>
      </c>
      <c r="LO18" s="363">
        <v>120</v>
      </c>
      <c r="LP18" s="518"/>
      <c r="LQ18" s="49">
        <v>0</v>
      </c>
      <c r="LR18" s="46" t="s">
        <v>378</v>
      </c>
      <c r="LS18" s="398" t="s">
        <v>673</v>
      </c>
      <c r="LT18" s="363">
        <v>61.7</v>
      </c>
      <c r="LU18" s="518"/>
      <c r="LV18" s="49">
        <v>0</v>
      </c>
      <c r="LW18" s="46" t="s">
        <v>378</v>
      </c>
      <c r="LX18" s="398" t="s">
        <v>673</v>
      </c>
      <c r="LY18" s="363">
        <v>22</v>
      </c>
      <c r="LZ18" s="518"/>
      <c r="MA18" s="479"/>
      <c r="MB18" s="512" t="s">
        <v>11</v>
      </c>
      <c r="MC18" s="458"/>
      <c r="MD18" s="458"/>
      <c r="ME18" s="458"/>
      <c r="MF18" s="465"/>
      <c r="MG18" s="49">
        <v>0</v>
      </c>
      <c r="MH18" s="46" t="s">
        <v>378</v>
      </c>
      <c r="MI18" s="398" t="s">
        <v>673</v>
      </c>
      <c r="MJ18" s="363">
        <v>25.7</v>
      </c>
      <c r="MK18" s="518"/>
      <c r="ML18" s="49">
        <v>0</v>
      </c>
      <c r="MM18" s="46" t="s">
        <v>378</v>
      </c>
      <c r="MN18" s="398" t="s">
        <v>673</v>
      </c>
      <c r="MO18" s="363">
        <v>166.9</v>
      </c>
      <c r="MP18" s="24">
        <v>137</v>
      </c>
      <c r="MQ18" s="49">
        <v>0</v>
      </c>
      <c r="MR18" s="46" t="s">
        <v>378</v>
      </c>
      <c r="MS18" s="398" t="s">
        <v>673</v>
      </c>
      <c r="MT18" s="363">
        <v>27</v>
      </c>
      <c r="MU18" s="518"/>
      <c r="MV18" s="49">
        <v>0</v>
      </c>
      <c r="MW18" s="46" t="s">
        <v>378</v>
      </c>
      <c r="MX18" s="398" t="s">
        <v>673</v>
      </c>
      <c r="MY18" s="363">
        <v>32.1</v>
      </c>
      <c r="MZ18" s="518"/>
      <c r="NA18" s="479"/>
      <c r="NB18" s="512" t="s">
        <v>11</v>
      </c>
      <c r="NC18" s="458"/>
      <c r="ND18" s="458"/>
      <c r="NE18" s="458"/>
      <c r="NF18" s="465"/>
      <c r="NG18" s="49">
        <v>0</v>
      </c>
      <c r="NH18" s="46" t="s">
        <v>378</v>
      </c>
      <c r="NI18" s="398" t="s">
        <v>673</v>
      </c>
      <c r="NJ18" s="363">
        <v>46.9</v>
      </c>
      <c r="NK18" s="518"/>
      <c r="NL18" s="49">
        <v>0</v>
      </c>
      <c r="NM18" s="46" t="s">
        <v>378</v>
      </c>
      <c r="NN18" s="398" t="s">
        <v>673</v>
      </c>
      <c r="NO18" s="363">
        <v>22.4</v>
      </c>
      <c r="NP18" s="518"/>
      <c r="NQ18" s="49">
        <v>0</v>
      </c>
      <c r="NR18" s="46" t="s">
        <v>378</v>
      </c>
      <c r="NS18" s="398" t="s">
        <v>673</v>
      </c>
      <c r="NT18" s="363">
        <v>36</v>
      </c>
      <c r="NU18" s="518"/>
      <c r="NV18" s="49">
        <v>0</v>
      </c>
      <c r="NW18" s="46" t="s">
        <v>378</v>
      </c>
      <c r="NX18" s="398" t="s">
        <v>673</v>
      </c>
      <c r="NY18" s="363">
        <v>57.9</v>
      </c>
      <c r="NZ18" s="518"/>
      <c r="OA18" s="479"/>
      <c r="OB18" s="512" t="s">
        <v>11</v>
      </c>
      <c r="OC18" s="458"/>
      <c r="OD18" s="458"/>
      <c r="OE18" s="458"/>
      <c r="OF18" s="465"/>
      <c r="OG18" s="49">
        <v>0</v>
      </c>
      <c r="OH18" s="46" t="s">
        <v>378</v>
      </c>
      <c r="OI18" s="398" t="s">
        <v>673</v>
      </c>
      <c r="OJ18" s="363">
        <v>68</v>
      </c>
      <c r="OK18" s="518"/>
      <c r="OL18" s="49">
        <v>0</v>
      </c>
      <c r="OM18" s="46" t="s">
        <v>378</v>
      </c>
      <c r="ON18" s="398" t="s">
        <v>673</v>
      </c>
      <c r="OO18" s="363">
        <v>38.6</v>
      </c>
      <c r="OP18" s="24">
        <v>38.9</v>
      </c>
      <c r="OQ18" s="49">
        <v>0</v>
      </c>
      <c r="OR18" s="46" t="s">
        <v>378</v>
      </c>
      <c r="OS18" s="398" t="s">
        <v>673</v>
      </c>
      <c r="OT18" s="363">
        <v>10.3</v>
      </c>
      <c r="OU18" s="518"/>
      <c r="OV18" s="49">
        <v>0</v>
      </c>
      <c r="OW18" s="46" t="s">
        <v>378</v>
      </c>
      <c r="OX18" s="398" t="s">
        <v>673</v>
      </c>
      <c r="OY18" s="363">
        <v>9.6999999999999993</v>
      </c>
      <c r="OZ18" s="518"/>
      <c r="PA18" s="479"/>
      <c r="PB18" s="512" t="s">
        <v>11</v>
      </c>
      <c r="PC18" s="458"/>
      <c r="PD18" s="458"/>
      <c r="PE18" s="458"/>
      <c r="PF18" s="465"/>
      <c r="PG18" s="49">
        <v>0</v>
      </c>
      <c r="PH18" s="46" t="s">
        <v>378</v>
      </c>
      <c r="PI18" s="398" t="s">
        <v>673</v>
      </c>
      <c r="PJ18" s="363">
        <v>19</v>
      </c>
      <c r="PK18" s="518"/>
      <c r="PL18" s="49">
        <v>0</v>
      </c>
      <c r="PM18" s="46" t="s">
        <v>378</v>
      </c>
      <c r="PN18" s="398" t="s">
        <v>673</v>
      </c>
      <c r="PO18" s="363">
        <v>29.4</v>
      </c>
      <c r="PP18" s="518"/>
      <c r="PQ18" s="49">
        <v>0</v>
      </c>
      <c r="PR18" s="46" t="s">
        <v>378</v>
      </c>
      <c r="PS18" s="398" t="s">
        <v>673</v>
      </c>
      <c r="PT18" s="363">
        <v>82</v>
      </c>
      <c r="PU18" s="518"/>
      <c r="PV18" s="49">
        <v>0</v>
      </c>
      <c r="PW18" s="46" t="s">
        <v>378</v>
      </c>
      <c r="PX18" s="398" t="s">
        <v>673</v>
      </c>
      <c r="PY18" s="363">
        <v>24</v>
      </c>
      <c r="PZ18" s="518"/>
      <c r="QA18" s="479"/>
      <c r="QB18" s="512" t="s">
        <v>11</v>
      </c>
      <c r="QC18" s="458"/>
      <c r="QD18" s="458"/>
      <c r="QE18" s="458"/>
      <c r="QF18" s="465"/>
      <c r="QG18" s="49">
        <v>0</v>
      </c>
      <c r="QH18" s="46" t="s">
        <v>378</v>
      </c>
      <c r="QI18" s="398" t="s">
        <v>673</v>
      </c>
      <c r="QJ18" s="363">
        <v>149</v>
      </c>
      <c r="QK18" s="518"/>
      <c r="QL18" s="49">
        <v>105</v>
      </c>
      <c r="QM18" s="46" t="s">
        <v>378</v>
      </c>
      <c r="QN18" s="398" t="s">
        <v>673</v>
      </c>
      <c r="QO18" s="363">
        <v>311</v>
      </c>
      <c r="QP18" s="24">
        <v>193.8</v>
      </c>
      <c r="QQ18" s="49">
        <v>0</v>
      </c>
      <c r="QR18" s="46" t="s">
        <v>378</v>
      </c>
      <c r="QS18" s="398" t="s">
        <v>673</v>
      </c>
      <c r="QT18" s="363">
        <v>116</v>
      </c>
      <c r="QU18" s="24">
        <v>55.7</v>
      </c>
      <c r="QV18" s="49">
        <v>0</v>
      </c>
      <c r="QW18" s="46" t="s">
        <v>378</v>
      </c>
      <c r="QX18" s="398" t="s">
        <v>673</v>
      </c>
      <c r="QY18" s="363">
        <v>119</v>
      </c>
      <c r="QZ18" s="518"/>
      <c r="RA18" s="479"/>
      <c r="RB18" s="512" t="s">
        <v>11</v>
      </c>
      <c r="RC18" s="458"/>
      <c r="RD18" s="458"/>
      <c r="RE18" s="458"/>
      <c r="RF18" s="465"/>
      <c r="RG18" s="49">
        <v>0</v>
      </c>
      <c r="RH18" s="46" t="s">
        <v>378</v>
      </c>
      <c r="RI18" s="398" t="s">
        <v>673</v>
      </c>
      <c r="RJ18" s="363">
        <v>62</v>
      </c>
      <c r="RK18" s="518"/>
      <c r="RL18" s="49">
        <v>0</v>
      </c>
      <c r="RM18" s="46" t="s">
        <v>378</v>
      </c>
      <c r="RN18" s="398" t="s">
        <v>673</v>
      </c>
      <c r="RO18" s="363">
        <v>173.9</v>
      </c>
      <c r="RP18" s="24">
        <v>76</v>
      </c>
      <c r="RQ18" s="49">
        <v>45.5</v>
      </c>
      <c r="RR18" s="46" t="s">
        <v>378</v>
      </c>
      <c r="RS18" s="398" t="s">
        <v>673</v>
      </c>
      <c r="RT18" s="363">
        <v>234</v>
      </c>
      <c r="RU18" s="24">
        <v>148.1</v>
      </c>
      <c r="RV18" s="49">
        <v>0</v>
      </c>
      <c r="RW18" s="46" t="s">
        <v>378</v>
      </c>
      <c r="RX18" s="398" t="s">
        <v>673</v>
      </c>
      <c r="RY18" s="363">
        <v>87.9</v>
      </c>
      <c r="RZ18" s="518"/>
      <c r="SA18" s="479"/>
      <c r="SB18" s="512" t="s">
        <v>11</v>
      </c>
      <c r="SC18" s="458"/>
      <c r="SD18" s="458"/>
      <c r="SE18" s="458"/>
      <c r="SF18" s="465"/>
      <c r="SG18" s="49">
        <v>139</v>
      </c>
      <c r="SH18" s="46" t="s">
        <v>378</v>
      </c>
      <c r="SI18" s="398" t="s">
        <v>673</v>
      </c>
      <c r="SJ18" s="363">
        <v>237</v>
      </c>
      <c r="SK18" s="24">
        <v>165.1</v>
      </c>
      <c r="SL18" s="49">
        <v>144</v>
      </c>
      <c r="SM18" s="46" t="s">
        <v>378</v>
      </c>
      <c r="SN18" s="398" t="s">
        <v>673</v>
      </c>
      <c r="SO18" s="363">
        <v>282</v>
      </c>
      <c r="SP18" s="24">
        <v>246.2</v>
      </c>
      <c r="SQ18" s="49">
        <v>0</v>
      </c>
      <c r="SR18" s="46" t="s">
        <v>378</v>
      </c>
      <c r="SS18" s="398" t="s">
        <v>673</v>
      </c>
      <c r="ST18" s="363">
        <v>8</v>
      </c>
      <c r="SU18" s="518"/>
      <c r="SV18" s="49">
        <v>0</v>
      </c>
      <c r="SW18" s="46" t="s">
        <v>378</v>
      </c>
      <c r="SX18" s="398" t="s">
        <v>673</v>
      </c>
      <c r="SY18" s="363">
        <v>77.3</v>
      </c>
      <c r="SZ18" s="518"/>
      <c r="TA18" s="479"/>
      <c r="TB18" s="512" t="s">
        <v>11</v>
      </c>
      <c r="TC18" s="458"/>
      <c r="TD18" s="458"/>
      <c r="TE18" s="458"/>
      <c r="TF18" s="465"/>
      <c r="TG18" s="49">
        <v>0</v>
      </c>
      <c r="TH18" s="46" t="s">
        <v>378</v>
      </c>
      <c r="TI18" s="398" t="s">
        <v>160</v>
      </c>
      <c r="TJ18" s="363">
        <v>111.3</v>
      </c>
      <c r="TK18" s="518"/>
      <c r="TL18" s="49">
        <v>0</v>
      </c>
      <c r="TM18" s="46" t="s">
        <v>378</v>
      </c>
      <c r="TN18" s="398" t="s">
        <v>160</v>
      </c>
      <c r="TO18" s="363">
        <v>38.9</v>
      </c>
      <c r="TP18" s="24"/>
      <c r="TQ18" s="518"/>
      <c r="TR18" s="49">
        <v>0</v>
      </c>
      <c r="TS18" s="46" t="s">
        <v>378</v>
      </c>
      <c r="TT18" s="398" t="s">
        <v>160</v>
      </c>
      <c r="TU18" s="363">
        <v>51.3</v>
      </c>
      <c r="TV18" s="518"/>
      <c r="TW18" s="49">
        <v>0</v>
      </c>
      <c r="TX18" s="46" t="s">
        <v>378</v>
      </c>
      <c r="TY18" s="398" t="s">
        <v>160</v>
      </c>
      <c r="TZ18" s="363">
        <v>122.6</v>
      </c>
      <c r="UA18" s="518"/>
      <c r="UB18" s="479"/>
      <c r="UC18" s="512" t="s">
        <v>11</v>
      </c>
      <c r="UD18" s="458"/>
      <c r="UE18" s="458"/>
      <c r="UF18" s="458"/>
      <c r="UG18" s="465"/>
      <c r="UH18" s="49">
        <v>46</v>
      </c>
      <c r="UI18" s="46" t="s">
        <v>378</v>
      </c>
      <c r="UJ18" s="398" t="s">
        <v>160</v>
      </c>
      <c r="UK18" s="363">
        <v>240</v>
      </c>
      <c r="UL18" s="24">
        <v>36.299999999999997</v>
      </c>
      <c r="UM18" s="49">
        <v>0</v>
      </c>
      <c r="UN18" s="46" t="s">
        <v>378</v>
      </c>
      <c r="UO18" s="398" t="s">
        <v>160</v>
      </c>
      <c r="UP18" s="363">
        <v>10</v>
      </c>
      <c r="UQ18" s="518"/>
      <c r="UR18" s="49">
        <v>0</v>
      </c>
      <c r="US18" s="46" t="s">
        <v>378</v>
      </c>
      <c r="UT18" s="398" t="s">
        <v>160</v>
      </c>
      <c r="UU18" s="363">
        <v>163.1</v>
      </c>
      <c r="UV18" s="518"/>
      <c r="UW18" s="49">
        <v>0</v>
      </c>
      <c r="UX18" s="46" t="s">
        <v>378</v>
      </c>
      <c r="UY18" s="398" t="s">
        <v>160</v>
      </c>
      <c r="UZ18" s="363">
        <v>275</v>
      </c>
      <c r="VA18" s="24">
        <v>106.6</v>
      </c>
      <c r="VB18" s="479"/>
      <c r="VC18" s="512" t="s">
        <v>11</v>
      </c>
      <c r="VD18" s="458"/>
      <c r="VE18" s="458"/>
      <c r="VF18" s="458"/>
      <c r="VG18" s="465"/>
      <c r="VH18" s="49">
        <v>0</v>
      </c>
      <c r="VI18" s="46" t="s">
        <v>378</v>
      </c>
      <c r="VJ18" s="398" t="s">
        <v>160</v>
      </c>
      <c r="VK18" s="363">
        <v>86.9</v>
      </c>
      <c r="VL18" s="518"/>
      <c r="VM18" s="49">
        <v>0</v>
      </c>
      <c r="VN18" s="46" t="s">
        <v>378</v>
      </c>
      <c r="VO18" s="398" t="s">
        <v>160</v>
      </c>
      <c r="VP18" s="363">
        <v>30</v>
      </c>
      <c r="VQ18" s="518"/>
      <c r="VR18" s="49">
        <v>0</v>
      </c>
      <c r="VS18" s="46" t="s">
        <v>378</v>
      </c>
      <c r="VT18" s="398" t="s">
        <v>160</v>
      </c>
      <c r="VU18" s="363">
        <v>30</v>
      </c>
      <c r="VV18" s="518"/>
      <c r="VW18" s="49">
        <v>0</v>
      </c>
      <c r="VX18" s="46" t="s">
        <v>378</v>
      </c>
      <c r="VY18" s="398" t="s">
        <v>160</v>
      </c>
      <c r="VZ18" s="363">
        <v>185.8</v>
      </c>
      <c r="WA18" s="518"/>
      <c r="WB18" s="479"/>
      <c r="WC18" s="512" t="s">
        <v>11</v>
      </c>
      <c r="WD18" s="458"/>
      <c r="WE18" s="458"/>
      <c r="WF18" s="458"/>
      <c r="WG18" s="465"/>
      <c r="WH18" s="49">
        <v>144</v>
      </c>
      <c r="WI18" s="46" t="s">
        <v>378</v>
      </c>
      <c r="WJ18" s="398" t="s">
        <v>160</v>
      </c>
      <c r="WK18" s="363">
        <v>378</v>
      </c>
      <c r="WL18" s="24">
        <v>168.7</v>
      </c>
      <c r="WM18" s="49">
        <v>76.400000000000006</v>
      </c>
      <c r="WN18" s="46" t="s">
        <v>378</v>
      </c>
      <c r="WO18" s="398" t="s">
        <v>160</v>
      </c>
      <c r="WP18" s="363">
        <v>372.4</v>
      </c>
      <c r="WQ18" s="24">
        <v>47.7</v>
      </c>
      <c r="WR18" s="49">
        <v>50</v>
      </c>
      <c r="WS18" s="46" t="s">
        <v>378</v>
      </c>
      <c r="WT18" s="398" t="s">
        <v>160</v>
      </c>
      <c r="WU18" s="363">
        <v>304</v>
      </c>
      <c r="WV18" s="24">
        <v>104</v>
      </c>
      <c r="WW18" s="49">
        <v>0</v>
      </c>
      <c r="WX18" s="46" t="s">
        <v>378</v>
      </c>
      <c r="WY18" s="398" t="s">
        <v>160</v>
      </c>
      <c r="WZ18" s="363">
        <v>149</v>
      </c>
      <c r="XA18" s="24">
        <v>51.1</v>
      </c>
      <c r="XB18" s="479"/>
      <c r="XC18" s="512" t="s">
        <v>11</v>
      </c>
      <c r="XD18" s="458"/>
      <c r="XE18" s="458"/>
      <c r="XF18" s="458"/>
      <c r="XG18" s="465"/>
      <c r="XH18" s="49">
        <v>0</v>
      </c>
      <c r="XI18" s="46" t="s">
        <v>378</v>
      </c>
      <c r="XJ18" s="398" t="s">
        <v>160</v>
      </c>
      <c r="XK18" s="363">
        <v>201.4</v>
      </c>
      <c r="XL18" s="24">
        <v>39.200000000000003</v>
      </c>
      <c r="XM18" s="49">
        <v>0</v>
      </c>
      <c r="XN18" s="46" t="s">
        <v>378</v>
      </c>
      <c r="XO18" s="398" t="s">
        <v>160</v>
      </c>
      <c r="XP18" s="363">
        <v>128.1</v>
      </c>
      <c r="XQ18" s="24">
        <v>73.2</v>
      </c>
      <c r="XR18" s="49">
        <v>0</v>
      </c>
      <c r="XS18" s="46" t="s">
        <v>378</v>
      </c>
      <c r="XT18" s="398" t="s">
        <v>160</v>
      </c>
      <c r="XU18" s="363">
        <v>150.80000000000001</v>
      </c>
      <c r="XV18" s="518"/>
      <c r="XW18" s="49">
        <v>0</v>
      </c>
      <c r="XX18" s="46" t="s">
        <v>378</v>
      </c>
      <c r="XY18" s="398" t="s">
        <v>160</v>
      </c>
      <c r="XZ18" s="363" t="s">
        <v>719</v>
      </c>
      <c r="YA18" s="24">
        <v>80</v>
      </c>
      <c r="YB18" s="479"/>
      <c r="YC18" s="512" t="s">
        <v>11</v>
      </c>
      <c r="YD18" s="458"/>
      <c r="YE18" s="458"/>
      <c r="YF18" s="458"/>
      <c r="YG18" s="465"/>
      <c r="YH18" s="49">
        <v>0</v>
      </c>
      <c r="YI18" s="46" t="s">
        <v>378</v>
      </c>
      <c r="YJ18" s="398" t="s">
        <v>160</v>
      </c>
      <c r="YK18" s="363">
        <v>112</v>
      </c>
      <c r="YL18" s="518"/>
      <c r="YM18" s="49">
        <v>0</v>
      </c>
      <c r="YN18" s="46" t="s">
        <v>378</v>
      </c>
      <c r="YO18" s="398" t="s">
        <v>160</v>
      </c>
      <c r="YP18" s="363">
        <v>56</v>
      </c>
      <c r="YQ18" s="518"/>
      <c r="YR18" s="49">
        <v>0</v>
      </c>
      <c r="YS18" s="46" t="s">
        <v>378</v>
      </c>
      <c r="YT18" s="398" t="s">
        <v>160</v>
      </c>
      <c r="YU18" s="363">
        <v>66.400000000000006</v>
      </c>
      <c r="YV18" s="518"/>
      <c r="YW18" s="49">
        <v>0</v>
      </c>
      <c r="YX18" s="46" t="s">
        <v>378</v>
      </c>
      <c r="YY18" s="398" t="s">
        <v>160</v>
      </c>
      <c r="YZ18" s="363">
        <v>187</v>
      </c>
      <c r="ZA18" s="24">
        <v>14.5</v>
      </c>
      <c r="ZB18" s="479"/>
      <c r="ZC18" s="512" t="s">
        <v>11</v>
      </c>
      <c r="ZD18" s="458"/>
      <c r="ZE18" s="458"/>
      <c r="ZF18" s="458"/>
      <c r="ZG18" s="465"/>
      <c r="ZH18" s="49">
        <v>0</v>
      </c>
      <c r="ZI18" s="46" t="s">
        <v>378</v>
      </c>
      <c r="ZJ18" s="398" t="s">
        <v>160</v>
      </c>
      <c r="ZK18" s="363">
        <v>130.30000000000001</v>
      </c>
      <c r="ZL18" s="24">
        <v>22.9619</v>
      </c>
      <c r="ZM18" s="49">
        <v>0</v>
      </c>
      <c r="ZN18" s="46" t="s">
        <v>378</v>
      </c>
      <c r="ZO18" s="398" t="s">
        <v>160</v>
      </c>
      <c r="ZP18" s="363">
        <v>62</v>
      </c>
      <c r="ZQ18" s="518"/>
      <c r="ZR18" s="61">
        <v>97</v>
      </c>
      <c r="ZS18" s="46" t="s">
        <v>378</v>
      </c>
      <c r="ZT18" s="398" t="s">
        <v>160</v>
      </c>
      <c r="ZU18" s="406">
        <v>310</v>
      </c>
      <c r="ZV18" s="24">
        <v>214.8</v>
      </c>
      <c r="ZW18" s="49">
        <v>0</v>
      </c>
      <c r="ZX18" s="46" t="s">
        <v>378</v>
      </c>
      <c r="ZY18" s="398" t="s">
        <v>673</v>
      </c>
      <c r="ZZ18" s="363">
        <v>134</v>
      </c>
      <c r="AAA18" s="518"/>
      <c r="AAB18" s="479"/>
      <c r="AAC18" s="512" t="s">
        <v>11</v>
      </c>
      <c r="AAD18" s="458"/>
      <c r="AAE18" s="458"/>
      <c r="AAF18" s="458"/>
      <c r="AAG18" s="465"/>
      <c r="AAH18" s="49">
        <v>0</v>
      </c>
      <c r="AAI18" s="46" t="s">
        <v>378</v>
      </c>
      <c r="AAJ18" s="398" t="s">
        <v>673</v>
      </c>
      <c r="AAK18" s="363">
        <v>87</v>
      </c>
      <c r="AAL18" s="518"/>
      <c r="AAM18" s="49">
        <v>0</v>
      </c>
      <c r="AAN18" s="46" t="s">
        <v>378</v>
      </c>
      <c r="AAO18" s="398" t="s">
        <v>673</v>
      </c>
      <c r="AAP18" s="363">
        <v>54.5</v>
      </c>
      <c r="AAQ18" s="518"/>
      <c r="AAR18" s="49">
        <v>0</v>
      </c>
      <c r="AAS18" s="46" t="s">
        <v>378</v>
      </c>
      <c r="AAT18" s="398" t="s">
        <v>673</v>
      </c>
      <c r="AAU18" s="406">
        <v>89.2</v>
      </c>
      <c r="AAV18" s="24">
        <v>33</v>
      </c>
      <c r="AAW18" s="49">
        <v>0</v>
      </c>
      <c r="AAX18" s="46" t="s">
        <v>378</v>
      </c>
      <c r="AAY18" s="398" t="s">
        <v>673</v>
      </c>
      <c r="AAZ18" s="406">
        <v>206</v>
      </c>
      <c r="ABA18" s="518"/>
      <c r="ABB18" s="480"/>
      <c r="ABC18" s="512" t="s">
        <v>11</v>
      </c>
      <c r="ABD18" s="458"/>
      <c r="ABE18" s="458"/>
      <c r="ABF18" s="458"/>
      <c r="ABG18" s="465"/>
      <c r="ABH18" s="49">
        <v>0</v>
      </c>
      <c r="ABI18" s="46" t="s">
        <v>378</v>
      </c>
      <c r="ABJ18" s="398" t="s">
        <v>673</v>
      </c>
      <c r="ABK18" s="406">
        <v>154</v>
      </c>
      <c r="ABL18" s="24">
        <v>36</v>
      </c>
      <c r="ABM18" s="49">
        <v>0</v>
      </c>
      <c r="ABN18" s="46" t="s">
        <v>378</v>
      </c>
      <c r="ABO18" s="398" t="s">
        <v>673</v>
      </c>
      <c r="ABP18" s="363">
        <v>151.9</v>
      </c>
      <c r="ABQ18" s="24">
        <v>90.9</v>
      </c>
      <c r="ABR18" s="49">
        <v>0</v>
      </c>
      <c r="ABS18" s="46" t="s">
        <v>378</v>
      </c>
      <c r="ABT18" s="398" t="s">
        <v>673</v>
      </c>
      <c r="ABU18" s="363">
        <v>77</v>
      </c>
      <c r="ABV18" s="518"/>
      <c r="ABW18" s="49">
        <v>0</v>
      </c>
      <c r="ABX18" s="46" t="s">
        <v>378</v>
      </c>
      <c r="ABY18" s="398" t="s">
        <v>673</v>
      </c>
      <c r="ABZ18" s="363">
        <v>35.9</v>
      </c>
      <c r="ACA18" s="518"/>
      <c r="ACB18" s="480"/>
      <c r="ACC18" s="512" t="s">
        <v>11</v>
      </c>
      <c r="ACD18" s="458"/>
      <c r="ACE18" s="458"/>
      <c r="ACF18" s="458"/>
      <c r="ACG18" s="465"/>
      <c r="ACH18" s="49">
        <v>0</v>
      </c>
      <c r="ACI18" s="46" t="s">
        <v>378</v>
      </c>
      <c r="ACJ18" s="398" t="s">
        <v>673</v>
      </c>
      <c r="ACK18" s="363">
        <v>103.6</v>
      </c>
      <c r="ACL18" s="24">
        <v>115</v>
      </c>
      <c r="ACM18" s="49">
        <v>0</v>
      </c>
      <c r="ACN18" s="46" t="s">
        <v>378</v>
      </c>
      <c r="ACO18" s="398" t="s">
        <v>160</v>
      </c>
      <c r="ACP18" s="363">
        <v>8</v>
      </c>
      <c r="ACQ18" s="518"/>
      <c r="ACR18" s="49">
        <v>0</v>
      </c>
      <c r="ACS18" s="46" t="s">
        <v>378</v>
      </c>
      <c r="ACT18" s="398" t="s">
        <v>160</v>
      </c>
      <c r="ACU18" s="363">
        <v>45.2</v>
      </c>
      <c r="ACV18" s="518"/>
      <c r="ACW18" s="49">
        <v>0</v>
      </c>
      <c r="ACX18" s="46" t="s">
        <v>378</v>
      </c>
      <c r="ACY18" s="398" t="s">
        <v>160</v>
      </c>
      <c r="ACZ18" s="363">
        <v>186</v>
      </c>
      <c r="ADA18" s="518"/>
      <c r="ADB18" s="480"/>
      <c r="ADC18" s="512" t="s">
        <v>11</v>
      </c>
      <c r="ADD18" s="458"/>
      <c r="ADE18" s="458"/>
      <c r="ADF18" s="458"/>
      <c r="ADG18" s="465"/>
      <c r="ADH18" s="49">
        <v>0</v>
      </c>
      <c r="ADI18" s="46" t="s">
        <v>378</v>
      </c>
      <c r="ADJ18" s="398" t="s">
        <v>160</v>
      </c>
      <c r="ADK18" s="363">
        <v>42.6</v>
      </c>
      <c r="ADL18" s="518"/>
      <c r="ADM18" s="49">
        <v>0</v>
      </c>
      <c r="ADN18" s="46" t="s">
        <v>378</v>
      </c>
      <c r="ADO18" s="398" t="s">
        <v>160</v>
      </c>
      <c r="ADP18" s="363">
        <v>127.6</v>
      </c>
      <c r="ADQ18" s="518"/>
      <c r="ADR18" s="49">
        <v>0</v>
      </c>
      <c r="ADS18" s="46" t="s">
        <v>378</v>
      </c>
      <c r="ADT18" s="398" t="s">
        <v>160</v>
      </c>
      <c r="ADU18" s="363">
        <v>75</v>
      </c>
      <c r="ADV18" s="518"/>
      <c r="ADW18" s="61">
        <v>0</v>
      </c>
      <c r="ADX18" s="407" t="s">
        <v>378</v>
      </c>
      <c r="ADY18" s="408" t="s">
        <v>160</v>
      </c>
      <c r="ADZ18" s="406">
        <v>108</v>
      </c>
      <c r="AEA18" s="518"/>
      <c r="AEB18" s="480"/>
      <c r="AEC18" s="512" t="s">
        <v>11</v>
      </c>
      <c r="AED18" s="458"/>
      <c r="AEE18" s="458"/>
      <c r="AEF18" s="458"/>
      <c r="AEG18" s="465"/>
      <c r="AEH18" s="49">
        <v>0</v>
      </c>
      <c r="AEI18" s="46" t="s">
        <v>378</v>
      </c>
      <c r="AEJ18" s="398" t="s">
        <v>160</v>
      </c>
      <c r="AEK18" s="363">
        <v>26.9</v>
      </c>
      <c r="AEL18" s="518"/>
      <c r="AEM18" s="49">
        <v>0</v>
      </c>
      <c r="AEN18" s="46" t="s">
        <v>378</v>
      </c>
      <c r="AEO18" s="398" t="s">
        <v>160</v>
      </c>
      <c r="AEP18" s="363">
        <v>66.3</v>
      </c>
      <c r="AEQ18" s="404"/>
      <c r="AER18" s="518"/>
      <c r="AES18" s="49">
        <v>0</v>
      </c>
      <c r="AET18" s="46" t="s">
        <v>378</v>
      </c>
      <c r="AEU18" s="398" t="s">
        <v>160</v>
      </c>
      <c r="AEV18" s="363">
        <v>14.2</v>
      </c>
      <c r="AEW18" s="518"/>
      <c r="AEX18" s="61">
        <v>0</v>
      </c>
      <c r="AEY18" s="407" t="s">
        <v>378</v>
      </c>
      <c r="AEZ18" s="408" t="s">
        <v>160</v>
      </c>
      <c r="AFA18" s="406">
        <v>32</v>
      </c>
      <c r="AFB18" s="518"/>
      <c r="AFC18" s="480"/>
      <c r="AFD18" s="512" t="s">
        <v>11</v>
      </c>
      <c r="AFE18" s="458"/>
      <c r="AFF18" s="458"/>
      <c r="AFG18" s="458"/>
      <c r="AFH18" s="465"/>
      <c r="AFI18" s="49">
        <v>0</v>
      </c>
      <c r="AFJ18" s="46" t="s">
        <v>378</v>
      </c>
      <c r="AFK18" s="398" t="s">
        <v>160</v>
      </c>
      <c r="AFL18" s="363">
        <v>105</v>
      </c>
      <c r="AFM18" s="518"/>
      <c r="AFN18" s="49">
        <v>0</v>
      </c>
      <c r="AFO18" s="46" t="s">
        <v>378</v>
      </c>
      <c r="AFP18" s="398" t="s">
        <v>160</v>
      </c>
      <c r="AFQ18" s="363">
        <v>179</v>
      </c>
      <c r="AFR18" s="24">
        <v>149.5</v>
      </c>
      <c r="AFS18" s="49">
        <v>100</v>
      </c>
      <c r="AFT18" s="46" t="s">
        <v>378</v>
      </c>
      <c r="AFU18" s="398" t="s">
        <v>160</v>
      </c>
      <c r="AFV18" s="363">
        <v>251.4</v>
      </c>
      <c r="AFW18" s="24">
        <v>218.3</v>
      </c>
      <c r="AFX18" s="49">
        <v>71.400000000000006</v>
      </c>
      <c r="AFY18" s="46" t="s">
        <v>378</v>
      </c>
      <c r="AFZ18" s="398" t="s">
        <v>160</v>
      </c>
      <c r="AGA18" s="363">
        <v>177.6</v>
      </c>
      <c r="AGB18" s="24">
        <v>45.683199999999999</v>
      </c>
      <c r="AGC18" s="480"/>
      <c r="AGD18" s="512" t="s">
        <v>11</v>
      </c>
      <c r="AGE18" s="458"/>
      <c r="AGF18" s="458"/>
      <c r="AGG18" s="458"/>
      <c r="AGH18" s="465"/>
      <c r="AGI18" s="49">
        <v>21</v>
      </c>
      <c r="AGJ18" s="46" t="s">
        <v>378</v>
      </c>
      <c r="AGK18" s="398" t="s">
        <v>160</v>
      </c>
      <c r="AGL18" s="363">
        <v>230.6</v>
      </c>
      <c r="AGM18" s="24">
        <v>183</v>
      </c>
      <c r="AGN18" s="49">
        <v>0</v>
      </c>
      <c r="AGO18" s="46" t="s">
        <v>378</v>
      </c>
      <c r="AGP18" s="398" t="s">
        <v>160</v>
      </c>
      <c r="AGQ18" s="363">
        <v>190.7</v>
      </c>
      <c r="AGR18" s="518"/>
      <c r="AGS18" s="49">
        <v>0</v>
      </c>
      <c r="AGT18" s="46" t="s">
        <v>378</v>
      </c>
      <c r="AGU18" s="398" t="s">
        <v>160</v>
      </c>
      <c r="AGV18" s="363">
        <v>68.2</v>
      </c>
      <c r="AGW18" s="518"/>
      <c r="AGX18" s="49">
        <v>0</v>
      </c>
      <c r="AGY18" s="46" t="s">
        <v>378</v>
      </c>
      <c r="AGZ18" s="398" t="s">
        <v>160</v>
      </c>
      <c r="AHA18" s="363">
        <v>73</v>
      </c>
      <c r="AHB18" s="518"/>
      <c r="AHC18" s="480"/>
      <c r="AHD18" s="512" t="s">
        <v>11</v>
      </c>
      <c r="AHE18" s="458"/>
      <c r="AHF18" s="458"/>
      <c r="AHG18" s="458"/>
      <c r="AHH18" s="465"/>
      <c r="AHI18" s="49">
        <v>0</v>
      </c>
      <c r="AHJ18" s="46" t="s">
        <v>378</v>
      </c>
      <c r="AHK18" s="398" t="s">
        <v>160</v>
      </c>
      <c r="AHL18" s="363">
        <v>208</v>
      </c>
      <c r="AHM18" s="24">
        <v>35.6</v>
      </c>
      <c r="AHN18" s="49">
        <v>0</v>
      </c>
      <c r="AHO18" s="46" t="s">
        <v>378</v>
      </c>
      <c r="AHP18" s="398" t="s">
        <v>160</v>
      </c>
      <c r="AHQ18" s="363">
        <v>28.2</v>
      </c>
      <c r="AHR18" s="518"/>
      <c r="AHS18" s="49">
        <v>0</v>
      </c>
      <c r="AHT18" s="46" t="s">
        <v>378</v>
      </c>
      <c r="AHU18" s="398" t="s">
        <v>160</v>
      </c>
      <c r="AHV18" s="363">
        <v>69</v>
      </c>
      <c r="AHW18" s="518"/>
      <c r="AHX18" s="61">
        <v>0</v>
      </c>
      <c r="AHY18" s="46" t="s">
        <v>378</v>
      </c>
      <c r="AHZ18" s="398" t="s">
        <v>160</v>
      </c>
      <c r="AIA18" s="363">
        <v>48</v>
      </c>
      <c r="AIB18" s="518"/>
      <c r="AIC18" s="480"/>
      <c r="AID18" s="512" t="s">
        <v>11</v>
      </c>
      <c r="AIE18" s="458"/>
      <c r="AIF18" s="458"/>
      <c r="AIG18" s="458"/>
      <c r="AIH18" s="465"/>
      <c r="AII18" s="49">
        <v>0</v>
      </c>
      <c r="AIJ18" s="46" t="s">
        <v>378</v>
      </c>
      <c r="AIK18" s="398" t="s">
        <v>160</v>
      </c>
      <c r="AIL18" s="363">
        <v>79</v>
      </c>
      <c r="AIM18" s="518"/>
      <c r="AIN18" s="49">
        <v>0</v>
      </c>
      <c r="AIO18" s="46" t="s">
        <v>378</v>
      </c>
      <c r="AIP18" s="398" t="s">
        <v>160</v>
      </c>
      <c r="AIQ18" s="363">
        <v>168</v>
      </c>
      <c r="AIR18" s="518"/>
      <c r="AIS18" s="49">
        <v>0</v>
      </c>
      <c r="AIT18" s="46" t="s">
        <v>378</v>
      </c>
      <c r="AIU18" s="398" t="s">
        <v>160</v>
      </c>
      <c r="AIV18" s="363">
        <v>110</v>
      </c>
      <c r="AIW18" s="518"/>
      <c r="AIX18" s="49">
        <v>0</v>
      </c>
      <c r="AIY18" s="46" t="s">
        <v>378</v>
      </c>
      <c r="AIZ18" s="398" t="s">
        <v>160</v>
      </c>
      <c r="AJA18" s="363">
        <v>14</v>
      </c>
      <c r="AJB18" s="518"/>
      <c r="AJC18" s="480"/>
      <c r="AJD18" s="512" t="s">
        <v>11</v>
      </c>
      <c r="AJE18" s="458"/>
      <c r="AJF18" s="458"/>
      <c r="AJG18" s="458"/>
      <c r="AJH18" s="465"/>
      <c r="AJI18" s="49">
        <v>0</v>
      </c>
      <c r="AJJ18" s="46" t="s">
        <v>378</v>
      </c>
      <c r="AJK18" s="398" t="s">
        <v>160</v>
      </c>
      <c r="AJL18" s="363">
        <v>68.5</v>
      </c>
      <c r="AJM18" s="518"/>
      <c r="AJN18" s="49">
        <v>0</v>
      </c>
      <c r="AJO18" s="46" t="s">
        <v>378</v>
      </c>
      <c r="AJP18" s="398" t="s">
        <v>160</v>
      </c>
      <c r="AJQ18" s="363">
        <v>73</v>
      </c>
      <c r="AJR18" s="518"/>
      <c r="AJS18" s="49">
        <v>0</v>
      </c>
      <c r="AJT18" s="46" t="s">
        <v>378</v>
      </c>
      <c r="AJU18" s="398" t="s">
        <v>160</v>
      </c>
      <c r="AJV18" s="363">
        <v>135.19999999999999</v>
      </c>
      <c r="AJW18" s="24">
        <v>24.7148</v>
      </c>
      <c r="AJX18" s="61">
        <v>20</v>
      </c>
      <c r="AJY18" s="46" t="s">
        <v>378</v>
      </c>
      <c r="AJZ18" s="398" t="s">
        <v>160</v>
      </c>
      <c r="AKA18" s="363">
        <v>219</v>
      </c>
      <c r="AKB18" s="409">
        <v>174.12180000000001</v>
      </c>
      <c r="AKC18" s="480"/>
      <c r="AKD18" s="512" t="s">
        <v>11</v>
      </c>
      <c r="AKE18" s="458"/>
      <c r="AKF18" s="458"/>
      <c r="AKG18" s="458"/>
      <c r="AKH18" s="465"/>
      <c r="AKI18" s="49">
        <v>0</v>
      </c>
      <c r="AKJ18" s="46" t="s">
        <v>378</v>
      </c>
      <c r="AKK18" s="398" t="s">
        <v>160</v>
      </c>
      <c r="AKL18" s="363">
        <v>76</v>
      </c>
      <c r="AKM18" s="518"/>
      <c r="AKN18" s="49">
        <v>0</v>
      </c>
      <c r="AKO18" s="46" t="s">
        <v>378</v>
      </c>
      <c r="AKP18" s="398" t="s">
        <v>160</v>
      </c>
      <c r="AKQ18" s="363">
        <v>208</v>
      </c>
      <c r="AKR18" s="24">
        <v>24.2</v>
      </c>
      <c r="AKS18" s="49">
        <v>0</v>
      </c>
      <c r="AKT18" s="46" t="s">
        <v>378</v>
      </c>
      <c r="AKU18" s="398" t="s">
        <v>160</v>
      </c>
      <c r="AKV18" s="363">
        <v>225.4</v>
      </c>
      <c r="AKW18" s="24">
        <v>38</v>
      </c>
      <c r="AKX18" s="61">
        <v>123</v>
      </c>
      <c r="AKY18" s="46" t="s">
        <v>378</v>
      </c>
      <c r="AKZ18" s="398" t="s">
        <v>160</v>
      </c>
      <c r="ALA18" s="363">
        <v>354</v>
      </c>
      <c r="ALB18" s="24">
        <v>117.6</v>
      </c>
      <c r="ALC18" s="480"/>
      <c r="ALD18" s="512" t="s">
        <v>11</v>
      </c>
      <c r="ALE18" s="458"/>
      <c r="ALF18" s="458"/>
      <c r="ALG18" s="458"/>
      <c r="ALH18" s="465"/>
      <c r="ALI18" s="49">
        <v>120.1</v>
      </c>
      <c r="ALJ18" s="46" t="s">
        <v>378</v>
      </c>
      <c r="ALK18" s="398" t="s">
        <v>160</v>
      </c>
      <c r="ALL18" s="363">
        <v>420.3</v>
      </c>
      <c r="ALM18" s="24">
        <v>236.9</v>
      </c>
      <c r="ALN18" s="49">
        <v>0</v>
      </c>
      <c r="ALO18" s="46" t="s">
        <v>378</v>
      </c>
      <c r="ALP18" s="398" t="s">
        <v>160</v>
      </c>
      <c r="ALQ18" s="363">
        <v>253</v>
      </c>
      <c r="ALR18" s="24">
        <v>59.9</v>
      </c>
      <c r="ALS18" s="49">
        <v>0</v>
      </c>
      <c r="ALT18" s="46" t="s">
        <v>378</v>
      </c>
      <c r="ALU18" s="398" t="s">
        <v>160</v>
      </c>
      <c r="ALV18" s="363">
        <v>234</v>
      </c>
      <c r="ALW18" s="24">
        <v>29</v>
      </c>
      <c r="ALX18" s="61">
        <v>0</v>
      </c>
      <c r="ALY18" s="46" t="s">
        <v>378</v>
      </c>
      <c r="ALZ18" s="398" t="s">
        <v>160</v>
      </c>
      <c r="AMA18" s="363">
        <v>231</v>
      </c>
      <c r="AMB18" s="24">
        <v>42</v>
      </c>
      <c r="AMC18" s="480"/>
      <c r="AMD18" s="512" t="s">
        <v>11</v>
      </c>
      <c r="AME18" s="458"/>
      <c r="AMF18" s="458"/>
      <c r="AMG18" s="458"/>
      <c r="AMH18" s="465"/>
      <c r="AMI18" s="61">
        <v>0</v>
      </c>
      <c r="AMJ18" s="46" t="s">
        <v>378</v>
      </c>
      <c r="AMK18" s="398" t="s">
        <v>160</v>
      </c>
      <c r="AML18" s="363">
        <v>69</v>
      </c>
      <c r="AMM18" s="518"/>
      <c r="AMN18" s="49">
        <v>60</v>
      </c>
      <c r="AMO18" s="46" t="s">
        <v>378</v>
      </c>
      <c r="AMP18" s="398" t="s">
        <v>160</v>
      </c>
      <c r="AMQ18" s="363">
        <v>287</v>
      </c>
      <c r="AMR18" s="24">
        <v>102</v>
      </c>
      <c r="AMS18" s="24"/>
      <c r="AMT18" s="49">
        <v>50</v>
      </c>
      <c r="AMU18" s="46" t="s">
        <v>378</v>
      </c>
      <c r="AMV18" s="398" t="s">
        <v>160</v>
      </c>
      <c r="AMW18" s="363">
        <v>267</v>
      </c>
      <c r="AMX18" s="24">
        <v>133.4</v>
      </c>
      <c r="AMY18" s="61">
        <v>50</v>
      </c>
      <c r="AMZ18" s="46" t="s">
        <v>378</v>
      </c>
      <c r="ANA18" s="398" t="s">
        <v>160</v>
      </c>
      <c r="ANB18" s="363">
        <v>287</v>
      </c>
      <c r="ANC18" s="24">
        <v>129</v>
      </c>
      <c r="AND18" s="480"/>
      <c r="ANE18" s="512" t="s">
        <v>11</v>
      </c>
      <c r="ANF18" s="458"/>
      <c r="ANG18" s="458"/>
      <c r="ANH18" s="458"/>
      <c r="ANI18" s="465"/>
      <c r="ANJ18" s="61">
        <v>0</v>
      </c>
      <c r="ANK18" s="46" t="s">
        <v>378</v>
      </c>
      <c r="ANL18" s="398" t="s">
        <v>160</v>
      </c>
      <c r="ANM18" s="363">
        <v>93</v>
      </c>
      <c r="ANN18" s="518"/>
      <c r="ANO18" s="61">
        <v>0</v>
      </c>
      <c r="ANP18" s="46" t="s">
        <v>378</v>
      </c>
      <c r="ANQ18" s="398" t="s">
        <v>160</v>
      </c>
      <c r="ANR18" s="363">
        <v>226</v>
      </c>
      <c r="ANS18" s="24">
        <v>24.7</v>
      </c>
      <c r="ANT18" s="24"/>
      <c r="ANU18" s="49">
        <v>0</v>
      </c>
      <c r="ANV18" s="46" t="s">
        <v>378</v>
      </c>
      <c r="ANW18" s="398" t="s">
        <v>160</v>
      </c>
      <c r="ANX18" s="363">
        <v>227</v>
      </c>
      <c r="ANY18" s="518"/>
      <c r="ANZ18" s="49">
        <v>0</v>
      </c>
      <c r="AOA18" s="46" t="s">
        <v>378</v>
      </c>
      <c r="AOB18" s="398" t="s">
        <v>160</v>
      </c>
      <c r="AOC18" s="363">
        <v>172.7</v>
      </c>
      <c r="AOD18" s="24">
        <v>12</v>
      </c>
      <c r="AOE18" s="480"/>
      <c r="AOF18" s="512" t="s">
        <v>11</v>
      </c>
      <c r="AOG18" s="458"/>
      <c r="AOH18" s="458"/>
      <c r="AOI18" s="458"/>
      <c r="AOJ18" s="465"/>
      <c r="AOK18" s="61">
        <v>121</v>
      </c>
      <c r="AOL18" s="46" t="s">
        <v>378</v>
      </c>
      <c r="AOM18" s="398" t="s">
        <v>160</v>
      </c>
      <c r="AON18" s="363">
        <v>320</v>
      </c>
      <c r="AOO18" s="24">
        <v>295</v>
      </c>
      <c r="AOP18" s="61">
        <v>0</v>
      </c>
      <c r="AOQ18" s="46" t="s">
        <v>378</v>
      </c>
      <c r="AOR18" s="398" t="s">
        <v>160</v>
      </c>
      <c r="AOS18" s="363">
        <v>50</v>
      </c>
      <c r="AOT18" s="518"/>
      <c r="AOU18" s="24"/>
      <c r="AOV18" s="49">
        <v>0</v>
      </c>
      <c r="AOW18" s="46" t="s">
        <v>378</v>
      </c>
      <c r="AOX18" s="398" t="s">
        <v>160</v>
      </c>
      <c r="AOY18" s="363">
        <v>55</v>
      </c>
      <c r="AOZ18" s="518"/>
      <c r="APA18" s="49"/>
      <c r="APB18" s="46"/>
      <c r="APC18" s="398"/>
      <c r="APD18" s="363"/>
      <c r="APE18" s="24"/>
    </row>
    <row r="19" spans="1:1097" ht="45" customHeight="1" x14ac:dyDescent="0.4">
      <c r="A19" s="525" t="s">
        <v>284</v>
      </c>
      <c r="B19" s="20"/>
      <c r="C19" s="457" t="s">
        <v>720</v>
      </c>
      <c r="D19" s="459"/>
      <c r="E19" s="459"/>
      <c r="F19" s="397" t="s">
        <v>4</v>
      </c>
      <c r="G19" s="526">
        <f>910-72</f>
        <v>838</v>
      </c>
      <c r="H19" s="593"/>
      <c r="I19" s="593"/>
      <c r="J19" s="527"/>
      <c r="K19" s="22">
        <v>838</v>
      </c>
      <c r="L19" s="526">
        <v>818</v>
      </c>
      <c r="M19" s="593"/>
      <c r="N19" s="593"/>
      <c r="O19" s="527"/>
      <c r="P19" s="22">
        <v>857</v>
      </c>
      <c r="Q19" s="526">
        <f>850-47</f>
        <v>803</v>
      </c>
      <c r="R19" s="593"/>
      <c r="S19" s="593"/>
      <c r="T19" s="527"/>
      <c r="U19" s="22">
        <v>796</v>
      </c>
      <c r="V19" s="526">
        <v>851</v>
      </c>
      <c r="W19" s="593"/>
      <c r="X19" s="593"/>
      <c r="Y19" s="527"/>
      <c r="Z19" s="22">
        <v>888.4</v>
      </c>
      <c r="AA19" s="525" t="s">
        <v>284</v>
      </c>
      <c r="AB19" s="20"/>
      <c r="AC19" s="457" t="s">
        <v>720</v>
      </c>
      <c r="AD19" s="459"/>
      <c r="AE19" s="459"/>
      <c r="AF19" s="397" t="s">
        <v>4</v>
      </c>
      <c r="AG19" s="526">
        <v>851</v>
      </c>
      <c r="AH19" s="593"/>
      <c r="AI19" s="593"/>
      <c r="AJ19" s="527"/>
      <c r="AK19" s="22">
        <v>866.8</v>
      </c>
      <c r="AL19" s="526">
        <v>851</v>
      </c>
      <c r="AM19" s="593"/>
      <c r="AN19" s="593"/>
      <c r="AO19" s="527"/>
      <c r="AP19" s="22">
        <v>882</v>
      </c>
      <c r="AQ19" s="526">
        <f>880-41</f>
        <v>839</v>
      </c>
      <c r="AR19" s="593"/>
      <c r="AS19" s="593"/>
      <c r="AT19" s="527"/>
      <c r="AU19" s="22">
        <v>848.2</v>
      </c>
      <c r="AV19" s="526">
        <v>859</v>
      </c>
      <c r="AW19" s="593"/>
      <c r="AX19" s="593"/>
      <c r="AY19" s="527"/>
      <c r="AZ19" s="22">
        <v>862</v>
      </c>
      <c r="BA19" s="525" t="s">
        <v>284</v>
      </c>
      <c r="BB19" s="20"/>
      <c r="BC19" s="457" t="s">
        <v>720</v>
      </c>
      <c r="BD19" s="459"/>
      <c r="BE19" s="459"/>
      <c r="BF19" s="397" t="s">
        <v>4</v>
      </c>
      <c r="BG19" s="526">
        <f>800-29</f>
        <v>771</v>
      </c>
      <c r="BH19" s="593"/>
      <c r="BI19" s="593"/>
      <c r="BJ19" s="527"/>
      <c r="BK19" s="22">
        <v>814</v>
      </c>
      <c r="BL19" s="526">
        <v>729</v>
      </c>
      <c r="BM19" s="593"/>
      <c r="BN19" s="593"/>
      <c r="BO19" s="527"/>
      <c r="BP19" s="22">
        <v>752</v>
      </c>
      <c r="BQ19" s="526">
        <f>900-47</f>
        <v>853</v>
      </c>
      <c r="BR19" s="593"/>
      <c r="BS19" s="593"/>
      <c r="BT19" s="527"/>
      <c r="BU19" s="22">
        <v>875.8</v>
      </c>
      <c r="BV19" s="526">
        <v>839</v>
      </c>
      <c r="BW19" s="593"/>
      <c r="BX19" s="593"/>
      <c r="BY19" s="527"/>
      <c r="BZ19" s="22">
        <v>848.8</v>
      </c>
      <c r="CA19" s="525" t="s">
        <v>284</v>
      </c>
      <c r="CB19" s="20"/>
      <c r="CC19" s="457" t="s">
        <v>720</v>
      </c>
      <c r="CD19" s="459"/>
      <c r="CE19" s="459"/>
      <c r="CF19" s="397" t="s">
        <v>4</v>
      </c>
      <c r="CG19" s="526">
        <v>841</v>
      </c>
      <c r="CH19" s="593"/>
      <c r="CI19" s="593"/>
      <c r="CJ19" s="527"/>
      <c r="CK19" s="22">
        <v>880</v>
      </c>
      <c r="CL19" s="526">
        <f>920-47</f>
        <v>873</v>
      </c>
      <c r="CM19" s="593"/>
      <c r="CN19" s="593"/>
      <c r="CO19" s="527"/>
      <c r="CP19" s="22">
        <v>884</v>
      </c>
      <c r="CQ19" s="526">
        <f>870-72</f>
        <v>798</v>
      </c>
      <c r="CR19" s="593"/>
      <c r="CS19" s="593"/>
      <c r="CT19" s="527"/>
      <c r="CU19" s="22">
        <v>798.8</v>
      </c>
      <c r="CV19" s="526">
        <f>790-41</f>
        <v>749</v>
      </c>
      <c r="CW19" s="593"/>
      <c r="CX19" s="593"/>
      <c r="CY19" s="527"/>
      <c r="CZ19" s="22">
        <v>720.8</v>
      </c>
      <c r="DA19" s="525" t="s">
        <v>284</v>
      </c>
      <c r="DB19" s="20"/>
      <c r="DC19" s="457" t="s">
        <v>720</v>
      </c>
      <c r="DD19" s="459"/>
      <c r="DE19" s="459"/>
      <c r="DF19" s="397" t="s">
        <v>4</v>
      </c>
      <c r="DG19" s="526">
        <f>880-29</f>
        <v>851</v>
      </c>
      <c r="DH19" s="593"/>
      <c r="DI19" s="593"/>
      <c r="DJ19" s="527"/>
      <c r="DK19" s="22">
        <v>883.8</v>
      </c>
      <c r="DL19" s="526">
        <v>861</v>
      </c>
      <c r="DM19" s="593"/>
      <c r="DN19" s="593"/>
      <c r="DO19" s="527"/>
      <c r="DP19" s="22">
        <v>877.2</v>
      </c>
      <c r="DQ19" s="526">
        <f>910-41</f>
        <v>869</v>
      </c>
      <c r="DR19" s="593"/>
      <c r="DS19" s="593"/>
      <c r="DT19" s="527"/>
      <c r="DU19" s="22">
        <v>883.2</v>
      </c>
      <c r="DV19" s="526">
        <v>859</v>
      </c>
      <c r="DW19" s="593"/>
      <c r="DX19" s="593"/>
      <c r="DY19" s="527"/>
      <c r="DZ19" s="22">
        <v>912.8</v>
      </c>
      <c r="EA19" s="525" t="s">
        <v>284</v>
      </c>
      <c r="EB19" s="20"/>
      <c r="EC19" s="457" t="s">
        <v>720</v>
      </c>
      <c r="ED19" s="459"/>
      <c r="EE19" s="459"/>
      <c r="EF19" s="397" t="s">
        <v>4</v>
      </c>
      <c r="EG19" s="526">
        <v>863</v>
      </c>
      <c r="EH19" s="593"/>
      <c r="EI19" s="593"/>
      <c r="EJ19" s="527"/>
      <c r="EK19" s="22">
        <v>863.8</v>
      </c>
      <c r="EL19" s="526">
        <v>759</v>
      </c>
      <c r="EM19" s="593"/>
      <c r="EN19" s="593"/>
      <c r="EO19" s="527"/>
      <c r="EP19" s="22">
        <v>826.5</v>
      </c>
      <c r="EQ19" s="526">
        <f>770-29</f>
        <v>741</v>
      </c>
      <c r="ER19" s="593"/>
      <c r="ES19" s="593"/>
      <c r="ET19" s="527"/>
      <c r="EU19" s="22">
        <v>750.8</v>
      </c>
      <c r="EV19" s="526">
        <f>890-29</f>
        <v>861</v>
      </c>
      <c r="EW19" s="593"/>
      <c r="EX19" s="593"/>
      <c r="EY19" s="527"/>
      <c r="EZ19" s="22">
        <v>874.2</v>
      </c>
      <c r="FA19" s="525" t="s">
        <v>284</v>
      </c>
      <c r="FB19" s="20"/>
      <c r="FC19" s="457" t="s">
        <v>720</v>
      </c>
      <c r="FD19" s="459"/>
      <c r="FE19" s="459"/>
      <c r="FF19" s="397" t="s">
        <v>4</v>
      </c>
      <c r="FG19" s="526">
        <v>858</v>
      </c>
      <c r="FH19" s="593"/>
      <c r="FI19" s="593"/>
      <c r="FJ19" s="527"/>
      <c r="FK19" s="22">
        <v>881.4</v>
      </c>
      <c r="FL19" s="526">
        <f>870-41</f>
        <v>829</v>
      </c>
      <c r="FM19" s="593"/>
      <c r="FN19" s="593"/>
      <c r="FO19" s="527"/>
      <c r="FP19" s="22">
        <v>849.6</v>
      </c>
      <c r="FQ19" s="526">
        <v>782</v>
      </c>
      <c r="FR19" s="593"/>
      <c r="FS19" s="593"/>
      <c r="FT19" s="527"/>
      <c r="FU19" s="22">
        <v>768.6</v>
      </c>
      <c r="FV19" s="526">
        <v>722</v>
      </c>
      <c r="FW19" s="593"/>
      <c r="FX19" s="593"/>
      <c r="FY19" s="527"/>
      <c r="FZ19" s="22">
        <v>666</v>
      </c>
      <c r="GA19" s="525" t="s">
        <v>284</v>
      </c>
      <c r="GB19" s="20"/>
      <c r="GC19" s="457" t="s">
        <v>720</v>
      </c>
      <c r="GD19" s="459"/>
      <c r="GE19" s="459"/>
      <c r="GF19" s="397" t="s">
        <v>4</v>
      </c>
      <c r="GG19" s="526">
        <v>712</v>
      </c>
      <c r="GH19" s="593"/>
      <c r="GI19" s="593"/>
      <c r="GJ19" s="527"/>
      <c r="GK19" s="22">
        <v>694.8</v>
      </c>
      <c r="GL19" s="526">
        <v>720</v>
      </c>
      <c r="GM19" s="593"/>
      <c r="GN19" s="593"/>
      <c r="GO19" s="527"/>
      <c r="GP19" s="22">
        <v>668.8</v>
      </c>
      <c r="GQ19" s="526">
        <f>750-18</f>
        <v>732</v>
      </c>
      <c r="GR19" s="593"/>
      <c r="GS19" s="593"/>
      <c r="GT19" s="527"/>
      <c r="GU19" s="22">
        <v>709.4</v>
      </c>
      <c r="GV19" s="526">
        <v>812</v>
      </c>
      <c r="GW19" s="593"/>
      <c r="GX19" s="593"/>
      <c r="GY19" s="527"/>
      <c r="GZ19" s="22">
        <v>809.8</v>
      </c>
      <c r="HA19" s="525" t="s">
        <v>284</v>
      </c>
      <c r="HB19" s="20"/>
      <c r="HC19" s="457" t="s">
        <v>720</v>
      </c>
      <c r="HD19" s="459"/>
      <c r="HE19" s="459"/>
      <c r="HF19" s="397" t="s">
        <v>4</v>
      </c>
      <c r="HG19" s="526">
        <v>742</v>
      </c>
      <c r="HH19" s="593"/>
      <c r="HI19" s="593"/>
      <c r="HJ19" s="527"/>
      <c r="HK19" s="22">
        <v>763.6</v>
      </c>
      <c r="HL19" s="526">
        <f>740-18</f>
        <v>722</v>
      </c>
      <c r="HM19" s="593"/>
      <c r="HN19" s="593"/>
      <c r="HO19" s="527"/>
      <c r="HP19" s="22">
        <v>756</v>
      </c>
      <c r="HQ19" s="526">
        <v>840</v>
      </c>
      <c r="HR19" s="593"/>
      <c r="HS19" s="593"/>
      <c r="HT19" s="527"/>
      <c r="HU19" s="22">
        <v>860.6</v>
      </c>
      <c r="HV19" s="526">
        <v>832</v>
      </c>
      <c r="HW19" s="593"/>
      <c r="HX19" s="593"/>
      <c r="HY19" s="527"/>
      <c r="HZ19" s="22">
        <v>845.8</v>
      </c>
      <c r="IA19" s="525" t="s">
        <v>284</v>
      </c>
      <c r="IB19" s="20"/>
      <c r="IC19" s="457" t="s">
        <v>720</v>
      </c>
      <c r="ID19" s="459"/>
      <c r="IE19" s="459"/>
      <c r="IF19" s="397" t="s">
        <v>4</v>
      </c>
      <c r="IG19" s="526">
        <v>862</v>
      </c>
      <c r="IH19" s="593"/>
      <c r="II19" s="593"/>
      <c r="IJ19" s="527"/>
      <c r="IK19" s="22">
        <v>906</v>
      </c>
      <c r="IL19" s="526">
        <v>862</v>
      </c>
      <c r="IM19" s="593"/>
      <c r="IN19" s="593"/>
      <c r="IO19" s="527"/>
      <c r="IP19" s="22">
        <v>932</v>
      </c>
      <c r="IQ19" s="526">
        <v>902</v>
      </c>
      <c r="IR19" s="593"/>
      <c r="IS19" s="593"/>
      <c r="IT19" s="527"/>
      <c r="IU19" s="22">
        <v>903</v>
      </c>
      <c r="IV19" s="526">
        <v>862</v>
      </c>
      <c r="IW19" s="593"/>
      <c r="IX19" s="593"/>
      <c r="IY19" s="527"/>
      <c r="IZ19" s="22">
        <v>872.2</v>
      </c>
      <c r="JA19" s="525" t="s">
        <v>284</v>
      </c>
      <c r="JB19" s="20"/>
      <c r="JC19" s="457" t="s">
        <v>720</v>
      </c>
      <c r="JD19" s="459"/>
      <c r="JE19" s="459"/>
      <c r="JF19" s="397" t="s">
        <v>4</v>
      </c>
      <c r="JG19" s="526">
        <v>790</v>
      </c>
      <c r="JH19" s="593"/>
      <c r="JI19" s="593"/>
      <c r="JJ19" s="527"/>
      <c r="JK19" s="22">
        <v>781.8</v>
      </c>
      <c r="JL19" s="526">
        <v>802</v>
      </c>
      <c r="JM19" s="593"/>
      <c r="JN19" s="593"/>
      <c r="JO19" s="527"/>
      <c r="JP19" s="22">
        <v>769</v>
      </c>
      <c r="JQ19" s="526">
        <f>940-40</f>
        <v>900</v>
      </c>
      <c r="JR19" s="593"/>
      <c r="JS19" s="593"/>
      <c r="JT19" s="527"/>
      <c r="JU19" s="22">
        <v>929</v>
      </c>
      <c r="JV19" s="526">
        <f>950-58</f>
        <v>892</v>
      </c>
      <c r="JW19" s="593"/>
      <c r="JX19" s="593"/>
      <c r="JY19" s="527"/>
      <c r="JZ19" s="22">
        <v>866.8</v>
      </c>
      <c r="KA19" s="525" t="s">
        <v>284</v>
      </c>
      <c r="KB19" s="20"/>
      <c r="KC19" s="457" t="s">
        <v>720</v>
      </c>
      <c r="KD19" s="459"/>
      <c r="KE19" s="459"/>
      <c r="KF19" s="397" t="s">
        <v>4</v>
      </c>
      <c r="KG19" s="526">
        <f>820-18</f>
        <v>802</v>
      </c>
      <c r="KH19" s="593"/>
      <c r="KI19" s="593"/>
      <c r="KJ19" s="527"/>
      <c r="KK19" s="22">
        <v>847</v>
      </c>
      <c r="KL19" s="526">
        <f>820-18</f>
        <v>802</v>
      </c>
      <c r="KM19" s="593"/>
      <c r="KN19" s="593"/>
      <c r="KO19" s="527"/>
      <c r="KP19" s="22">
        <v>788.8</v>
      </c>
      <c r="KQ19" s="526">
        <f>930-18</f>
        <v>912</v>
      </c>
      <c r="KR19" s="593"/>
      <c r="KS19" s="593"/>
      <c r="KT19" s="527"/>
      <c r="KU19" s="22">
        <v>987.8</v>
      </c>
      <c r="KV19" s="526">
        <f>1040-13</f>
        <v>1027</v>
      </c>
      <c r="KW19" s="593"/>
      <c r="KX19" s="593"/>
      <c r="KY19" s="527"/>
      <c r="KZ19" s="22">
        <v>1046.8</v>
      </c>
      <c r="LA19" s="525" t="s">
        <v>284</v>
      </c>
      <c r="LB19" s="20"/>
      <c r="LC19" s="457" t="s">
        <v>720</v>
      </c>
      <c r="LD19" s="459"/>
      <c r="LE19" s="459"/>
      <c r="LF19" s="397" t="s">
        <v>4</v>
      </c>
      <c r="LG19" s="526">
        <v>790</v>
      </c>
      <c r="LH19" s="593"/>
      <c r="LI19" s="593"/>
      <c r="LJ19" s="527"/>
      <c r="LK19" s="22">
        <v>774</v>
      </c>
      <c r="LL19" s="526">
        <v>975</v>
      </c>
      <c r="LM19" s="593"/>
      <c r="LN19" s="593"/>
      <c r="LO19" s="527"/>
      <c r="LP19" s="22">
        <v>980.6</v>
      </c>
      <c r="LQ19" s="526">
        <v>1045</v>
      </c>
      <c r="LR19" s="593"/>
      <c r="LS19" s="593"/>
      <c r="LT19" s="527"/>
      <c r="LU19" s="22">
        <v>1103.8</v>
      </c>
      <c r="LV19" s="526">
        <v>870</v>
      </c>
      <c r="LW19" s="593"/>
      <c r="LX19" s="593"/>
      <c r="LY19" s="527"/>
      <c r="LZ19" s="22">
        <v>913</v>
      </c>
      <c r="MA19" s="525" t="s">
        <v>284</v>
      </c>
      <c r="MB19" s="20"/>
      <c r="MC19" s="457" t="s">
        <v>720</v>
      </c>
      <c r="MD19" s="459"/>
      <c r="ME19" s="459"/>
      <c r="MF19" s="397" t="s">
        <v>4</v>
      </c>
      <c r="MG19" s="526">
        <f>1010-5</f>
        <v>1005</v>
      </c>
      <c r="MH19" s="593"/>
      <c r="MI19" s="593"/>
      <c r="MJ19" s="527"/>
      <c r="MK19" s="22">
        <v>982.2</v>
      </c>
      <c r="ML19" s="526">
        <f>960-5</f>
        <v>955</v>
      </c>
      <c r="MM19" s="593"/>
      <c r="MN19" s="593"/>
      <c r="MO19" s="527"/>
      <c r="MP19" s="22">
        <v>897.4</v>
      </c>
      <c r="MQ19" s="526">
        <f>1130-13</f>
        <v>1117</v>
      </c>
      <c r="MR19" s="593"/>
      <c r="MS19" s="593"/>
      <c r="MT19" s="527"/>
      <c r="MU19" s="22">
        <v>1146</v>
      </c>
      <c r="MV19" s="526">
        <f>1140-5</f>
        <v>1135</v>
      </c>
      <c r="MW19" s="593"/>
      <c r="MX19" s="593"/>
      <c r="MY19" s="527"/>
      <c r="MZ19" s="22">
        <v>1053.2</v>
      </c>
      <c r="NA19" s="525" t="s">
        <v>284</v>
      </c>
      <c r="NB19" s="20"/>
      <c r="NC19" s="457" t="s">
        <v>720</v>
      </c>
      <c r="ND19" s="459"/>
      <c r="NE19" s="459"/>
      <c r="NF19" s="397" t="s">
        <v>4</v>
      </c>
      <c r="NG19" s="526">
        <f>1150-13</f>
        <v>1137</v>
      </c>
      <c r="NH19" s="593"/>
      <c r="NI19" s="593"/>
      <c r="NJ19" s="527"/>
      <c r="NK19" s="22">
        <v>1136.5999999999999</v>
      </c>
      <c r="NL19" s="526">
        <f>1140-5</f>
        <v>1135</v>
      </c>
      <c r="NM19" s="593"/>
      <c r="NN19" s="593"/>
      <c r="NO19" s="527"/>
      <c r="NP19" s="22">
        <v>1113</v>
      </c>
      <c r="NQ19" s="526">
        <f>960-20</f>
        <v>940</v>
      </c>
      <c r="NR19" s="593"/>
      <c r="NS19" s="593"/>
      <c r="NT19" s="527"/>
      <c r="NU19" s="22">
        <v>912.4</v>
      </c>
      <c r="NV19" s="526">
        <f>1140-5</f>
        <v>1135</v>
      </c>
      <c r="NW19" s="593"/>
      <c r="NX19" s="593"/>
      <c r="NY19" s="527"/>
      <c r="NZ19" s="22">
        <v>1194</v>
      </c>
      <c r="OA19" s="525" t="s">
        <v>284</v>
      </c>
      <c r="OB19" s="20"/>
      <c r="OC19" s="457" t="s">
        <v>720</v>
      </c>
      <c r="OD19" s="459"/>
      <c r="OE19" s="459"/>
      <c r="OF19" s="397" t="s">
        <v>4</v>
      </c>
      <c r="OG19" s="526">
        <f>1030-35</f>
        <v>995</v>
      </c>
      <c r="OH19" s="593"/>
      <c r="OI19" s="593"/>
      <c r="OJ19" s="527"/>
      <c r="OK19" s="22">
        <v>1082.2</v>
      </c>
      <c r="OL19" s="526">
        <f>930</f>
        <v>930</v>
      </c>
      <c r="OM19" s="593"/>
      <c r="ON19" s="593"/>
      <c r="OO19" s="527"/>
      <c r="OP19" s="22">
        <v>926</v>
      </c>
      <c r="OQ19" s="526">
        <f>1070-35</f>
        <v>1035</v>
      </c>
      <c r="OR19" s="593"/>
      <c r="OS19" s="593"/>
      <c r="OT19" s="527"/>
      <c r="OU19" s="22">
        <v>1132.4000000000001</v>
      </c>
      <c r="OV19" s="526">
        <f>1050-31</f>
        <v>1019</v>
      </c>
      <c r="OW19" s="593"/>
      <c r="OX19" s="593"/>
      <c r="OY19" s="527"/>
      <c r="OZ19" s="22">
        <v>1119</v>
      </c>
      <c r="PA19" s="525" t="s">
        <v>284</v>
      </c>
      <c r="PB19" s="20"/>
      <c r="PC19" s="457" t="s">
        <v>720</v>
      </c>
      <c r="PD19" s="459"/>
      <c r="PE19" s="459"/>
      <c r="PF19" s="397" t="s">
        <v>4</v>
      </c>
      <c r="PG19" s="526">
        <v>694.9</v>
      </c>
      <c r="PH19" s="593"/>
      <c r="PI19" s="593"/>
      <c r="PJ19" s="527"/>
      <c r="PK19" s="22">
        <v>809.2</v>
      </c>
      <c r="PL19" s="526">
        <f>1140-37</f>
        <v>1103</v>
      </c>
      <c r="PM19" s="593"/>
      <c r="PN19" s="593"/>
      <c r="PO19" s="527"/>
      <c r="PP19" s="22">
        <v>1126</v>
      </c>
      <c r="PQ19" s="526">
        <f>1070-85</f>
        <v>985</v>
      </c>
      <c r="PR19" s="593"/>
      <c r="PS19" s="593"/>
      <c r="PT19" s="527"/>
      <c r="PU19" s="22">
        <v>1084.8</v>
      </c>
      <c r="PV19" s="526">
        <f>990-89</f>
        <v>901</v>
      </c>
      <c r="PW19" s="593"/>
      <c r="PX19" s="593"/>
      <c r="PY19" s="527"/>
      <c r="PZ19" s="22">
        <v>970</v>
      </c>
      <c r="QA19" s="525" t="s">
        <v>284</v>
      </c>
      <c r="QB19" s="20"/>
      <c r="QC19" s="457" t="s">
        <v>720</v>
      </c>
      <c r="QD19" s="459"/>
      <c r="QE19" s="459"/>
      <c r="QF19" s="397" t="s">
        <v>4</v>
      </c>
      <c r="QG19" s="526">
        <v>955</v>
      </c>
      <c r="QH19" s="593"/>
      <c r="QI19" s="593"/>
      <c r="QJ19" s="527"/>
      <c r="QK19" s="22">
        <v>1027</v>
      </c>
      <c r="QL19" s="526">
        <v>822</v>
      </c>
      <c r="QM19" s="593"/>
      <c r="QN19" s="593"/>
      <c r="QO19" s="527"/>
      <c r="QP19" s="22">
        <v>880.2</v>
      </c>
      <c r="QQ19" s="526">
        <v>975</v>
      </c>
      <c r="QR19" s="593"/>
      <c r="QS19" s="593"/>
      <c r="QT19" s="527"/>
      <c r="QU19" s="22">
        <v>1024.8</v>
      </c>
      <c r="QV19" s="526">
        <f t="shared" ref="QV19" si="0">1080-35</f>
        <v>1045</v>
      </c>
      <c r="QW19" s="593"/>
      <c r="QX19" s="593"/>
      <c r="QY19" s="527"/>
      <c r="QZ19" s="22">
        <v>1100</v>
      </c>
      <c r="RA19" s="525" t="s">
        <v>284</v>
      </c>
      <c r="RB19" s="20"/>
      <c r="RC19" s="457" t="s">
        <v>67</v>
      </c>
      <c r="RD19" s="459"/>
      <c r="RE19" s="459"/>
      <c r="RF19" s="397" t="s">
        <v>4</v>
      </c>
      <c r="RG19" s="526">
        <f>1080-88</f>
        <v>992</v>
      </c>
      <c r="RH19" s="593"/>
      <c r="RI19" s="593"/>
      <c r="RJ19" s="527"/>
      <c r="RK19" s="22">
        <f>1068.2+0.3</f>
        <v>1068.5</v>
      </c>
      <c r="RL19" s="526">
        <f>1020-88</f>
        <v>932</v>
      </c>
      <c r="RM19" s="593"/>
      <c r="RN19" s="593"/>
      <c r="RO19" s="527"/>
      <c r="RP19" s="22">
        <v>955.8</v>
      </c>
      <c r="RQ19" s="526">
        <f>870-35</f>
        <v>835</v>
      </c>
      <c r="RR19" s="593"/>
      <c r="RS19" s="593"/>
      <c r="RT19" s="527"/>
      <c r="RU19" s="22">
        <v>899</v>
      </c>
      <c r="RV19" s="526">
        <f>1150-59</f>
        <v>1091</v>
      </c>
      <c r="RW19" s="593"/>
      <c r="RX19" s="593"/>
      <c r="RY19" s="527"/>
      <c r="RZ19" s="22">
        <v>1162</v>
      </c>
      <c r="SA19" s="525" t="s">
        <v>284</v>
      </c>
      <c r="SB19" s="20"/>
      <c r="SC19" s="457" t="s">
        <v>67</v>
      </c>
      <c r="SD19" s="459"/>
      <c r="SE19" s="459"/>
      <c r="SF19" s="397" t="s">
        <v>4</v>
      </c>
      <c r="SG19" s="526">
        <v>920</v>
      </c>
      <c r="SH19" s="593"/>
      <c r="SI19" s="593"/>
      <c r="SJ19" s="527"/>
      <c r="SK19" s="22">
        <v>998.6</v>
      </c>
      <c r="SL19" s="526">
        <v>810</v>
      </c>
      <c r="SM19" s="593"/>
      <c r="SN19" s="593"/>
      <c r="SO19" s="527"/>
      <c r="SP19" s="22">
        <v>914.4</v>
      </c>
      <c r="SQ19" s="526">
        <f>1150-70</f>
        <v>1080</v>
      </c>
      <c r="SR19" s="593"/>
      <c r="SS19" s="593"/>
      <c r="ST19" s="527"/>
      <c r="SU19" s="22">
        <v>1130.8</v>
      </c>
      <c r="SV19" s="526">
        <v>1060</v>
      </c>
      <c r="SW19" s="593"/>
      <c r="SX19" s="593"/>
      <c r="SY19" s="527"/>
      <c r="SZ19" s="22">
        <v>1161</v>
      </c>
      <c r="TA19" s="525" t="s">
        <v>284</v>
      </c>
      <c r="TB19" s="20"/>
      <c r="TC19" s="457" t="s">
        <v>67</v>
      </c>
      <c r="TD19" s="459"/>
      <c r="TE19" s="459"/>
      <c r="TF19" s="397" t="s">
        <v>4</v>
      </c>
      <c r="TG19" s="526">
        <v>1030</v>
      </c>
      <c r="TH19" s="593"/>
      <c r="TI19" s="593"/>
      <c r="TJ19" s="527"/>
      <c r="TK19" s="22">
        <v>1127.8</v>
      </c>
      <c r="TL19" s="526">
        <v>1050</v>
      </c>
      <c r="TM19" s="593"/>
      <c r="TN19" s="593"/>
      <c r="TO19" s="527"/>
      <c r="TP19" s="22"/>
      <c r="TQ19" s="22">
        <v>1124</v>
      </c>
      <c r="TR19" s="526">
        <f>1110-59</f>
        <v>1051</v>
      </c>
      <c r="TS19" s="593"/>
      <c r="TT19" s="593"/>
      <c r="TU19" s="527"/>
      <c r="TV19" s="22">
        <v>1153.5999999999999</v>
      </c>
      <c r="TW19" s="526">
        <v>921</v>
      </c>
      <c r="TX19" s="593"/>
      <c r="TY19" s="593"/>
      <c r="TZ19" s="527"/>
      <c r="UA19" s="22">
        <v>1072.2</v>
      </c>
      <c r="UB19" s="525" t="s">
        <v>284</v>
      </c>
      <c r="UC19" s="20"/>
      <c r="UD19" s="457" t="s">
        <v>67</v>
      </c>
      <c r="UE19" s="459"/>
      <c r="UF19" s="459"/>
      <c r="UG19" s="397" t="s">
        <v>4</v>
      </c>
      <c r="UH19" s="526">
        <v>881</v>
      </c>
      <c r="UI19" s="593"/>
      <c r="UJ19" s="593"/>
      <c r="UK19" s="527"/>
      <c r="UL19" s="22">
        <v>999.8</v>
      </c>
      <c r="UM19" s="526">
        <f>1170-29</f>
        <v>1141</v>
      </c>
      <c r="UN19" s="593"/>
      <c r="UO19" s="593"/>
      <c r="UP19" s="527"/>
      <c r="UQ19" s="22">
        <v>1188.8</v>
      </c>
      <c r="UR19" s="526">
        <f>860-29</f>
        <v>831</v>
      </c>
      <c r="US19" s="593"/>
      <c r="UT19" s="593"/>
      <c r="UU19" s="527"/>
      <c r="UV19" s="22">
        <v>897</v>
      </c>
      <c r="UW19" s="526">
        <f>760-29</f>
        <v>731</v>
      </c>
      <c r="UX19" s="593"/>
      <c r="UY19" s="593"/>
      <c r="UZ19" s="527"/>
      <c r="VA19" s="22">
        <v>734.2</v>
      </c>
      <c r="VB19" s="525" t="s">
        <v>284</v>
      </c>
      <c r="VC19" s="20"/>
      <c r="VD19" s="457" t="s">
        <v>67</v>
      </c>
      <c r="VE19" s="459"/>
      <c r="VF19" s="459"/>
      <c r="VG19" s="397" t="s">
        <v>4</v>
      </c>
      <c r="VH19" s="526">
        <f>860-59</f>
        <v>801</v>
      </c>
      <c r="VI19" s="593"/>
      <c r="VJ19" s="593"/>
      <c r="VK19" s="527"/>
      <c r="VL19" s="22">
        <v>857.9</v>
      </c>
      <c r="VM19" s="526">
        <f>870-29</f>
        <v>841</v>
      </c>
      <c r="VN19" s="593"/>
      <c r="VO19" s="593"/>
      <c r="VP19" s="527"/>
      <c r="VQ19" s="22">
        <v>871.8</v>
      </c>
      <c r="VR19" s="526">
        <f>870-29</f>
        <v>841</v>
      </c>
      <c r="VS19" s="593"/>
      <c r="VT19" s="593"/>
      <c r="VU19" s="527"/>
      <c r="VV19" s="22">
        <v>847.6</v>
      </c>
      <c r="VW19" s="526">
        <f>860-59</f>
        <v>801</v>
      </c>
      <c r="VX19" s="593"/>
      <c r="VY19" s="593"/>
      <c r="VZ19" s="527"/>
      <c r="WA19" s="22">
        <v>854</v>
      </c>
      <c r="WB19" s="525" t="s">
        <v>284</v>
      </c>
      <c r="WC19" s="20"/>
      <c r="WD19" s="457" t="s">
        <v>67</v>
      </c>
      <c r="WE19" s="459"/>
      <c r="WF19" s="459"/>
      <c r="WG19" s="397" t="s">
        <v>4</v>
      </c>
      <c r="WH19" s="526">
        <f>770-59</f>
        <v>711</v>
      </c>
      <c r="WI19" s="593"/>
      <c r="WJ19" s="593"/>
      <c r="WK19" s="527"/>
      <c r="WL19" s="22">
        <v>761.4</v>
      </c>
      <c r="WM19" s="526">
        <f>720-29</f>
        <v>691</v>
      </c>
      <c r="WN19" s="593"/>
      <c r="WO19" s="593"/>
      <c r="WP19" s="527"/>
      <c r="WQ19" s="22">
        <v>731.4</v>
      </c>
      <c r="WR19" s="526">
        <f>840-59</f>
        <v>781</v>
      </c>
      <c r="WS19" s="593"/>
      <c r="WT19" s="593"/>
      <c r="WU19" s="527"/>
      <c r="WV19" s="22">
        <v>859</v>
      </c>
      <c r="WW19" s="526">
        <f>860-59</f>
        <v>801</v>
      </c>
      <c r="WX19" s="593"/>
      <c r="WY19" s="593"/>
      <c r="WZ19" s="527"/>
      <c r="XA19" s="22">
        <v>840.6</v>
      </c>
      <c r="XB19" s="525" t="s">
        <v>284</v>
      </c>
      <c r="XC19" s="20"/>
      <c r="XD19" s="457" t="s">
        <v>67</v>
      </c>
      <c r="XE19" s="459"/>
      <c r="XF19" s="459"/>
      <c r="XG19" s="397" t="s">
        <v>4</v>
      </c>
      <c r="XH19" s="526">
        <v>801</v>
      </c>
      <c r="XI19" s="593"/>
      <c r="XJ19" s="593"/>
      <c r="XK19" s="527"/>
      <c r="XL19" s="22">
        <v>822</v>
      </c>
      <c r="XM19" s="526">
        <f>850-70</f>
        <v>780</v>
      </c>
      <c r="XN19" s="593"/>
      <c r="XO19" s="593"/>
      <c r="XP19" s="527"/>
      <c r="XQ19" s="22">
        <v>806</v>
      </c>
      <c r="XR19" s="526">
        <v>721</v>
      </c>
      <c r="XS19" s="593"/>
      <c r="XT19" s="593"/>
      <c r="XU19" s="527"/>
      <c r="XV19" s="22">
        <v>764</v>
      </c>
      <c r="XW19" s="526">
        <v>691</v>
      </c>
      <c r="XX19" s="593"/>
      <c r="XY19" s="593"/>
      <c r="XZ19" s="527"/>
      <c r="YA19" s="22">
        <v>699</v>
      </c>
      <c r="YB19" s="525" t="s">
        <v>284</v>
      </c>
      <c r="YC19" s="20"/>
      <c r="YD19" s="457" t="s">
        <v>67</v>
      </c>
      <c r="YE19" s="459"/>
      <c r="YF19" s="459"/>
      <c r="YG19" s="397" t="s">
        <v>4</v>
      </c>
      <c r="YH19" s="526">
        <v>777</v>
      </c>
      <c r="YI19" s="593"/>
      <c r="YJ19" s="593"/>
      <c r="YK19" s="527"/>
      <c r="YL19" s="22">
        <v>847.2</v>
      </c>
      <c r="YM19" s="526">
        <f>830-53</f>
        <v>777</v>
      </c>
      <c r="YN19" s="593"/>
      <c r="YO19" s="593"/>
      <c r="YP19" s="527"/>
      <c r="YQ19" s="22">
        <f>879.2</f>
        <v>879.2</v>
      </c>
      <c r="YR19" s="526">
        <f>800-53</f>
        <v>747</v>
      </c>
      <c r="YS19" s="593"/>
      <c r="YT19" s="593"/>
      <c r="YU19" s="527"/>
      <c r="YV19" s="22">
        <v>812.8</v>
      </c>
      <c r="YW19" s="526">
        <f>850-53</f>
        <v>797</v>
      </c>
      <c r="YX19" s="593"/>
      <c r="YY19" s="593"/>
      <c r="YZ19" s="527"/>
      <c r="ZA19" s="22">
        <v>876.6</v>
      </c>
      <c r="ZB19" s="525" t="s">
        <v>284</v>
      </c>
      <c r="ZC19" s="20"/>
      <c r="ZD19" s="457" t="s">
        <v>67</v>
      </c>
      <c r="ZE19" s="459"/>
      <c r="ZF19" s="459"/>
      <c r="ZG19" s="397" t="s">
        <v>4</v>
      </c>
      <c r="ZH19" s="526">
        <v>838</v>
      </c>
      <c r="ZI19" s="593"/>
      <c r="ZJ19" s="593"/>
      <c r="ZK19" s="527"/>
      <c r="ZL19" s="22">
        <v>854.6</v>
      </c>
      <c r="ZM19" s="526">
        <f>830-43</f>
        <v>787</v>
      </c>
      <c r="ZN19" s="593"/>
      <c r="ZO19" s="593"/>
      <c r="ZP19" s="527"/>
      <c r="ZQ19" s="22">
        <v>859</v>
      </c>
      <c r="ZR19" s="526">
        <f>730-53</f>
        <v>677</v>
      </c>
      <c r="ZS19" s="593"/>
      <c r="ZT19" s="593"/>
      <c r="ZU19" s="527"/>
      <c r="ZV19" s="22">
        <v>723.6</v>
      </c>
      <c r="ZW19" s="526">
        <v>717</v>
      </c>
      <c r="ZX19" s="593"/>
      <c r="ZY19" s="593"/>
      <c r="ZZ19" s="527"/>
      <c r="AAA19" s="22">
        <v>791.2</v>
      </c>
      <c r="AAB19" s="525" t="s">
        <v>284</v>
      </c>
      <c r="AAC19" s="20"/>
      <c r="AAD19" s="457" t="s">
        <v>67</v>
      </c>
      <c r="AAE19" s="459"/>
      <c r="AAF19" s="459"/>
      <c r="AAG19" s="397" t="s">
        <v>4</v>
      </c>
      <c r="AAH19" s="526">
        <f>870-53</f>
        <v>817</v>
      </c>
      <c r="AAI19" s="593"/>
      <c r="AAJ19" s="593"/>
      <c r="AAK19" s="527"/>
      <c r="AAL19" s="22">
        <v>844.6</v>
      </c>
      <c r="AAM19" s="526">
        <f>870-86</f>
        <v>784</v>
      </c>
      <c r="AAN19" s="593"/>
      <c r="AAO19" s="593"/>
      <c r="AAP19" s="527"/>
      <c r="AAQ19" s="22">
        <v>903.2</v>
      </c>
      <c r="AAR19" s="526">
        <f>860-14</f>
        <v>846</v>
      </c>
      <c r="AAS19" s="593"/>
      <c r="AAT19" s="593"/>
      <c r="AAU19" s="527"/>
      <c r="AAV19" s="22">
        <v>873</v>
      </c>
      <c r="AAW19" s="526">
        <f>890-86</f>
        <v>804</v>
      </c>
      <c r="AAX19" s="593"/>
      <c r="AAY19" s="593"/>
      <c r="AAZ19" s="527"/>
      <c r="ABA19" s="22">
        <v>890.40000000000009</v>
      </c>
      <c r="ABB19" s="525" t="s">
        <v>284</v>
      </c>
      <c r="ABC19" s="20"/>
      <c r="ABD19" s="457" t="s">
        <v>67</v>
      </c>
      <c r="ABE19" s="459"/>
      <c r="ABF19" s="459"/>
      <c r="ABG19" s="397" t="s">
        <v>4</v>
      </c>
      <c r="ABH19" s="526">
        <f>870-86</f>
        <v>784</v>
      </c>
      <c r="ABI19" s="593"/>
      <c r="ABJ19" s="593"/>
      <c r="ABK19" s="527"/>
      <c r="ABL19" s="22">
        <v>871</v>
      </c>
      <c r="ABM19" s="526">
        <f>790-14</f>
        <v>776</v>
      </c>
      <c r="ABN19" s="593"/>
      <c r="ABO19" s="593"/>
      <c r="ABP19" s="527"/>
      <c r="ABQ19" s="22">
        <v>777.8</v>
      </c>
      <c r="ABR19" s="526">
        <f>760-41</f>
        <v>719</v>
      </c>
      <c r="ABS19" s="593"/>
      <c r="ABT19" s="593"/>
      <c r="ABU19" s="527"/>
      <c r="ABV19" s="22">
        <v>765.2</v>
      </c>
      <c r="ABW19" s="526">
        <f>840-14</f>
        <v>826</v>
      </c>
      <c r="ABX19" s="593"/>
      <c r="ABY19" s="593"/>
      <c r="ABZ19" s="527"/>
      <c r="ACA19" s="22">
        <v>823.4</v>
      </c>
      <c r="ACB19" s="525" t="s">
        <v>284</v>
      </c>
      <c r="ACC19" s="20"/>
      <c r="ACD19" s="457" t="s">
        <v>67</v>
      </c>
      <c r="ACE19" s="459"/>
      <c r="ACF19" s="459"/>
      <c r="ACG19" s="397" t="s">
        <v>4</v>
      </c>
      <c r="ACH19" s="526">
        <f>780-14</f>
        <v>766</v>
      </c>
      <c r="ACI19" s="593"/>
      <c r="ACJ19" s="593"/>
      <c r="ACK19" s="527"/>
      <c r="ACL19" s="22">
        <v>737</v>
      </c>
      <c r="ACM19" s="595">
        <v>844</v>
      </c>
      <c r="ACN19" s="596"/>
      <c r="ACO19" s="596"/>
      <c r="ACP19" s="597"/>
      <c r="ACQ19" s="22">
        <v>899</v>
      </c>
      <c r="ACR19" s="526">
        <f>870-79</f>
        <v>791</v>
      </c>
      <c r="ACS19" s="593"/>
      <c r="ACT19" s="593"/>
      <c r="ACU19" s="527"/>
      <c r="ACV19" s="22">
        <v>940.4</v>
      </c>
      <c r="ACW19" s="595">
        <v>721</v>
      </c>
      <c r="ACX19" s="596"/>
      <c r="ACY19" s="596"/>
      <c r="ACZ19" s="597"/>
      <c r="ADA19" s="22">
        <v>827.80000000000007</v>
      </c>
      <c r="ADB19" s="525" t="s">
        <v>284</v>
      </c>
      <c r="ADC19" s="20"/>
      <c r="ADD19" s="457" t="s">
        <v>67</v>
      </c>
      <c r="ADE19" s="459"/>
      <c r="ADF19" s="459"/>
      <c r="ADG19" s="397" t="s">
        <v>4</v>
      </c>
      <c r="ADH19" s="595">
        <f>930-79</f>
        <v>851</v>
      </c>
      <c r="ADI19" s="596"/>
      <c r="ADJ19" s="596"/>
      <c r="ADK19" s="597"/>
      <c r="ADL19" s="22">
        <v>1044</v>
      </c>
      <c r="ADM19" s="595">
        <f>930-79</f>
        <v>851</v>
      </c>
      <c r="ADN19" s="596"/>
      <c r="ADO19" s="596"/>
      <c r="ADP19" s="597"/>
      <c r="ADQ19" s="22">
        <v>1010</v>
      </c>
      <c r="ADR19" s="595">
        <f>950-79</f>
        <v>871</v>
      </c>
      <c r="ADS19" s="596"/>
      <c r="ADT19" s="596"/>
      <c r="ADU19" s="597"/>
      <c r="ADV19" s="22">
        <v>945</v>
      </c>
      <c r="ADW19" s="526">
        <f>820-79</f>
        <v>741</v>
      </c>
      <c r="ADX19" s="593"/>
      <c r="ADY19" s="593"/>
      <c r="ADZ19" s="527"/>
      <c r="AEA19" s="22">
        <v>826</v>
      </c>
      <c r="AEB19" s="525" t="s">
        <v>284</v>
      </c>
      <c r="AEC19" s="20"/>
      <c r="AED19" s="457" t="s">
        <v>67</v>
      </c>
      <c r="AEE19" s="459"/>
      <c r="AEF19" s="459"/>
      <c r="AEG19" s="397" t="s">
        <v>4</v>
      </c>
      <c r="AEH19" s="595">
        <f>830-107</f>
        <v>723</v>
      </c>
      <c r="AEI19" s="596"/>
      <c r="AEJ19" s="596"/>
      <c r="AEK19" s="597"/>
      <c r="AEL19" s="22">
        <v>798.2</v>
      </c>
      <c r="AEM19" s="595">
        <f>940-14</f>
        <v>926</v>
      </c>
      <c r="AEN19" s="596"/>
      <c r="AEO19" s="596"/>
      <c r="AEP19" s="597"/>
      <c r="AEQ19" s="22"/>
      <c r="AER19" s="22">
        <v>951.6</v>
      </c>
      <c r="AES19" s="595">
        <f>950-14</f>
        <v>936</v>
      </c>
      <c r="AET19" s="596"/>
      <c r="AEU19" s="596"/>
      <c r="AEV19" s="597"/>
      <c r="AEW19" s="22">
        <v>957.8</v>
      </c>
      <c r="AEX19" s="501">
        <v>1011</v>
      </c>
      <c r="AEY19" s="502"/>
      <c r="AEZ19" s="502"/>
      <c r="AFA19" s="503"/>
      <c r="AFB19" s="22">
        <v>919.6</v>
      </c>
      <c r="AFC19" s="525" t="s">
        <v>284</v>
      </c>
      <c r="AFD19" s="20"/>
      <c r="AFE19" s="457" t="s">
        <v>67</v>
      </c>
      <c r="AFF19" s="459"/>
      <c r="AFG19" s="459"/>
      <c r="AFH19" s="397" t="s">
        <v>4</v>
      </c>
      <c r="AFI19" s="501">
        <v>826</v>
      </c>
      <c r="AFJ19" s="502"/>
      <c r="AFK19" s="502"/>
      <c r="AFL19" s="503"/>
      <c r="AFM19" s="290">
        <v>920.6</v>
      </c>
      <c r="AFN19" s="595">
        <f>950-122</f>
        <v>828</v>
      </c>
      <c r="AFO19" s="596"/>
      <c r="AFP19" s="596"/>
      <c r="AFQ19" s="597"/>
      <c r="AFR19" s="22">
        <v>819.8</v>
      </c>
      <c r="AFS19" s="595">
        <f>870-122</f>
        <v>748</v>
      </c>
      <c r="AFT19" s="596"/>
      <c r="AFU19" s="596"/>
      <c r="AFV19" s="597"/>
      <c r="AFW19" s="22">
        <v>737.8</v>
      </c>
      <c r="AFX19" s="595">
        <f>880-134</f>
        <v>746</v>
      </c>
      <c r="AFY19" s="596"/>
      <c r="AFZ19" s="596"/>
      <c r="AGA19" s="597"/>
      <c r="AGB19" s="22">
        <v>763</v>
      </c>
      <c r="AGC19" s="525" t="s">
        <v>284</v>
      </c>
      <c r="AGD19" s="20"/>
      <c r="AGE19" s="457" t="s">
        <v>67</v>
      </c>
      <c r="AGF19" s="459"/>
      <c r="AGG19" s="459"/>
      <c r="AGH19" s="397" t="s">
        <v>4</v>
      </c>
      <c r="AGI19" s="595">
        <f>870-122</f>
        <v>748</v>
      </c>
      <c r="AGJ19" s="596"/>
      <c r="AGK19" s="596"/>
      <c r="AGL19" s="597"/>
      <c r="AGM19" s="22">
        <v>772.2</v>
      </c>
      <c r="AGN19" s="595">
        <f>910-105</f>
        <v>805</v>
      </c>
      <c r="AGO19" s="596"/>
      <c r="AGP19" s="596"/>
      <c r="AGQ19" s="597"/>
      <c r="AGR19" s="22">
        <v>962.8</v>
      </c>
      <c r="AGS19" s="595">
        <v>990</v>
      </c>
      <c r="AGT19" s="596"/>
      <c r="AGU19" s="596"/>
      <c r="AGV19" s="597"/>
      <c r="AGW19" s="22">
        <v>1065</v>
      </c>
      <c r="AGX19" s="501">
        <v>905</v>
      </c>
      <c r="AGY19" s="502"/>
      <c r="AGZ19" s="502"/>
      <c r="AHA19" s="503"/>
      <c r="AHB19" s="22">
        <v>1011</v>
      </c>
      <c r="AHC19" s="525" t="s">
        <v>284</v>
      </c>
      <c r="AHD19" s="20"/>
      <c r="AHE19" s="457" t="s">
        <v>67</v>
      </c>
      <c r="AHF19" s="459"/>
      <c r="AHG19" s="459"/>
      <c r="AHH19" s="397" t="s">
        <v>4</v>
      </c>
      <c r="AHI19" s="501">
        <f>920-40</f>
        <v>880</v>
      </c>
      <c r="AHJ19" s="502"/>
      <c r="AHK19" s="502"/>
      <c r="AHL19" s="503"/>
      <c r="AHM19" s="22">
        <v>908</v>
      </c>
      <c r="AHN19" s="501">
        <f>1060-105</f>
        <v>955</v>
      </c>
      <c r="AHO19" s="502"/>
      <c r="AHP19" s="502"/>
      <c r="AHQ19" s="503"/>
      <c r="AHR19" s="22">
        <v>1148.4000000000001</v>
      </c>
      <c r="AHS19" s="501">
        <v>920</v>
      </c>
      <c r="AHT19" s="502"/>
      <c r="AHU19" s="502"/>
      <c r="AHV19" s="503"/>
      <c r="AHW19" s="22">
        <v>1057.8</v>
      </c>
      <c r="AHX19" s="501">
        <f>1090-28</f>
        <v>1062</v>
      </c>
      <c r="AHY19" s="502"/>
      <c r="AHZ19" s="502"/>
      <c r="AIA19" s="503"/>
      <c r="AIB19" s="22">
        <v>1145.4000000000001</v>
      </c>
      <c r="AIC19" s="525" t="s">
        <v>284</v>
      </c>
      <c r="AID19" s="20"/>
      <c r="AIE19" s="457" t="s">
        <v>67</v>
      </c>
      <c r="AIF19" s="459"/>
      <c r="AIG19" s="459"/>
      <c r="AIH19" s="397" t="s">
        <v>4</v>
      </c>
      <c r="AII19" s="501">
        <v>1072</v>
      </c>
      <c r="AIJ19" s="502"/>
      <c r="AIK19" s="502"/>
      <c r="AIL19" s="503"/>
      <c r="AIM19" s="22">
        <v>1112.5999999999999</v>
      </c>
      <c r="AIN19" s="501">
        <f>950-28</f>
        <v>922</v>
      </c>
      <c r="AIO19" s="502"/>
      <c r="AIP19" s="502"/>
      <c r="AIQ19" s="503"/>
      <c r="AIR19" s="22">
        <v>996</v>
      </c>
      <c r="AIS19" s="501">
        <f>860-109</f>
        <v>751</v>
      </c>
      <c r="AIT19" s="502"/>
      <c r="AIU19" s="502"/>
      <c r="AIV19" s="503"/>
      <c r="AIW19" s="22">
        <v>957.2</v>
      </c>
      <c r="AIX19" s="501">
        <f>980-146</f>
        <v>834</v>
      </c>
      <c r="AIY19" s="502"/>
      <c r="AIZ19" s="502"/>
      <c r="AJA19" s="503"/>
      <c r="AJB19" s="22">
        <v>932</v>
      </c>
      <c r="AJC19" s="525" t="s">
        <v>284</v>
      </c>
      <c r="AJD19" s="20"/>
      <c r="AJE19" s="457" t="s">
        <v>67</v>
      </c>
      <c r="AJF19" s="459"/>
      <c r="AJG19" s="459"/>
      <c r="AJH19" s="397" t="s">
        <v>4</v>
      </c>
      <c r="AJI19" s="501">
        <f>1030-28</f>
        <v>1002</v>
      </c>
      <c r="AJJ19" s="502"/>
      <c r="AJK19" s="502"/>
      <c r="AJL19" s="503"/>
      <c r="AJM19" s="22">
        <f>1055.4-0.2</f>
        <v>1055.2</v>
      </c>
      <c r="AJN19" s="501">
        <v>821</v>
      </c>
      <c r="AJO19" s="502"/>
      <c r="AJP19" s="502"/>
      <c r="AJQ19" s="503"/>
      <c r="AJR19" s="22">
        <v>1004.8</v>
      </c>
      <c r="AJS19" s="501">
        <f>920-47</f>
        <v>873</v>
      </c>
      <c r="AJT19" s="502"/>
      <c r="AJU19" s="502"/>
      <c r="AJV19" s="503"/>
      <c r="AJW19" s="22">
        <v>967.6</v>
      </c>
      <c r="AJX19" s="501">
        <v>803</v>
      </c>
      <c r="AJY19" s="502"/>
      <c r="AJZ19" s="502"/>
      <c r="AKA19" s="503"/>
      <c r="AKB19" s="410">
        <v>839.40000000000009</v>
      </c>
      <c r="AKC19" s="525" t="s">
        <v>284</v>
      </c>
      <c r="AKD19" s="20"/>
      <c r="AKE19" s="457" t="s">
        <v>67</v>
      </c>
      <c r="AKF19" s="459"/>
      <c r="AKG19" s="459"/>
      <c r="AKH19" s="397" t="s">
        <v>4</v>
      </c>
      <c r="AKI19" s="501">
        <v>953</v>
      </c>
      <c r="AKJ19" s="502"/>
      <c r="AKK19" s="502"/>
      <c r="AKL19" s="503"/>
      <c r="AKM19" s="22">
        <v>1036</v>
      </c>
      <c r="AKN19" s="501">
        <v>863</v>
      </c>
      <c r="AKO19" s="502"/>
      <c r="AKP19" s="502"/>
      <c r="AKQ19" s="503"/>
      <c r="AKR19" s="22">
        <v>946.6</v>
      </c>
      <c r="AKS19" s="501">
        <f>980-107</f>
        <v>873</v>
      </c>
      <c r="AKT19" s="502"/>
      <c r="AKU19" s="502"/>
      <c r="AKV19" s="503"/>
      <c r="AKW19" s="22">
        <v>979.2</v>
      </c>
      <c r="AKX19" s="501">
        <v>753</v>
      </c>
      <c r="AKY19" s="502"/>
      <c r="AKZ19" s="502"/>
      <c r="ALA19" s="503"/>
      <c r="ALB19" s="22">
        <v>815.4</v>
      </c>
      <c r="ALC19" s="525" t="s">
        <v>284</v>
      </c>
      <c r="ALD19" s="20"/>
      <c r="ALE19" s="457" t="s">
        <v>67</v>
      </c>
      <c r="ALF19" s="459"/>
      <c r="ALG19" s="459"/>
      <c r="ALH19" s="397" t="s">
        <v>4</v>
      </c>
      <c r="ALI19" s="501">
        <v>703</v>
      </c>
      <c r="ALJ19" s="502"/>
      <c r="ALK19" s="502"/>
      <c r="ALL19" s="503"/>
      <c r="ALM19" s="22">
        <v>826.4</v>
      </c>
      <c r="ALN19" s="501">
        <f>990-107</f>
        <v>883</v>
      </c>
      <c r="ALO19" s="502"/>
      <c r="ALP19" s="502"/>
      <c r="ALQ19" s="503"/>
      <c r="ALR19" s="22">
        <v>979.6</v>
      </c>
      <c r="ALS19" s="501">
        <v>844</v>
      </c>
      <c r="ALT19" s="502"/>
      <c r="ALU19" s="502"/>
      <c r="ALV19" s="503"/>
      <c r="ALW19" s="22">
        <v>934.2</v>
      </c>
      <c r="ALX19" s="501">
        <v>835</v>
      </c>
      <c r="ALY19" s="502"/>
      <c r="ALZ19" s="502"/>
      <c r="AMA19" s="503"/>
      <c r="AMB19" s="22">
        <v>949.8</v>
      </c>
      <c r="AMC19" s="525" t="s">
        <v>284</v>
      </c>
      <c r="AMD19" s="20"/>
      <c r="AME19" s="457" t="s">
        <v>67</v>
      </c>
      <c r="AMF19" s="459"/>
      <c r="AMG19" s="459"/>
      <c r="AMH19" s="397" t="s">
        <v>4</v>
      </c>
      <c r="AMI19" s="501">
        <v>840</v>
      </c>
      <c r="AMJ19" s="502"/>
      <c r="AMK19" s="502"/>
      <c r="AML19" s="503"/>
      <c r="AMM19" s="22">
        <v>921.2</v>
      </c>
      <c r="AMN19" s="501">
        <v>709</v>
      </c>
      <c r="AMO19" s="502"/>
      <c r="AMP19" s="502"/>
      <c r="AMQ19" s="503"/>
      <c r="AMR19" s="22">
        <v>810.6</v>
      </c>
      <c r="AMS19" s="22"/>
      <c r="AMT19" s="501">
        <v>777</v>
      </c>
      <c r="AMU19" s="502"/>
      <c r="AMV19" s="502"/>
      <c r="AMW19" s="503"/>
      <c r="AMX19" s="22">
        <v>860.6</v>
      </c>
      <c r="AMY19" s="501">
        <v>757</v>
      </c>
      <c r="AMZ19" s="502"/>
      <c r="ANA19" s="502"/>
      <c r="ANB19" s="503"/>
      <c r="ANC19" s="22">
        <v>864</v>
      </c>
      <c r="AND19" s="525" t="s">
        <v>284</v>
      </c>
      <c r="ANE19" s="20"/>
      <c r="ANF19" s="457" t="s">
        <v>67</v>
      </c>
      <c r="ANG19" s="459"/>
      <c r="ANH19" s="459"/>
      <c r="ANI19" s="397" t="s">
        <v>4</v>
      </c>
      <c r="ANJ19" s="501">
        <v>827</v>
      </c>
      <c r="ANK19" s="502"/>
      <c r="ANL19" s="502"/>
      <c r="ANM19" s="503"/>
      <c r="ANN19" s="22">
        <v>850.6</v>
      </c>
      <c r="ANO19" s="501">
        <v>740.5</v>
      </c>
      <c r="ANP19" s="502"/>
      <c r="ANQ19" s="502"/>
      <c r="ANR19" s="503"/>
      <c r="ANS19" s="22">
        <v>768.2</v>
      </c>
      <c r="ANT19" s="22"/>
      <c r="ANU19" s="501">
        <v>808</v>
      </c>
      <c r="ANV19" s="502"/>
      <c r="ANW19" s="502"/>
      <c r="ANX19" s="503"/>
      <c r="ANY19" s="22">
        <v>972.8</v>
      </c>
      <c r="ANZ19" s="501">
        <v>840.5</v>
      </c>
      <c r="AOA19" s="502"/>
      <c r="AOB19" s="502"/>
      <c r="AOC19" s="503"/>
      <c r="AOD19" s="22">
        <v>928.2</v>
      </c>
      <c r="AOE19" s="525" t="s">
        <v>284</v>
      </c>
      <c r="AOF19" s="20"/>
      <c r="AOG19" s="457" t="s">
        <v>67</v>
      </c>
      <c r="AOH19" s="459"/>
      <c r="AOI19" s="459"/>
      <c r="AOJ19" s="397" t="s">
        <v>4</v>
      </c>
      <c r="AOK19" s="501">
        <v>696</v>
      </c>
      <c r="AOL19" s="502"/>
      <c r="AOM19" s="502"/>
      <c r="AON19" s="503"/>
      <c r="AOO19" s="22">
        <v>747</v>
      </c>
      <c r="AOP19" s="501">
        <f>884.3-51</f>
        <v>833.3</v>
      </c>
      <c r="AOQ19" s="502"/>
      <c r="AOR19" s="502"/>
      <c r="AOS19" s="503"/>
      <c r="AOT19" s="22">
        <v>872.80000000000007</v>
      </c>
      <c r="AOU19" s="22"/>
      <c r="AOV19" s="501">
        <v>805</v>
      </c>
      <c r="AOW19" s="502"/>
      <c r="AOX19" s="502"/>
      <c r="AOY19" s="503"/>
      <c r="AOZ19" s="22">
        <v>844</v>
      </c>
      <c r="APA19" s="501"/>
      <c r="APB19" s="502"/>
      <c r="APC19" s="502"/>
      <c r="APD19" s="503"/>
      <c r="APE19" s="22"/>
    </row>
    <row r="20" spans="1:1097" ht="56.25" customHeight="1" x14ac:dyDescent="0.4">
      <c r="A20" s="492"/>
      <c r="B20" s="23"/>
      <c r="C20" s="519" t="s">
        <v>721</v>
      </c>
      <c r="D20" s="520"/>
      <c r="E20" s="520"/>
      <c r="F20" s="397" t="s">
        <v>15</v>
      </c>
      <c r="G20" s="526">
        <f>186.7+5</f>
        <v>191.7</v>
      </c>
      <c r="H20" s="593"/>
      <c r="I20" s="593"/>
      <c r="J20" s="527"/>
      <c r="K20" s="22">
        <v>163.80000000000001</v>
      </c>
      <c r="L20" s="526">
        <f>186.7+5</f>
        <v>191.7</v>
      </c>
      <c r="M20" s="593"/>
      <c r="N20" s="593"/>
      <c r="O20" s="527"/>
      <c r="P20" s="22">
        <v>92.2</v>
      </c>
      <c r="Q20" s="526">
        <f>186.7+5</f>
        <v>191.7</v>
      </c>
      <c r="R20" s="593"/>
      <c r="S20" s="593"/>
      <c r="T20" s="527"/>
      <c r="U20" s="22">
        <v>160</v>
      </c>
      <c r="V20" s="526">
        <v>158</v>
      </c>
      <c r="W20" s="593"/>
      <c r="X20" s="593"/>
      <c r="Y20" s="527"/>
      <c r="Z20" s="22">
        <v>72.599999999999994</v>
      </c>
      <c r="AA20" s="492"/>
      <c r="AB20" s="23"/>
      <c r="AC20" s="519" t="s">
        <v>721</v>
      </c>
      <c r="AD20" s="520"/>
      <c r="AE20" s="520"/>
      <c r="AF20" s="397" t="s">
        <v>15</v>
      </c>
      <c r="AG20" s="526">
        <v>165.6</v>
      </c>
      <c r="AH20" s="593"/>
      <c r="AI20" s="593"/>
      <c r="AJ20" s="527"/>
      <c r="AK20" s="22">
        <v>112</v>
      </c>
      <c r="AL20" s="526">
        <v>157.69999999999999</v>
      </c>
      <c r="AM20" s="593"/>
      <c r="AN20" s="593"/>
      <c r="AO20" s="527"/>
      <c r="AP20" s="22">
        <v>127.8</v>
      </c>
      <c r="AQ20" s="526">
        <f>186.7+5</f>
        <v>191.7</v>
      </c>
      <c r="AR20" s="593"/>
      <c r="AS20" s="593"/>
      <c r="AT20" s="527"/>
      <c r="AU20" s="22">
        <v>119.6</v>
      </c>
      <c r="AV20" s="526">
        <v>191.7</v>
      </c>
      <c r="AW20" s="593"/>
      <c r="AX20" s="593"/>
      <c r="AY20" s="527"/>
      <c r="AZ20" s="22">
        <v>143</v>
      </c>
      <c r="BA20" s="492"/>
      <c r="BB20" s="23"/>
      <c r="BC20" s="519" t="s">
        <v>721</v>
      </c>
      <c r="BD20" s="520"/>
      <c r="BE20" s="520"/>
      <c r="BF20" s="397" t="s">
        <v>15</v>
      </c>
      <c r="BG20" s="526">
        <v>224.2</v>
      </c>
      <c r="BH20" s="593"/>
      <c r="BI20" s="593"/>
      <c r="BJ20" s="527"/>
      <c r="BK20" s="22">
        <v>188.6</v>
      </c>
      <c r="BL20" s="526">
        <f>219.2+5</f>
        <v>224.2</v>
      </c>
      <c r="BM20" s="593"/>
      <c r="BN20" s="593"/>
      <c r="BO20" s="527"/>
      <c r="BP20" s="22">
        <v>178</v>
      </c>
      <c r="BQ20" s="526">
        <f>117.2+5</f>
        <v>122.2</v>
      </c>
      <c r="BR20" s="593"/>
      <c r="BS20" s="593"/>
      <c r="BT20" s="527"/>
      <c r="BU20" s="22">
        <v>12.4</v>
      </c>
      <c r="BV20" s="526">
        <v>156.19999999999999</v>
      </c>
      <c r="BW20" s="593"/>
      <c r="BX20" s="593"/>
      <c r="BY20" s="527"/>
      <c r="BZ20" s="22">
        <v>142.19999999999999</v>
      </c>
      <c r="CA20" s="492"/>
      <c r="CB20" s="23"/>
      <c r="CC20" s="519" t="s">
        <v>721</v>
      </c>
      <c r="CD20" s="520"/>
      <c r="CE20" s="520"/>
      <c r="CF20" s="397" t="s">
        <v>15</v>
      </c>
      <c r="CG20" s="526">
        <v>190.2</v>
      </c>
      <c r="CH20" s="593"/>
      <c r="CI20" s="593"/>
      <c r="CJ20" s="527"/>
      <c r="CK20" s="22">
        <v>156</v>
      </c>
      <c r="CL20" s="526">
        <v>190.2</v>
      </c>
      <c r="CM20" s="593"/>
      <c r="CN20" s="593"/>
      <c r="CO20" s="527"/>
      <c r="CP20" s="22">
        <v>44</v>
      </c>
      <c r="CQ20" s="526">
        <v>190.2</v>
      </c>
      <c r="CR20" s="593"/>
      <c r="CS20" s="593"/>
      <c r="CT20" s="527"/>
      <c r="CU20" s="22">
        <v>141.80000000000001</v>
      </c>
      <c r="CV20" s="526">
        <f>185.2+5</f>
        <v>190.2</v>
      </c>
      <c r="CW20" s="593"/>
      <c r="CX20" s="593"/>
      <c r="CY20" s="527"/>
      <c r="CZ20" s="22">
        <v>133</v>
      </c>
      <c r="DA20" s="492"/>
      <c r="DB20" s="23"/>
      <c r="DC20" s="519" t="s">
        <v>721</v>
      </c>
      <c r="DD20" s="520"/>
      <c r="DE20" s="520"/>
      <c r="DF20" s="397" t="s">
        <v>15</v>
      </c>
      <c r="DG20" s="526">
        <f>185.2+5</f>
        <v>190.2</v>
      </c>
      <c r="DH20" s="593"/>
      <c r="DI20" s="593"/>
      <c r="DJ20" s="527"/>
      <c r="DK20" s="22">
        <v>191.4</v>
      </c>
      <c r="DL20" s="526">
        <v>190.2</v>
      </c>
      <c r="DM20" s="593"/>
      <c r="DN20" s="593"/>
      <c r="DO20" s="527"/>
      <c r="DP20" s="22">
        <v>161.4</v>
      </c>
      <c r="DQ20" s="526">
        <f>219.2+5</f>
        <v>224.2</v>
      </c>
      <c r="DR20" s="593"/>
      <c r="DS20" s="593"/>
      <c r="DT20" s="527"/>
      <c r="DU20" s="22">
        <v>208.2</v>
      </c>
      <c r="DV20" s="526">
        <v>224.2</v>
      </c>
      <c r="DW20" s="593"/>
      <c r="DX20" s="593"/>
      <c r="DY20" s="527"/>
      <c r="DZ20" s="22">
        <v>224.2</v>
      </c>
      <c r="EA20" s="492"/>
      <c r="EB20" s="23"/>
      <c r="EC20" s="519" t="s">
        <v>721</v>
      </c>
      <c r="ED20" s="520"/>
      <c r="EE20" s="520"/>
      <c r="EF20" s="397" t="s">
        <v>15</v>
      </c>
      <c r="EG20" s="526">
        <v>224.2</v>
      </c>
      <c r="EH20" s="593"/>
      <c r="EI20" s="593"/>
      <c r="EJ20" s="527"/>
      <c r="EK20" s="22">
        <v>183.4</v>
      </c>
      <c r="EL20" s="526">
        <v>224.2</v>
      </c>
      <c r="EM20" s="593"/>
      <c r="EN20" s="593"/>
      <c r="EO20" s="527"/>
      <c r="EP20" s="22">
        <v>181</v>
      </c>
      <c r="EQ20" s="526">
        <v>224.2</v>
      </c>
      <c r="ER20" s="593"/>
      <c r="ES20" s="593"/>
      <c r="ET20" s="527"/>
      <c r="EU20" s="22">
        <v>182</v>
      </c>
      <c r="EV20" s="526">
        <f>219.2+5</f>
        <v>224.2</v>
      </c>
      <c r="EW20" s="593"/>
      <c r="EX20" s="593"/>
      <c r="EY20" s="527"/>
      <c r="EZ20" s="22">
        <v>182.2</v>
      </c>
      <c r="FA20" s="492"/>
      <c r="FB20" s="23"/>
      <c r="FC20" s="519" t="s">
        <v>721</v>
      </c>
      <c r="FD20" s="520"/>
      <c r="FE20" s="520"/>
      <c r="FF20" s="397" t="s">
        <v>15</v>
      </c>
      <c r="FG20" s="526">
        <v>224.2</v>
      </c>
      <c r="FH20" s="593"/>
      <c r="FI20" s="593"/>
      <c r="FJ20" s="527"/>
      <c r="FK20" s="22">
        <v>161.4</v>
      </c>
      <c r="FL20" s="526">
        <f>253.2+5</f>
        <v>258.2</v>
      </c>
      <c r="FM20" s="593"/>
      <c r="FN20" s="593"/>
      <c r="FO20" s="527"/>
      <c r="FP20" s="22">
        <v>258.2</v>
      </c>
      <c r="FQ20" s="526">
        <v>258.2</v>
      </c>
      <c r="FR20" s="593"/>
      <c r="FS20" s="593"/>
      <c r="FT20" s="527"/>
      <c r="FU20" s="22">
        <v>129.4</v>
      </c>
      <c r="FV20" s="526">
        <v>258.2</v>
      </c>
      <c r="FW20" s="593"/>
      <c r="FX20" s="593"/>
      <c r="FY20" s="527"/>
      <c r="FZ20" s="22">
        <v>204.4</v>
      </c>
      <c r="GA20" s="492"/>
      <c r="GB20" s="23"/>
      <c r="GC20" s="519" t="s">
        <v>721</v>
      </c>
      <c r="GD20" s="520"/>
      <c r="GE20" s="520"/>
      <c r="GF20" s="397" t="s">
        <v>15</v>
      </c>
      <c r="GG20" s="526">
        <v>258.2</v>
      </c>
      <c r="GH20" s="593"/>
      <c r="GI20" s="593"/>
      <c r="GJ20" s="527"/>
      <c r="GK20" s="22">
        <v>188.8</v>
      </c>
      <c r="GL20" s="526">
        <v>258.2</v>
      </c>
      <c r="GM20" s="593"/>
      <c r="GN20" s="593"/>
      <c r="GO20" s="527"/>
      <c r="GP20" s="22">
        <v>200.2</v>
      </c>
      <c r="GQ20" s="526">
        <f>253.2+5</f>
        <v>258.2</v>
      </c>
      <c r="GR20" s="593"/>
      <c r="GS20" s="593"/>
      <c r="GT20" s="527"/>
      <c r="GU20" s="22">
        <v>255.8</v>
      </c>
      <c r="GV20" s="526">
        <v>258.2</v>
      </c>
      <c r="GW20" s="593"/>
      <c r="GX20" s="593"/>
      <c r="GY20" s="527"/>
      <c r="GZ20" s="22">
        <v>216</v>
      </c>
      <c r="HA20" s="492"/>
      <c r="HB20" s="23"/>
      <c r="HC20" s="519" t="s">
        <v>721</v>
      </c>
      <c r="HD20" s="520"/>
      <c r="HE20" s="520"/>
      <c r="HF20" s="397" t="s">
        <v>15</v>
      </c>
      <c r="HG20" s="526">
        <v>258.2</v>
      </c>
      <c r="HH20" s="593"/>
      <c r="HI20" s="593"/>
      <c r="HJ20" s="527"/>
      <c r="HK20" s="22">
        <v>36</v>
      </c>
      <c r="HL20" s="526">
        <v>258.2</v>
      </c>
      <c r="HM20" s="593"/>
      <c r="HN20" s="593"/>
      <c r="HO20" s="527"/>
      <c r="HP20" s="22">
        <v>203</v>
      </c>
      <c r="HQ20" s="526">
        <v>258.2</v>
      </c>
      <c r="HR20" s="593"/>
      <c r="HS20" s="593"/>
      <c r="HT20" s="527"/>
      <c r="HU20" s="22">
        <v>242.4</v>
      </c>
      <c r="HV20" s="526">
        <v>258.2</v>
      </c>
      <c r="HW20" s="593"/>
      <c r="HX20" s="593"/>
      <c r="HY20" s="527"/>
      <c r="HZ20" s="22">
        <v>8.1999999999999993</v>
      </c>
      <c r="IA20" s="492"/>
      <c r="IB20" s="23"/>
      <c r="IC20" s="519" t="s">
        <v>721</v>
      </c>
      <c r="ID20" s="520"/>
      <c r="IE20" s="520"/>
      <c r="IF20" s="397" t="s">
        <v>15</v>
      </c>
      <c r="IG20" s="526">
        <v>258.2</v>
      </c>
      <c r="IH20" s="593"/>
      <c r="II20" s="593"/>
      <c r="IJ20" s="527"/>
      <c r="IK20" s="22">
        <v>92.2</v>
      </c>
      <c r="IL20" s="526">
        <v>258.2</v>
      </c>
      <c r="IM20" s="593"/>
      <c r="IN20" s="593"/>
      <c r="IO20" s="527"/>
      <c r="IP20" s="22">
        <f>110.4+1</f>
        <v>111.4</v>
      </c>
      <c r="IQ20" s="526">
        <v>190.2</v>
      </c>
      <c r="IR20" s="593"/>
      <c r="IS20" s="593"/>
      <c r="IT20" s="527"/>
      <c r="IU20" s="22">
        <v>161</v>
      </c>
      <c r="IV20" s="526">
        <v>224.2</v>
      </c>
      <c r="IW20" s="593"/>
      <c r="IX20" s="593"/>
      <c r="IY20" s="527"/>
      <c r="IZ20" s="22">
        <v>3</v>
      </c>
      <c r="JA20" s="492"/>
      <c r="JB20" s="23"/>
      <c r="JC20" s="519" t="s">
        <v>721</v>
      </c>
      <c r="JD20" s="520"/>
      <c r="JE20" s="520"/>
      <c r="JF20" s="397" t="s">
        <v>15</v>
      </c>
      <c r="JG20" s="526">
        <v>258.2</v>
      </c>
      <c r="JH20" s="593"/>
      <c r="JI20" s="593"/>
      <c r="JJ20" s="527"/>
      <c r="JK20" s="22">
        <v>182.2</v>
      </c>
      <c r="JL20" s="526">
        <v>258</v>
      </c>
      <c r="JM20" s="593"/>
      <c r="JN20" s="593"/>
      <c r="JO20" s="527"/>
      <c r="JP20" s="22">
        <v>207.8</v>
      </c>
      <c r="JQ20" s="526">
        <f>253.2+5</f>
        <v>258.2</v>
      </c>
      <c r="JR20" s="593"/>
      <c r="JS20" s="593"/>
      <c r="JT20" s="527"/>
      <c r="JU20" s="22">
        <v>249</v>
      </c>
      <c r="JV20" s="526">
        <f>117.2+5</f>
        <v>122.2</v>
      </c>
      <c r="JW20" s="593"/>
      <c r="JX20" s="593"/>
      <c r="JY20" s="527"/>
      <c r="JZ20" s="22">
        <v>138.6</v>
      </c>
      <c r="KA20" s="492"/>
      <c r="KB20" s="23"/>
      <c r="KC20" s="519" t="s">
        <v>721</v>
      </c>
      <c r="KD20" s="520"/>
      <c r="KE20" s="520"/>
      <c r="KF20" s="397" t="s">
        <v>15</v>
      </c>
      <c r="KG20" s="526">
        <f>253.2+5</f>
        <v>258.2</v>
      </c>
      <c r="KH20" s="593"/>
      <c r="KI20" s="593"/>
      <c r="KJ20" s="527"/>
      <c r="KK20" s="22">
        <v>219.2</v>
      </c>
      <c r="KL20" s="526">
        <f>253.2+5</f>
        <v>258.2</v>
      </c>
      <c r="KM20" s="593"/>
      <c r="KN20" s="593"/>
      <c r="KO20" s="527"/>
      <c r="KP20" s="22">
        <v>219.8</v>
      </c>
      <c r="KQ20" s="526">
        <f>219.2+5</f>
        <v>224.2</v>
      </c>
      <c r="KR20" s="593"/>
      <c r="KS20" s="593"/>
      <c r="KT20" s="527"/>
      <c r="KU20" s="22">
        <v>180</v>
      </c>
      <c r="KV20" s="526">
        <f>219.2+5</f>
        <v>224.2</v>
      </c>
      <c r="KW20" s="593"/>
      <c r="KX20" s="593"/>
      <c r="KY20" s="527"/>
      <c r="KZ20" s="22">
        <v>190.4</v>
      </c>
      <c r="LA20" s="492"/>
      <c r="LB20" s="23"/>
      <c r="LC20" s="519" t="s">
        <v>721</v>
      </c>
      <c r="LD20" s="520"/>
      <c r="LE20" s="520"/>
      <c r="LF20" s="397" t="s">
        <v>15</v>
      </c>
      <c r="LG20" s="526">
        <v>258</v>
      </c>
      <c r="LH20" s="593"/>
      <c r="LI20" s="593"/>
      <c r="LJ20" s="527"/>
      <c r="LK20" s="22">
        <v>159.6</v>
      </c>
      <c r="LL20" s="526">
        <v>258</v>
      </c>
      <c r="LM20" s="593"/>
      <c r="LN20" s="593"/>
      <c r="LO20" s="527"/>
      <c r="LP20" s="22">
        <v>202</v>
      </c>
      <c r="LQ20" s="526">
        <v>231.9</v>
      </c>
      <c r="LR20" s="593"/>
      <c r="LS20" s="593"/>
      <c r="LT20" s="527"/>
      <c r="LU20" s="22">
        <v>192.4</v>
      </c>
      <c r="LV20" s="526">
        <v>258</v>
      </c>
      <c r="LW20" s="593"/>
      <c r="LX20" s="593"/>
      <c r="LY20" s="527"/>
      <c r="LZ20" s="22">
        <v>107.8</v>
      </c>
      <c r="MA20" s="492"/>
      <c r="MB20" s="23"/>
      <c r="MC20" s="519" t="s">
        <v>721</v>
      </c>
      <c r="MD20" s="520"/>
      <c r="ME20" s="520"/>
      <c r="MF20" s="397" t="s">
        <v>15</v>
      </c>
      <c r="MG20" s="526">
        <f>219.2+5</f>
        <v>224.2</v>
      </c>
      <c r="MH20" s="593"/>
      <c r="MI20" s="593"/>
      <c r="MJ20" s="527"/>
      <c r="MK20" s="22">
        <v>202.8</v>
      </c>
      <c r="ML20" s="526">
        <f>219.2+5</f>
        <v>224.2</v>
      </c>
      <c r="MM20" s="593"/>
      <c r="MN20" s="593"/>
      <c r="MO20" s="527"/>
      <c r="MP20" s="22">
        <v>160</v>
      </c>
      <c r="MQ20" s="526">
        <f>219.2+5</f>
        <v>224.2</v>
      </c>
      <c r="MR20" s="593"/>
      <c r="MS20" s="593"/>
      <c r="MT20" s="527"/>
      <c r="MU20" s="22">
        <v>134.4</v>
      </c>
      <c r="MV20" s="526">
        <f>219.2+5</f>
        <v>224.2</v>
      </c>
      <c r="MW20" s="593"/>
      <c r="MX20" s="593"/>
      <c r="MY20" s="527"/>
      <c r="MZ20" s="22">
        <v>51</v>
      </c>
      <c r="NA20" s="492"/>
      <c r="NB20" s="23"/>
      <c r="NC20" s="519" t="s">
        <v>721</v>
      </c>
      <c r="ND20" s="520"/>
      <c r="NE20" s="520"/>
      <c r="NF20" s="397" t="s">
        <v>15</v>
      </c>
      <c r="NG20" s="526">
        <f>185.2+5</f>
        <v>190.2</v>
      </c>
      <c r="NH20" s="593"/>
      <c r="NI20" s="593"/>
      <c r="NJ20" s="527"/>
      <c r="NK20" s="22">
        <v>123.4</v>
      </c>
      <c r="NL20" s="526">
        <f>219.2+5</f>
        <v>224.2</v>
      </c>
      <c r="NM20" s="593"/>
      <c r="NN20" s="593"/>
      <c r="NO20" s="527"/>
      <c r="NP20" s="22">
        <v>175.2</v>
      </c>
      <c r="NQ20" s="526">
        <f>219.2+5</f>
        <v>224.2</v>
      </c>
      <c r="NR20" s="593"/>
      <c r="NS20" s="593"/>
      <c r="NT20" s="527"/>
      <c r="NU20" s="22">
        <v>172.6</v>
      </c>
      <c r="NV20" s="526">
        <f>185.2+5</f>
        <v>190.2</v>
      </c>
      <c r="NW20" s="593"/>
      <c r="NX20" s="593"/>
      <c r="NY20" s="527"/>
      <c r="NZ20" s="22">
        <v>177</v>
      </c>
      <c r="OA20" s="492"/>
      <c r="OB20" s="23"/>
      <c r="OC20" s="519" t="s">
        <v>721</v>
      </c>
      <c r="OD20" s="520"/>
      <c r="OE20" s="520"/>
      <c r="OF20" s="397" t="s">
        <v>15</v>
      </c>
      <c r="OG20" s="526">
        <f>227.1+5</f>
        <v>232.1</v>
      </c>
      <c r="OH20" s="593"/>
      <c r="OI20" s="593"/>
      <c r="OJ20" s="527"/>
      <c r="OK20" s="22">
        <v>91.4</v>
      </c>
      <c r="OL20" s="526">
        <v>232.1</v>
      </c>
      <c r="OM20" s="593"/>
      <c r="ON20" s="593"/>
      <c r="OO20" s="527"/>
      <c r="OP20" s="22">
        <v>208.2</v>
      </c>
      <c r="OQ20" s="526">
        <f>227.1+5</f>
        <v>232.1</v>
      </c>
      <c r="OR20" s="593"/>
      <c r="OS20" s="593"/>
      <c r="OT20" s="527"/>
      <c r="OU20" s="22">
        <v>102.6</v>
      </c>
      <c r="OV20" s="526">
        <f>253.2+5</f>
        <v>258.2</v>
      </c>
      <c r="OW20" s="593"/>
      <c r="OX20" s="593"/>
      <c r="OY20" s="527"/>
      <c r="OZ20" s="22">
        <v>211.8</v>
      </c>
      <c r="PA20" s="492"/>
      <c r="PB20" s="23"/>
      <c r="PC20" s="519" t="s">
        <v>721</v>
      </c>
      <c r="PD20" s="520"/>
      <c r="PE20" s="520"/>
      <c r="PF20" s="397" t="s">
        <v>15</v>
      </c>
      <c r="PG20" s="526">
        <v>258.2</v>
      </c>
      <c r="PH20" s="593"/>
      <c r="PI20" s="593"/>
      <c r="PJ20" s="527"/>
      <c r="PK20" s="22">
        <v>136.6</v>
      </c>
      <c r="PL20" s="526">
        <f>253.2+4.8</f>
        <v>258</v>
      </c>
      <c r="PM20" s="593"/>
      <c r="PN20" s="593"/>
      <c r="PO20" s="527"/>
      <c r="PP20" s="22">
        <v>115.2</v>
      </c>
      <c r="PQ20" s="526">
        <v>258</v>
      </c>
      <c r="PR20" s="593"/>
      <c r="PS20" s="593"/>
      <c r="PT20" s="527"/>
      <c r="PU20" s="22">
        <v>153.19999999999999</v>
      </c>
      <c r="PV20" s="526">
        <v>258</v>
      </c>
      <c r="PW20" s="593"/>
      <c r="PX20" s="593"/>
      <c r="PY20" s="527"/>
      <c r="PZ20" s="22">
        <v>10</v>
      </c>
      <c r="QA20" s="492"/>
      <c r="QB20" s="23"/>
      <c r="QC20" s="519" t="s">
        <v>721</v>
      </c>
      <c r="QD20" s="520"/>
      <c r="QE20" s="520"/>
      <c r="QF20" s="397" t="s">
        <v>15</v>
      </c>
      <c r="QG20" s="526">
        <v>190</v>
      </c>
      <c r="QH20" s="593"/>
      <c r="QI20" s="593"/>
      <c r="QJ20" s="527"/>
      <c r="QK20" s="22">
        <v>157.19999999999999</v>
      </c>
      <c r="QL20" s="526">
        <v>190</v>
      </c>
      <c r="QM20" s="593"/>
      <c r="QN20" s="593"/>
      <c r="QO20" s="527"/>
      <c r="QP20" s="22">
        <v>169.8</v>
      </c>
      <c r="QQ20" s="526">
        <v>190</v>
      </c>
      <c r="QR20" s="593"/>
      <c r="QS20" s="593"/>
      <c r="QT20" s="527"/>
      <c r="QU20" s="22">
        <v>154</v>
      </c>
      <c r="QV20" s="526">
        <f t="shared" ref="QV20" si="1">185.2+5</f>
        <v>190.2</v>
      </c>
      <c r="QW20" s="593"/>
      <c r="QX20" s="593"/>
      <c r="QY20" s="527"/>
      <c r="QZ20" s="22">
        <f>107.4</f>
        <v>107.4</v>
      </c>
      <c r="RA20" s="492"/>
      <c r="RB20" s="23"/>
      <c r="RC20" s="519" t="s">
        <v>73</v>
      </c>
      <c r="RD20" s="520"/>
      <c r="RE20" s="520"/>
      <c r="RF20" s="397" t="s">
        <v>15</v>
      </c>
      <c r="RG20" s="526">
        <f t="shared" ref="RG20" si="2">185.2+5</f>
        <v>190.2</v>
      </c>
      <c r="RH20" s="593"/>
      <c r="RI20" s="593"/>
      <c r="RJ20" s="527"/>
      <c r="RK20" s="22">
        <v>104.4</v>
      </c>
      <c r="RL20" s="526">
        <f t="shared" ref="RL20" si="3">185.2+5</f>
        <v>190.2</v>
      </c>
      <c r="RM20" s="593"/>
      <c r="RN20" s="593"/>
      <c r="RO20" s="527"/>
      <c r="RP20" s="22">
        <v>135.19999999999999</v>
      </c>
      <c r="RQ20" s="526">
        <f t="shared" ref="RQ20" si="4">185.2+5</f>
        <v>190.2</v>
      </c>
      <c r="RR20" s="593"/>
      <c r="RS20" s="593"/>
      <c r="RT20" s="527"/>
      <c r="RU20" s="22">
        <v>155</v>
      </c>
      <c r="RV20" s="526">
        <f>167+5</f>
        <v>172</v>
      </c>
      <c r="RW20" s="593"/>
      <c r="RX20" s="593"/>
      <c r="RY20" s="527"/>
      <c r="RZ20" s="22">
        <v>88</v>
      </c>
      <c r="SA20" s="492"/>
      <c r="SB20" s="23"/>
      <c r="SC20" s="519" t="s">
        <v>73</v>
      </c>
      <c r="SD20" s="520"/>
      <c r="SE20" s="520"/>
      <c r="SF20" s="397" t="s">
        <v>15</v>
      </c>
      <c r="SG20" s="526">
        <v>198</v>
      </c>
      <c r="SH20" s="593"/>
      <c r="SI20" s="593"/>
      <c r="SJ20" s="527"/>
      <c r="SK20" s="22">
        <v>136.6</v>
      </c>
      <c r="SL20" s="526">
        <v>198</v>
      </c>
      <c r="SM20" s="593"/>
      <c r="SN20" s="593"/>
      <c r="SO20" s="527"/>
      <c r="SP20" s="22">
        <v>154.80000000000001</v>
      </c>
      <c r="SQ20" s="526">
        <f>193.1+5</f>
        <v>198.1</v>
      </c>
      <c r="SR20" s="593"/>
      <c r="SS20" s="593"/>
      <c r="ST20" s="527"/>
      <c r="SU20" s="22">
        <v>145.19999999999999</v>
      </c>
      <c r="SV20" s="526">
        <v>172</v>
      </c>
      <c r="SW20" s="593"/>
      <c r="SX20" s="593"/>
      <c r="SY20" s="527"/>
      <c r="SZ20" s="22">
        <v>91.2</v>
      </c>
      <c r="TA20" s="492"/>
      <c r="TB20" s="23"/>
      <c r="TC20" s="519" t="s">
        <v>73</v>
      </c>
      <c r="TD20" s="520"/>
      <c r="TE20" s="520"/>
      <c r="TF20" s="397" t="s">
        <v>15</v>
      </c>
      <c r="TG20" s="526">
        <v>164.1</v>
      </c>
      <c r="TH20" s="593"/>
      <c r="TI20" s="593"/>
      <c r="TJ20" s="527"/>
      <c r="TK20" s="22">
        <v>150</v>
      </c>
      <c r="TL20" s="526">
        <v>198</v>
      </c>
      <c r="TM20" s="593"/>
      <c r="TN20" s="593"/>
      <c r="TO20" s="527"/>
      <c r="TP20" s="22"/>
      <c r="TQ20" s="22">
        <v>149.4</v>
      </c>
      <c r="TR20" s="526">
        <f>193.1+5</f>
        <v>198.1</v>
      </c>
      <c r="TS20" s="593"/>
      <c r="TT20" s="593"/>
      <c r="TU20" s="527"/>
      <c r="TV20" s="22">
        <v>13.2</v>
      </c>
      <c r="TW20" s="526">
        <v>198</v>
      </c>
      <c r="TX20" s="593"/>
      <c r="TY20" s="593"/>
      <c r="TZ20" s="527"/>
      <c r="UA20" s="22">
        <v>104.8</v>
      </c>
      <c r="UB20" s="492"/>
      <c r="UC20" s="23"/>
      <c r="UD20" s="519" t="s">
        <v>73</v>
      </c>
      <c r="UE20" s="520"/>
      <c r="UF20" s="520"/>
      <c r="UG20" s="397" t="s">
        <v>15</v>
      </c>
      <c r="UH20" s="526">
        <v>198</v>
      </c>
      <c r="UI20" s="593"/>
      <c r="UJ20" s="593"/>
      <c r="UK20" s="527"/>
      <c r="UL20" s="22">
        <v>92.4</v>
      </c>
      <c r="UM20" s="526">
        <f>193.1+4.6</f>
        <v>197.7</v>
      </c>
      <c r="UN20" s="593"/>
      <c r="UO20" s="593"/>
      <c r="UP20" s="527"/>
      <c r="UQ20" s="22">
        <v>131.6</v>
      </c>
      <c r="UR20" s="526">
        <f>219.2+5</f>
        <v>224.2</v>
      </c>
      <c r="US20" s="593"/>
      <c r="UT20" s="593"/>
      <c r="UU20" s="527"/>
      <c r="UV20" s="22">
        <v>100.6</v>
      </c>
      <c r="UW20" s="526">
        <f>219.2+5</f>
        <v>224.2</v>
      </c>
      <c r="UX20" s="593"/>
      <c r="UY20" s="593"/>
      <c r="UZ20" s="527"/>
      <c r="VA20" s="22">
        <v>187.2</v>
      </c>
      <c r="VB20" s="492"/>
      <c r="VC20" s="23"/>
      <c r="VD20" s="519" t="s">
        <v>73</v>
      </c>
      <c r="VE20" s="520"/>
      <c r="VF20" s="520"/>
      <c r="VG20" s="397" t="s">
        <v>15</v>
      </c>
      <c r="VH20" s="526">
        <f>219.2+5</f>
        <v>224.2</v>
      </c>
      <c r="VI20" s="593"/>
      <c r="VJ20" s="593"/>
      <c r="VK20" s="527"/>
      <c r="VL20" s="22">
        <v>182.9</v>
      </c>
      <c r="VM20" s="526">
        <f>219.2+5</f>
        <v>224.2</v>
      </c>
      <c r="VN20" s="593"/>
      <c r="VO20" s="593"/>
      <c r="VP20" s="527"/>
      <c r="VQ20" s="22">
        <v>19</v>
      </c>
      <c r="VR20" s="526">
        <f>219.2+5</f>
        <v>224.2</v>
      </c>
      <c r="VS20" s="593"/>
      <c r="VT20" s="593"/>
      <c r="VU20" s="527"/>
      <c r="VV20" s="22">
        <v>30</v>
      </c>
      <c r="VW20" s="526">
        <f>117.2+5</f>
        <v>122.2</v>
      </c>
      <c r="VX20" s="593"/>
      <c r="VY20" s="593"/>
      <c r="VZ20" s="527"/>
      <c r="WA20" s="22">
        <v>56.2</v>
      </c>
      <c r="WB20" s="492"/>
      <c r="WC20" s="23"/>
      <c r="WD20" s="519" t="s">
        <v>73</v>
      </c>
      <c r="WE20" s="520"/>
      <c r="WF20" s="520"/>
      <c r="WG20" s="397" t="s">
        <v>15</v>
      </c>
      <c r="WH20" s="526">
        <f>117.2+5</f>
        <v>122.2</v>
      </c>
      <c r="WI20" s="593"/>
      <c r="WJ20" s="593"/>
      <c r="WK20" s="527"/>
      <c r="WL20" s="22">
        <v>113.6</v>
      </c>
      <c r="WM20" s="526">
        <f>117.2+5</f>
        <v>122.2</v>
      </c>
      <c r="WN20" s="593"/>
      <c r="WO20" s="593"/>
      <c r="WP20" s="527"/>
      <c r="WQ20" s="22">
        <v>81.599999999999994</v>
      </c>
      <c r="WR20" s="526">
        <f>117.2+5</f>
        <v>122.2</v>
      </c>
      <c r="WS20" s="593"/>
      <c r="WT20" s="593"/>
      <c r="WU20" s="527"/>
      <c r="WV20" s="22">
        <v>108</v>
      </c>
      <c r="WW20" s="526">
        <f>219.2+5</f>
        <v>224.2</v>
      </c>
      <c r="WX20" s="593"/>
      <c r="WY20" s="593"/>
      <c r="WZ20" s="527"/>
      <c r="XA20" s="22">
        <v>188.6</v>
      </c>
      <c r="XB20" s="492"/>
      <c r="XC20" s="23"/>
      <c r="XD20" s="519" t="s">
        <v>73</v>
      </c>
      <c r="XE20" s="520"/>
      <c r="XF20" s="520"/>
      <c r="XG20" s="397" t="s">
        <v>15</v>
      </c>
      <c r="XH20" s="526">
        <v>224.2</v>
      </c>
      <c r="XI20" s="593"/>
      <c r="XJ20" s="593"/>
      <c r="XK20" s="527"/>
      <c r="XL20" s="22">
        <v>201.4</v>
      </c>
      <c r="XM20" s="526">
        <f>219.2+5</f>
        <v>224.2</v>
      </c>
      <c r="XN20" s="593"/>
      <c r="XO20" s="593"/>
      <c r="XP20" s="527"/>
      <c r="XQ20" s="22">
        <v>180</v>
      </c>
      <c r="XR20" s="526">
        <v>224.2</v>
      </c>
      <c r="XS20" s="593"/>
      <c r="XT20" s="593"/>
      <c r="XU20" s="527"/>
      <c r="XV20" s="22">
        <v>51</v>
      </c>
      <c r="XW20" s="526">
        <v>224.2</v>
      </c>
      <c r="XX20" s="593"/>
      <c r="XY20" s="593"/>
      <c r="XZ20" s="527"/>
      <c r="YA20" s="22">
        <v>176</v>
      </c>
      <c r="YB20" s="492"/>
      <c r="YC20" s="23"/>
      <c r="YD20" s="519" t="s">
        <v>73</v>
      </c>
      <c r="YE20" s="520"/>
      <c r="YF20" s="520"/>
      <c r="YG20" s="397" t="s">
        <v>15</v>
      </c>
      <c r="YH20" s="526">
        <v>224</v>
      </c>
      <c r="YI20" s="593"/>
      <c r="YJ20" s="593"/>
      <c r="YK20" s="527"/>
      <c r="YL20" s="22">
        <v>129</v>
      </c>
      <c r="YM20" s="526">
        <f>193.1+5</f>
        <v>198.1</v>
      </c>
      <c r="YN20" s="593"/>
      <c r="YO20" s="593"/>
      <c r="YP20" s="527"/>
      <c r="YQ20" s="22">
        <v>161</v>
      </c>
      <c r="YR20" s="526">
        <f>219.2+5</f>
        <v>224.2</v>
      </c>
      <c r="YS20" s="593"/>
      <c r="YT20" s="593"/>
      <c r="YU20" s="527"/>
      <c r="YV20" s="22">
        <v>156.6</v>
      </c>
      <c r="YW20" s="526">
        <f>219.2+5</f>
        <v>224.2</v>
      </c>
      <c r="YX20" s="593"/>
      <c r="YY20" s="593"/>
      <c r="YZ20" s="527"/>
      <c r="ZA20" s="22">
        <v>194</v>
      </c>
      <c r="ZB20" s="492"/>
      <c r="ZC20" s="23"/>
      <c r="ZD20" s="519" t="s">
        <v>73</v>
      </c>
      <c r="ZE20" s="520"/>
      <c r="ZF20" s="520"/>
      <c r="ZG20" s="397" t="s">
        <v>15</v>
      </c>
      <c r="ZH20" s="526">
        <v>191.7</v>
      </c>
      <c r="ZI20" s="593"/>
      <c r="ZJ20" s="593"/>
      <c r="ZK20" s="527"/>
      <c r="ZL20" s="22">
        <v>160.80000000000001</v>
      </c>
      <c r="ZM20" s="526">
        <f>186.7+5</f>
        <v>191.7</v>
      </c>
      <c r="ZN20" s="593"/>
      <c r="ZO20" s="593"/>
      <c r="ZP20" s="527"/>
      <c r="ZQ20" s="22">
        <v>5.4</v>
      </c>
      <c r="ZR20" s="526">
        <f>186.7+5</f>
        <v>191.7</v>
      </c>
      <c r="ZS20" s="593"/>
      <c r="ZT20" s="593"/>
      <c r="ZU20" s="527"/>
      <c r="ZV20" s="22">
        <v>148.4</v>
      </c>
      <c r="ZW20" s="526">
        <v>191.7</v>
      </c>
      <c r="ZX20" s="593"/>
      <c r="ZY20" s="593"/>
      <c r="ZZ20" s="527"/>
      <c r="AAA20" s="22">
        <v>147.4</v>
      </c>
      <c r="AAB20" s="492"/>
      <c r="AAC20" s="23"/>
      <c r="AAD20" s="519" t="s">
        <v>73</v>
      </c>
      <c r="AAE20" s="520"/>
      <c r="AAF20" s="520"/>
      <c r="AAG20" s="397" t="s">
        <v>15</v>
      </c>
      <c r="AAH20" s="526">
        <f>186.7+5</f>
        <v>191.7</v>
      </c>
      <c r="AAI20" s="593"/>
      <c r="AAJ20" s="593"/>
      <c r="AAK20" s="527"/>
      <c r="AAL20" s="22">
        <v>179.4</v>
      </c>
      <c r="AAM20" s="526">
        <f>186.7+5</f>
        <v>191.7</v>
      </c>
      <c r="AAN20" s="593"/>
      <c r="AAO20" s="593"/>
      <c r="AAP20" s="527"/>
      <c r="AAQ20" s="22">
        <v>113.8</v>
      </c>
      <c r="AAR20" s="526">
        <f>154.2+5</f>
        <v>159.19999999999999</v>
      </c>
      <c r="AAS20" s="593"/>
      <c r="AAT20" s="593"/>
      <c r="AAU20" s="527"/>
      <c r="AAV20" s="22">
        <v>135</v>
      </c>
      <c r="AAW20" s="526">
        <f>154.2+5</f>
        <v>159.19999999999999</v>
      </c>
      <c r="AAX20" s="593"/>
      <c r="AAY20" s="593"/>
      <c r="AAZ20" s="527"/>
      <c r="ABA20" s="22">
        <v>70</v>
      </c>
      <c r="ABB20" s="492"/>
      <c r="ABC20" s="23"/>
      <c r="ABD20" s="519" t="s">
        <v>73</v>
      </c>
      <c r="ABE20" s="520"/>
      <c r="ABF20" s="520"/>
      <c r="ABG20" s="397" t="s">
        <v>15</v>
      </c>
      <c r="ABH20" s="526">
        <v>159.19999999999999</v>
      </c>
      <c r="ABI20" s="593"/>
      <c r="ABJ20" s="593"/>
      <c r="ABK20" s="527"/>
      <c r="ABL20" s="22">
        <v>137.19999999999999</v>
      </c>
      <c r="ABM20" s="526">
        <f>157.2+5</f>
        <v>162.19999999999999</v>
      </c>
      <c r="ABN20" s="593"/>
      <c r="ABO20" s="593"/>
      <c r="ABP20" s="527"/>
      <c r="ABQ20" s="22">
        <v>150.80000000000001</v>
      </c>
      <c r="ABR20" s="526">
        <f>186.7+5</f>
        <v>191.7</v>
      </c>
      <c r="ABS20" s="593"/>
      <c r="ABT20" s="593"/>
      <c r="ABU20" s="527"/>
      <c r="ABV20" s="22">
        <v>113.8</v>
      </c>
      <c r="ABW20" s="526">
        <f>219.2+5</f>
        <v>224.2</v>
      </c>
      <c r="ABX20" s="593"/>
      <c r="ABY20" s="593"/>
      <c r="ABZ20" s="527"/>
      <c r="ACA20" s="22">
        <v>197.6</v>
      </c>
      <c r="ACB20" s="492"/>
      <c r="ACC20" s="23"/>
      <c r="ACD20" s="519" t="s">
        <v>73</v>
      </c>
      <c r="ACE20" s="520"/>
      <c r="ACF20" s="520"/>
      <c r="ACG20" s="397" t="s">
        <v>15</v>
      </c>
      <c r="ACH20" s="526">
        <f>219.2+5</f>
        <v>224.2</v>
      </c>
      <c r="ACI20" s="593"/>
      <c r="ACJ20" s="593"/>
      <c r="ACK20" s="527"/>
      <c r="ACL20" s="22">
        <v>196</v>
      </c>
      <c r="ACM20" s="595">
        <v>224</v>
      </c>
      <c r="ACN20" s="596"/>
      <c r="ACO20" s="596"/>
      <c r="ACP20" s="597"/>
      <c r="ACQ20" s="22">
        <v>131.4</v>
      </c>
      <c r="ACR20" s="526">
        <f>219+5</f>
        <v>224</v>
      </c>
      <c r="ACS20" s="593"/>
      <c r="ACT20" s="593"/>
      <c r="ACU20" s="527"/>
      <c r="ACV20" s="22">
        <v>144.6</v>
      </c>
      <c r="ACW20" s="595">
        <v>224</v>
      </c>
      <c r="ACX20" s="596"/>
      <c r="ACY20" s="596"/>
      <c r="ACZ20" s="597"/>
      <c r="ADA20" s="22">
        <v>162.80000000000001</v>
      </c>
      <c r="ADB20" s="492"/>
      <c r="ADC20" s="23"/>
      <c r="ADD20" s="519" t="s">
        <v>73</v>
      </c>
      <c r="ADE20" s="520"/>
      <c r="ADF20" s="520"/>
      <c r="ADG20" s="397" t="s">
        <v>15</v>
      </c>
      <c r="ADH20" s="595">
        <f>219.2+5</f>
        <v>224.2</v>
      </c>
      <c r="ADI20" s="596"/>
      <c r="ADJ20" s="596"/>
      <c r="ADK20" s="597"/>
      <c r="ADL20" s="22">
        <v>29.200000000000003</v>
      </c>
      <c r="ADM20" s="595">
        <f>151.2+5</f>
        <v>156.19999999999999</v>
      </c>
      <c r="ADN20" s="596"/>
      <c r="ADO20" s="596"/>
      <c r="ADP20" s="597"/>
      <c r="ADQ20" s="22">
        <v>51.6</v>
      </c>
      <c r="ADR20" s="595">
        <f>185.2+5</f>
        <v>190.2</v>
      </c>
      <c r="ADS20" s="596"/>
      <c r="ADT20" s="596"/>
      <c r="ADU20" s="597"/>
      <c r="ADV20" s="22">
        <v>137</v>
      </c>
      <c r="ADW20" s="526">
        <f>219.2+4.9</f>
        <v>224.1</v>
      </c>
      <c r="ADX20" s="593"/>
      <c r="ADY20" s="593"/>
      <c r="ADZ20" s="527"/>
      <c r="AEA20" s="22">
        <v>135.4</v>
      </c>
      <c r="AEB20" s="492"/>
      <c r="AEC20" s="23"/>
      <c r="AED20" s="519" t="s">
        <v>73</v>
      </c>
      <c r="AEE20" s="520"/>
      <c r="AEF20" s="520"/>
      <c r="AEG20" s="397" t="s">
        <v>15</v>
      </c>
      <c r="AEH20" s="595">
        <f>219.2+5</f>
        <v>224.2</v>
      </c>
      <c r="AEI20" s="596"/>
      <c r="AEJ20" s="596"/>
      <c r="AEK20" s="597"/>
      <c r="AEL20" s="22">
        <v>98</v>
      </c>
      <c r="AEM20" s="595">
        <f>219.2+5</f>
        <v>224.2</v>
      </c>
      <c r="AEN20" s="596"/>
      <c r="AEO20" s="596"/>
      <c r="AEP20" s="597"/>
      <c r="AEQ20" s="22"/>
      <c r="AER20" s="22">
        <v>144.80000000000001</v>
      </c>
      <c r="AES20" s="595">
        <f>219.2+5</f>
        <v>224.2</v>
      </c>
      <c r="AET20" s="596"/>
      <c r="AEU20" s="596"/>
      <c r="AEV20" s="597"/>
      <c r="AEW20" s="22">
        <v>164.2</v>
      </c>
      <c r="AEX20" s="501">
        <v>224</v>
      </c>
      <c r="AEY20" s="502"/>
      <c r="AEZ20" s="502"/>
      <c r="AFA20" s="503"/>
      <c r="AFB20" s="22">
        <v>195.6</v>
      </c>
      <c r="AFC20" s="492"/>
      <c r="AFD20" s="23"/>
      <c r="AFE20" s="519" t="s">
        <v>73</v>
      </c>
      <c r="AFF20" s="520"/>
      <c r="AFG20" s="520"/>
      <c r="AFH20" s="397" t="s">
        <v>15</v>
      </c>
      <c r="AFI20" s="501">
        <v>224</v>
      </c>
      <c r="AFJ20" s="502"/>
      <c r="AFK20" s="502"/>
      <c r="AFL20" s="503"/>
      <c r="AFM20" s="22">
        <v>46.6</v>
      </c>
      <c r="AFN20" s="595">
        <f>219.2+5</f>
        <v>224.2</v>
      </c>
      <c r="AFO20" s="596"/>
      <c r="AFP20" s="596"/>
      <c r="AFQ20" s="597"/>
      <c r="AFR20" s="22">
        <v>192.8</v>
      </c>
      <c r="AFS20" s="595">
        <f>219.2+5</f>
        <v>224.2</v>
      </c>
      <c r="AFT20" s="596"/>
      <c r="AFU20" s="596"/>
      <c r="AFV20" s="597"/>
      <c r="AFW20" s="22">
        <v>214</v>
      </c>
      <c r="AFX20" s="595">
        <f>219.2+5</f>
        <v>224.2</v>
      </c>
      <c r="AFY20" s="596"/>
      <c r="AFZ20" s="596"/>
      <c r="AGA20" s="597"/>
      <c r="AGB20" s="22">
        <v>146.6</v>
      </c>
      <c r="AGC20" s="492"/>
      <c r="AGD20" s="23"/>
      <c r="AGE20" s="519" t="s">
        <v>73</v>
      </c>
      <c r="AGF20" s="520"/>
      <c r="AGG20" s="520"/>
      <c r="AGH20" s="397" t="s">
        <v>15</v>
      </c>
      <c r="AGI20" s="595">
        <f>219.2+5</f>
        <v>224.2</v>
      </c>
      <c r="AGJ20" s="596"/>
      <c r="AGK20" s="596"/>
      <c r="AGL20" s="597"/>
      <c r="AGM20" s="22">
        <v>211.8</v>
      </c>
      <c r="AGN20" s="595">
        <f>219.2+5</f>
        <v>224.2</v>
      </c>
      <c r="AGO20" s="596"/>
      <c r="AGP20" s="596"/>
      <c r="AGQ20" s="597"/>
      <c r="AGR20" s="22">
        <v>153.80000000000001</v>
      </c>
      <c r="AGS20" s="595">
        <v>219.2</v>
      </c>
      <c r="AGT20" s="596"/>
      <c r="AGU20" s="596"/>
      <c r="AGV20" s="597"/>
      <c r="AGW20" s="22">
        <v>87.8</v>
      </c>
      <c r="AGX20" s="501">
        <v>219</v>
      </c>
      <c r="AGY20" s="502"/>
      <c r="AGZ20" s="502"/>
      <c r="AHA20" s="503"/>
      <c r="AHB20" s="22">
        <v>41</v>
      </c>
      <c r="AHC20" s="492"/>
      <c r="AHD20" s="23"/>
      <c r="AHE20" s="519" t="s">
        <v>73</v>
      </c>
      <c r="AHF20" s="520"/>
      <c r="AHG20" s="520"/>
      <c r="AHH20" s="397" t="s">
        <v>15</v>
      </c>
      <c r="AHI20" s="501">
        <v>219.2</v>
      </c>
      <c r="AHJ20" s="502"/>
      <c r="AHK20" s="502"/>
      <c r="AHL20" s="503"/>
      <c r="AHM20" s="22">
        <v>205.2</v>
      </c>
      <c r="AHN20" s="501">
        <v>219.2</v>
      </c>
      <c r="AHO20" s="502"/>
      <c r="AHP20" s="502"/>
      <c r="AHQ20" s="503"/>
      <c r="AHR20" s="22">
        <v>0</v>
      </c>
      <c r="AHS20" s="501">
        <v>219</v>
      </c>
      <c r="AHT20" s="502"/>
      <c r="AHU20" s="502"/>
      <c r="AHV20" s="503"/>
      <c r="AHW20" s="22">
        <v>4.8</v>
      </c>
      <c r="AHX20" s="501">
        <f>219.2</f>
        <v>219.2</v>
      </c>
      <c r="AHY20" s="502"/>
      <c r="AHZ20" s="502"/>
      <c r="AIA20" s="503"/>
      <c r="AIB20" s="22">
        <v>160.4</v>
      </c>
      <c r="AIC20" s="492"/>
      <c r="AID20" s="23"/>
      <c r="AIE20" s="519" t="s">
        <v>73</v>
      </c>
      <c r="AIF20" s="520"/>
      <c r="AIG20" s="520"/>
      <c r="AIH20" s="397" t="s">
        <v>15</v>
      </c>
      <c r="AII20" s="501">
        <v>151</v>
      </c>
      <c r="AIJ20" s="502"/>
      <c r="AIK20" s="502"/>
      <c r="AIL20" s="503"/>
      <c r="AIM20" s="22">
        <v>12.2</v>
      </c>
      <c r="AIN20" s="501">
        <v>219.2</v>
      </c>
      <c r="AIO20" s="502"/>
      <c r="AIP20" s="502"/>
      <c r="AIQ20" s="503"/>
      <c r="AIR20" s="22">
        <v>57.2</v>
      </c>
      <c r="AIS20" s="501">
        <v>219.2</v>
      </c>
      <c r="AIT20" s="502"/>
      <c r="AIU20" s="502"/>
      <c r="AIV20" s="503"/>
      <c r="AIW20" s="22">
        <v>0</v>
      </c>
      <c r="AIX20" s="501">
        <v>219.2</v>
      </c>
      <c r="AIY20" s="502"/>
      <c r="AIZ20" s="502"/>
      <c r="AJA20" s="503"/>
      <c r="AJB20" s="22">
        <v>25.8</v>
      </c>
      <c r="AJC20" s="492"/>
      <c r="AJD20" s="23"/>
      <c r="AJE20" s="519" t="s">
        <v>73</v>
      </c>
      <c r="AJF20" s="520"/>
      <c r="AJG20" s="520"/>
      <c r="AJH20" s="397" t="s">
        <v>15</v>
      </c>
      <c r="AJI20" s="501">
        <v>219.2</v>
      </c>
      <c r="AJJ20" s="502"/>
      <c r="AJK20" s="502"/>
      <c r="AJL20" s="503"/>
      <c r="AJM20" s="22">
        <v>83.2</v>
      </c>
      <c r="AJN20" s="501">
        <v>219</v>
      </c>
      <c r="AJO20" s="502"/>
      <c r="AJP20" s="502"/>
      <c r="AJQ20" s="503"/>
      <c r="AJR20" s="22">
        <v>108.2</v>
      </c>
      <c r="AJS20" s="501">
        <v>219.2</v>
      </c>
      <c r="AJT20" s="502"/>
      <c r="AJU20" s="502"/>
      <c r="AJV20" s="503"/>
      <c r="AJW20" s="22">
        <v>171.8</v>
      </c>
      <c r="AJX20" s="501">
        <v>219</v>
      </c>
      <c r="AJY20" s="502"/>
      <c r="AJZ20" s="502"/>
      <c r="AKA20" s="503"/>
      <c r="AKB20" s="410">
        <v>186.60000000000002</v>
      </c>
      <c r="AKC20" s="492"/>
      <c r="AKD20" s="23"/>
      <c r="AKE20" s="519" t="s">
        <v>73</v>
      </c>
      <c r="AKF20" s="520"/>
      <c r="AKG20" s="520"/>
      <c r="AKH20" s="397" t="s">
        <v>15</v>
      </c>
      <c r="AKI20" s="501">
        <v>151</v>
      </c>
      <c r="AKJ20" s="502"/>
      <c r="AKK20" s="502"/>
      <c r="AKL20" s="503"/>
      <c r="AKM20" s="22">
        <v>86</v>
      </c>
      <c r="AKN20" s="501">
        <v>138</v>
      </c>
      <c r="AKO20" s="502"/>
      <c r="AKP20" s="502"/>
      <c r="AKQ20" s="503"/>
      <c r="AKR20" s="22">
        <v>107</v>
      </c>
      <c r="AKS20" s="501">
        <f>133+5</f>
        <v>138</v>
      </c>
      <c r="AKT20" s="502"/>
      <c r="AKU20" s="502"/>
      <c r="AKV20" s="503"/>
      <c r="AKW20" s="22">
        <v>99</v>
      </c>
      <c r="AKX20" s="501">
        <v>190</v>
      </c>
      <c r="AKY20" s="502"/>
      <c r="AKZ20" s="502"/>
      <c r="ALA20" s="503"/>
      <c r="ALB20" s="22">
        <v>135</v>
      </c>
      <c r="ALC20" s="492"/>
      <c r="ALD20" s="23"/>
      <c r="ALE20" s="519" t="s">
        <v>73</v>
      </c>
      <c r="ALF20" s="520"/>
      <c r="ALG20" s="520"/>
      <c r="ALH20" s="397" t="s">
        <v>15</v>
      </c>
      <c r="ALI20" s="501">
        <v>164.1</v>
      </c>
      <c r="ALJ20" s="502"/>
      <c r="ALK20" s="502"/>
      <c r="ALL20" s="503"/>
      <c r="ALM20" s="22">
        <v>154</v>
      </c>
      <c r="ALN20" s="501">
        <f>5+185.2</f>
        <v>190.2</v>
      </c>
      <c r="ALO20" s="502"/>
      <c r="ALP20" s="502"/>
      <c r="ALQ20" s="503"/>
      <c r="ALR20" s="22">
        <v>159.4</v>
      </c>
      <c r="ALS20" s="501">
        <v>190</v>
      </c>
      <c r="ALT20" s="502"/>
      <c r="ALU20" s="502"/>
      <c r="ALV20" s="503"/>
      <c r="ALW20" s="22">
        <v>164.6</v>
      </c>
      <c r="ALX20" s="501">
        <v>190</v>
      </c>
      <c r="ALY20" s="502"/>
      <c r="ALZ20" s="502"/>
      <c r="AMA20" s="503"/>
      <c r="AMB20" s="22">
        <v>140</v>
      </c>
      <c r="AMC20" s="492"/>
      <c r="AMD20" s="23"/>
      <c r="AME20" s="519" t="s">
        <v>73</v>
      </c>
      <c r="AMF20" s="520"/>
      <c r="AMG20" s="520"/>
      <c r="AMH20" s="397" t="s">
        <v>15</v>
      </c>
      <c r="AMI20" s="501">
        <v>190</v>
      </c>
      <c r="AMJ20" s="502"/>
      <c r="AMK20" s="502"/>
      <c r="AML20" s="503"/>
      <c r="AMM20" s="22">
        <v>138</v>
      </c>
      <c r="AMN20" s="501">
        <v>190</v>
      </c>
      <c r="AMO20" s="502"/>
      <c r="AMP20" s="502"/>
      <c r="AMQ20" s="503"/>
      <c r="AMR20" s="22">
        <v>105.6</v>
      </c>
      <c r="AMS20" s="22"/>
      <c r="AMT20" s="501">
        <v>190</v>
      </c>
      <c r="AMU20" s="502"/>
      <c r="AMV20" s="502"/>
      <c r="AMW20" s="503"/>
      <c r="AMX20" s="22">
        <v>172.6</v>
      </c>
      <c r="AMY20" s="501">
        <v>190</v>
      </c>
      <c r="AMZ20" s="502"/>
      <c r="ANA20" s="502"/>
      <c r="ANB20" s="503"/>
      <c r="ANC20" s="22">
        <v>173</v>
      </c>
      <c r="AND20" s="492"/>
      <c r="ANE20" s="23"/>
      <c r="ANF20" s="519" t="s">
        <v>73</v>
      </c>
      <c r="ANG20" s="520"/>
      <c r="ANH20" s="520"/>
      <c r="ANI20" s="397" t="s">
        <v>15</v>
      </c>
      <c r="ANJ20" s="501">
        <v>190</v>
      </c>
      <c r="ANK20" s="502"/>
      <c r="ANL20" s="502"/>
      <c r="ANM20" s="503"/>
      <c r="ANN20" s="22">
        <v>123.4</v>
      </c>
      <c r="ANO20" s="501">
        <v>190.2</v>
      </c>
      <c r="ANP20" s="502"/>
      <c r="ANQ20" s="502"/>
      <c r="ANR20" s="503"/>
      <c r="ANS20" s="22">
        <v>160</v>
      </c>
      <c r="ANT20" s="22"/>
      <c r="ANU20" s="501">
        <v>190</v>
      </c>
      <c r="ANV20" s="502"/>
      <c r="ANW20" s="502"/>
      <c r="ANX20" s="503"/>
      <c r="ANY20" s="22">
        <v>171.4</v>
      </c>
      <c r="ANZ20" s="501">
        <v>224.2</v>
      </c>
      <c r="AOA20" s="502"/>
      <c r="AOB20" s="502"/>
      <c r="AOC20" s="503"/>
      <c r="AOD20" s="22">
        <v>127.4</v>
      </c>
      <c r="AOE20" s="492"/>
      <c r="AOF20" s="23"/>
      <c r="AOG20" s="519" t="s">
        <v>73</v>
      </c>
      <c r="AOH20" s="520"/>
      <c r="AOI20" s="520"/>
      <c r="AOJ20" s="397" t="s">
        <v>15</v>
      </c>
      <c r="AOK20" s="501">
        <v>224</v>
      </c>
      <c r="AOL20" s="502"/>
      <c r="AOM20" s="502"/>
      <c r="AON20" s="503"/>
      <c r="AOO20" s="22">
        <v>197</v>
      </c>
      <c r="AOP20" s="501">
        <f>5+219.2</f>
        <v>224.2</v>
      </c>
      <c r="AOQ20" s="502"/>
      <c r="AOR20" s="502"/>
      <c r="AOS20" s="503"/>
      <c r="AOT20" s="22">
        <v>85.600000000000009</v>
      </c>
      <c r="AOU20" s="22"/>
      <c r="AOV20" s="501">
        <v>224</v>
      </c>
      <c r="AOW20" s="502"/>
      <c r="AOX20" s="502"/>
      <c r="AOY20" s="503"/>
      <c r="AOZ20" s="22">
        <v>202.8</v>
      </c>
      <c r="APA20" s="501"/>
      <c r="APB20" s="502"/>
      <c r="APC20" s="502"/>
      <c r="APD20" s="503"/>
      <c r="APE20" s="22"/>
    </row>
    <row r="21" spans="1:1097" ht="45" customHeight="1" x14ac:dyDescent="0.4">
      <c r="A21" s="492"/>
      <c r="B21" s="23"/>
      <c r="C21" s="457" t="s">
        <v>722</v>
      </c>
      <c r="D21" s="459"/>
      <c r="E21" s="459"/>
      <c r="F21" s="397" t="s">
        <v>16</v>
      </c>
      <c r="G21" s="526">
        <v>241</v>
      </c>
      <c r="H21" s="593"/>
      <c r="I21" s="593"/>
      <c r="J21" s="527"/>
      <c r="K21" s="22">
        <v>240.4</v>
      </c>
      <c r="L21" s="526">
        <v>241</v>
      </c>
      <c r="M21" s="593"/>
      <c r="N21" s="593"/>
      <c r="O21" s="527"/>
      <c r="P21" s="22">
        <v>241</v>
      </c>
      <c r="Q21" s="526">
        <v>189</v>
      </c>
      <c r="R21" s="593"/>
      <c r="S21" s="593"/>
      <c r="T21" s="527"/>
      <c r="U21" s="22">
        <v>186</v>
      </c>
      <c r="V21" s="526">
        <v>241</v>
      </c>
      <c r="W21" s="593"/>
      <c r="X21" s="593"/>
      <c r="Y21" s="527"/>
      <c r="Z21" s="22">
        <v>244.4</v>
      </c>
      <c r="AA21" s="492"/>
      <c r="AB21" s="23"/>
      <c r="AC21" s="457" t="s">
        <v>722</v>
      </c>
      <c r="AD21" s="459"/>
      <c r="AE21" s="459"/>
      <c r="AF21" s="397" t="s">
        <v>16</v>
      </c>
      <c r="AG21" s="526">
        <v>241</v>
      </c>
      <c r="AH21" s="593"/>
      <c r="AI21" s="593"/>
      <c r="AJ21" s="527"/>
      <c r="AK21" s="22">
        <v>241</v>
      </c>
      <c r="AL21" s="526">
        <v>241</v>
      </c>
      <c r="AM21" s="593"/>
      <c r="AN21" s="593"/>
      <c r="AO21" s="527"/>
      <c r="AP21" s="22">
        <v>239.2</v>
      </c>
      <c r="AQ21" s="526">
        <v>241</v>
      </c>
      <c r="AR21" s="593"/>
      <c r="AS21" s="593"/>
      <c r="AT21" s="527"/>
      <c r="AU21" s="22">
        <v>241</v>
      </c>
      <c r="AV21" s="526">
        <v>241</v>
      </c>
      <c r="AW21" s="593"/>
      <c r="AX21" s="593"/>
      <c r="AY21" s="527"/>
      <c r="AZ21" s="22">
        <v>235.2</v>
      </c>
      <c r="BA21" s="492"/>
      <c r="BB21" s="23"/>
      <c r="BC21" s="457" t="s">
        <v>722</v>
      </c>
      <c r="BD21" s="459"/>
      <c r="BE21" s="459"/>
      <c r="BF21" s="397" t="s">
        <v>16</v>
      </c>
      <c r="BG21" s="526">
        <v>189</v>
      </c>
      <c r="BH21" s="593"/>
      <c r="BI21" s="593"/>
      <c r="BJ21" s="527"/>
      <c r="BK21" s="22">
        <v>189</v>
      </c>
      <c r="BL21" s="526">
        <v>189</v>
      </c>
      <c r="BM21" s="593"/>
      <c r="BN21" s="593"/>
      <c r="BO21" s="527"/>
      <c r="BP21" s="22">
        <v>184</v>
      </c>
      <c r="BQ21" s="526">
        <v>240.96459999999999</v>
      </c>
      <c r="BR21" s="593"/>
      <c r="BS21" s="593"/>
      <c r="BT21" s="527"/>
      <c r="BU21" s="22">
        <v>229.6</v>
      </c>
      <c r="BV21" s="526">
        <v>241</v>
      </c>
      <c r="BW21" s="593"/>
      <c r="BX21" s="593"/>
      <c r="BY21" s="527"/>
      <c r="BZ21" s="22">
        <v>236.4</v>
      </c>
      <c r="CA21" s="492"/>
      <c r="CB21" s="23"/>
      <c r="CC21" s="457" t="s">
        <v>722</v>
      </c>
      <c r="CD21" s="459"/>
      <c r="CE21" s="459"/>
      <c r="CF21" s="397" t="s">
        <v>16</v>
      </c>
      <c r="CG21" s="526">
        <v>241</v>
      </c>
      <c r="CH21" s="593"/>
      <c r="CI21" s="593"/>
      <c r="CJ21" s="527"/>
      <c r="CK21" s="22">
        <v>234</v>
      </c>
      <c r="CL21" s="526">
        <v>239</v>
      </c>
      <c r="CM21" s="593"/>
      <c r="CN21" s="593"/>
      <c r="CO21" s="527"/>
      <c r="CP21" s="22">
        <v>154</v>
      </c>
      <c r="CQ21" s="526">
        <v>185</v>
      </c>
      <c r="CR21" s="593"/>
      <c r="CS21" s="593"/>
      <c r="CT21" s="527"/>
      <c r="CU21" s="22">
        <v>185.2</v>
      </c>
      <c r="CV21" s="526">
        <v>155</v>
      </c>
      <c r="CW21" s="593"/>
      <c r="CX21" s="593"/>
      <c r="CY21" s="527"/>
      <c r="CZ21" s="22">
        <v>146.80000000000001</v>
      </c>
      <c r="DA21" s="492"/>
      <c r="DB21" s="23"/>
      <c r="DC21" s="457" t="s">
        <v>722</v>
      </c>
      <c r="DD21" s="459"/>
      <c r="DE21" s="459"/>
      <c r="DF21" s="397" t="s">
        <v>16</v>
      </c>
      <c r="DG21" s="526">
        <v>178</v>
      </c>
      <c r="DH21" s="593"/>
      <c r="DI21" s="593"/>
      <c r="DJ21" s="527"/>
      <c r="DK21" s="22">
        <v>171.2</v>
      </c>
      <c r="DL21" s="526">
        <v>178</v>
      </c>
      <c r="DM21" s="593"/>
      <c r="DN21" s="593"/>
      <c r="DO21" s="527"/>
      <c r="DP21" s="22">
        <v>177.6</v>
      </c>
      <c r="DQ21" s="526">
        <f>176</f>
        <v>176</v>
      </c>
      <c r="DR21" s="593"/>
      <c r="DS21" s="593"/>
      <c r="DT21" s="527"/>
      <c r="DU21" s="22">
        <v>175.2</v>
      </c>
      <c r="DV21" s="526">
        <v>176</v>
      </c>
      <c r="DW21" s="593"/>
      <c r="DX21" s="593"/>
      <c r="DY21" s="527"/>
      <c r="DZ21" s="22">
        <v>176</v>
      </c>
      <c r="EA21" s="492"/>
      <c r="EB21" s="23"/>
      <c r="EC21" s="457" t="s">
        <v>722</v>
      </c>
      <c r="ED21" s="459"/>
      <c r="EE21" s="459"/>
      <c r="EF21" s="397" t="s">
        <v>16</v>
      </c>
      <c r="EG21" s="526">
        <v>197</v>
      </c>
      <c r="EH21" s="593"/>
      <c r="EI21" s="593"/>
      <c r="EJ21" s="527"/>
      <c r="EK21" s="22">
        <v>95.2</v>
      </c>
      <c r="EL21" s="526">
        <v>179</v>
      </c>
      <c r="EM21" s="593"/>
      <c r="EN21" s="593"/>
      <c r="EO21" s="527"/>
      <c r="EP21" s="22">
        <v>177.2</v>
      </c>
      <c r="EQ21" s="526">
        <v>141</v>
      </c>
      <c r="ER21" s="593"/>
      <c r="ES21" s="593"/>
      <c r="ET21" s="527"/>
      <c r="EU21" s="22">
        <v>141.19999999999999</v>
      </c>
      <c r="EV21" s="526">
        <v>162</v>
      </c>
      <c r="EW21" s="593"/>
      <c r="EX21" s="593"/>
      <c r="EY21" s="527"/>
      <c r="EZ21" s="22">
        <v>161.6</v>
      </c>
      <c r="FA21" s="492"/>
      <c r="FB21" s="23"/>
      <c r="FC21" s="457" t="s">
        <v>722</v>
      </c>
      <c r="FD21" s="459"/>
      <c r="FE21" s="459"/>
      <c r="FF21" s="397" t="s">
        <v>16</v>
      </c>
      <c r="FG21" s="526">
        <v>162</v>
      </c>
      <c r="FH21" s="593"/>
      <c r="FI21" s="593"/>
      <c r="FJ21" s="527"/>
      <c r="FK21" s="22">
        <v>158.4</v>
      </c>
      <c r="FL21" s="526">
        <v>148</v>
      </c>
      <c r="FM21" s="593"/>
      <c r="FN21" s="593"/>
      <c r="FO21" s="527"/>
      <c r="FP21" s="22">
        <v>148</v>
      </c>
      <c r="FQ21" s="526">
        <v>146</v>
      </c>
      <c r="FR21" s="593"/>
      <c r="FS21" s="593"/>
      <c r="FT21" s="527"/>
      <c r="FU21" s="22">
        <v>126.4</v>
      </c>
      <c r="FV21" s="526">
        <v>148</v>
      </c>
      <c r="FW21" s="593"/>
      <c r="FX21" s="593"/>
      <c r="FY21" s="527"/>
      <c r="FZ21" s="22">
        <v>136</v>
      </c>
      <c r="GA21" s="492"/>
      <c r="GB21" s="23"/>
      <c r="GC21" s="457" t="s">
        <v>722</v>
      </c>
      <c r="GD21" s="459"/>
      <c r="GE21" s="459"/>
      <c r="GF21" s="397" t="s">
        <v>16</v>
      </c>
      <c r="GG21" s="526">
        <v>146</v>
      </c>
      <c r="GH21" s="593"/>
      <c r="GI21" s="593"/>
      <c r="GJ21" s="527"/>
      <c r="GK21" s="22">
        <v>145</v>
      </c>
      <c r="GL21" s="526">
        <v>126.1</v>
      </c>
      <c r="GM21" s="593"/>
      <c r="GN21" s="593"/>
      <c r="GO21" s="527"/>
      <c r="GP21" s="22">
        <v>120.4</v>
      </c>
      <c r="GQ21" s="526">
        <v>167</v>
      </c>
      <c r="GR21" s="593"/>
      <c r="GS21" s="593"/>
      <c r="GT21" s="527"/>
      <c r="GU21" s="22">
        <v>159</v>
      </c>
      <c r="GV21" s="526">
        <v>162</v>
      </c>
      <c r="GW21" s="593"/>
      <c r="GX21" s="593"/>
      <c r="GY21" s="527"/>
      <c r="GZ21" s="22">
        <v>161.19999999999999</v>
      </c>
      <c r="HA21" s="492"/>
      <c r="HB21" s="23"/>
      <c r="HC21" s="457" t="s">
        <v>722</v>
      </c>
      <c r="HD21" s="459"/>
      <c r="HE21" s="459"/>
      <c r="HF21" s="397" t="s">
        <v>16</v>
      </c>
      <c r="HG21" s="526">
        <v>155</v>
      </c>
      <c r="HH21" s="593"/>
      <c r="HI21" s="593"/>
      <c r="HJ21" s="527"/>
      <c r="HK21" s="22">
        <v>101</v>
      </c>
      <c r="HL21" s="526">
        <v>145</v>
      </c>
      <c r="HM21" s="593"/>
      <c r="HN21" s="593"/>
      <c r="HO21" s="527"/>
      <c r="HP21" s="22">
        <v>139</v>
      </c>
      <c r="HQ21" s="526">
        <v>150</v>
      </c>
      <c r="HR21" s="593"/>
      <c r="HS21" s="593"/>
      <c r="HT21" s="527"/>
      <c r="HU21" s="22">
        <v>147.19999999999999</v>
      </c>
      <c r="HV21" s="526">
        <v>176</v>
      </c>
      <c r="HW21" s="593"/>
      <c r="HX21" s="593"/>
      <c r="HY21" s="527"/>
      <c r="HZ21" s="22">
        <v>138.4</v>
      </c>
      <c r="IA21" s="492"/>
      <c r="IB21" s="23"/>
      <c r="IC21" s="457" t="s">
        <v>722</v>
      </c>
      <c r="ID21" s="459"/>
      <c r="IE21" s="459"/>
      <c r="IF21" s="397" t="s">
        <v>16</v>
      </c>
      <c r="IG21" s="526">
        <v>196</v>
      </c>
      <c r="IH21" s="593"/>
      <c r="II21" s="593"/>
      <c r="IJ21" s="527"/>
      <c r="IK21" s="22">
        <v>186.8</v>
      </c>
      <c r="IL21" s="526">
        <v>196</v>
      </c>
      <c r="IM21" s="593"/>
      <c r="IN21" s="593"/>
      <c r="IO21" s="527"/>
      <c r="IP21" s="22">
        <v>165.2</v>
      </c>
      <c r="IQ21" s="526">
        <v>158</v>
      </c>
      <c r="IR21" s="593"/>
      <c r="IS21" s="593"/>
      <c r="IT21" s="527"/>
      <c r="IU21" s="22">
        <v>154</v>
      </c>
      <c r="IV21" s="526">
        <v>166</v>
      </c>
      <c r="IW21" s="593"/>
      <c r="IX21" s="593"/>
      <c r="IY21" s="527"/>
      <c r="IZ21" s="22">
        <v>165.6</v>
      </c>
      <c r="JA21" s="492"/>
      <c r="JB21" s="23"/>
      <c r="JC21" s="457" t="s">
        <v>722</v>
      </c>
      <c r="JD21" s="459"/>
      <c r="JE21" s="459"/>
      <c r="JF21" s="397" t="s">
        <v>16</v>
      </c>
      <c r="JG21" s="526">
        <v>150</v>
      </c>
      <c r="JH21" s="593"/>
      <c r="JI21" s="593"/>
      <c r="JJ21" s="527"/>
      <c r="JK21" s="22">
        <v>146.4</v>
      </c>
      <c r="JL21" s="526">
        <v>169.4</v>
      </c>
      <c r="JM21" s="593"/>
      <c r="JN21" s="593"/>
      <c r="JO21" s="527"/>
      <c r="JP21" s="22">
        <v>167.6</v>
      </c>
      <c r="JQ21" s="526">
        <v>185</v>
      </c>
      <c r="JR21" s="593"/>
      <c r="JS21" s="593"/>
      <c r="JT21" s="527"/>
      <c r="JU21" s="22">
        <v>169</v>
      </c>
      <c r="JV21" s="526">
        <v>183</v>
      </c>
      <c r="JW21" s="593"/>
      <c r="JX21" s="593"/>
      <c r="JY21" s="527"/>
      <c r="JZ21" s="22">
        <v>183</v>
      </c>
      <c r="KA21" s="492"/>
      <c r="KB21" s="23"/>
      <c r="KC21" s="457" t="s">
        <v>722</v>
      </c>
      <c r="KD21" s="459"/>
      <c r="KE21" s="459"/>
      <c r="KF21" s="397" t="s">
        <v>16</v>
      </c>
      <c r="KG21" s="526">
        <v>161</v>
      </c>
      <c r="KH21" s="593"/>
      <c r="KI21" s="593"/>
      <c r="KJ21" s="527"/>
      <c r="KK21" s="22">
        <v>160</v>
      </c>
      <c r="KL21" s="526">
        <v>159</v>
      </c>
      <c r="KM21" s="593"/>
      <c r="KN21" s="593"/>
      <c r="KO21" s="527"/>
      <c r="KP21" s="22">
        <v>156</v>
      </c>
      <c r="KQ21" s="526">
        <v>180</v>
      </c>
      <c r="KR21" s="593"/>
      <c r="KS21" s="593"/>
      <c r="KT21" s="527"/>
      <c r="KU21" s="22">
        <v>175.2</v>
      </c>
      <c r="KV21" s="526">
        <v>195</v>
      </c>
      <c r="KW21" s="593"/>
      <c r="KX21" s="593"/>
      <c r="KY21" s="527"/>
      <c r="KZ21" s="22">
        <v>193.2</v>
      </c>
      <c r="LA21" s="492"/>
      <c r="LB21" s="23"/>
      <c r="LC21" s="457" t="s">
        <v>722</v>
      </c>
      <c r="LD21" s="459"/>
      <c r="LE21" s="459"/>
      <c r="LF21" s="397" t="s">
        <v>16</v>
      </c>
      <c r="LG21" s="526">
        <v>176</v>
      </c>
      <c r="LH21" s="593"/>
      <c r="LI21" s="593"/>
      <c r="LJ21" s="527"/>
      <c r="LK21" s="22">
        <v>174</v>
      </c>
      <c r="LL21" s="526">
        <v>195</v>
      </c>
      <c r="LM21" s="593"/>
      <c r="LN21" s="593"/>
      <c r="LO21" s="527"/>
      <c r="LP21" s="22">
        <v>194</v>
      </c>
      <c r="LQ21" s="526">
        <v>195</v>
      </c>
      <c r="LR21" s="593"/>
      <c r="LS21" s="593"/>
      <c r="LT21" s="527"/>
      <c r="LU21" s="22">
        <v>200</v>
      </c>
      <c r="LV21" s="526">
        <v>203</v>
      </c>
      <c r="LW21" s="593"/>
      <c r="LX21" s="593"/>
      <c r="LY21" s="527"/>
      <c r="LZ21" s="22">
        <v>180.8</v>
      </c>
      <c r="MA21" s="492"/>
      <c r="MB21" s="23"/>
      <c r="MC21" s="457" t="s">
        <v>722</v>
      </c>
      <c r="MD21" s="459"/>
      <c r="ME21" s="459"/>
      <c r="MF21" s="397" t="s">
        <v>16</v>
      </c>
      <c r="MG21" s="526">
        <v>188.8</v>
      </c>
      <c r="MH21" s="593"/>
      <c r="MI21" s="593"/>
      <c r="MJ21" s="527"/>
      <c r="MK21" s="22">
        <v>185.6</v>
      </c>
      <c r="ML21" s="526">
        <v>181</v>
      </c>
      <c r="MM21" s="593"/>
      <c r="MN21" s="593"/>
      <c r="MO21" s="527"/>
      <c r="MP21" s="22">
        <v>178.8</v>
      </c>
      <c r="MQ21" s="526">
        <v>199</v>
      </c>
      <c r="MR21" s="593"/>
      <c r="MS21" s="593"/>
      <c r="MT21" s="527"/>
      <c r="MU21" s="22">
        <v>194</v>
      </c>
      <c r="MV21" s="526">
        <v>205</v>
      </c>
      <c r="MW21" s="593"/>
      <c r="MX21" s="593"/>
      <c r="MY21" s="527"/>
      <c r="MZ21" s="22">
        <v>180.8</v>
      </c>
      <c r="NA21" s="492"/>
      <c r="NB21" s="23"/>
      <c r="NC21" s="457" t="s">
        <v>722</v>
      </c>
      <c r="ND21" s="459"/>
      <c r="NE21" s="459"/>
      <c r="NF21" s="397" t="s">
        <v>16</v>
      </c>
      <c r="NG21" s="526">
        <v>200</v>
      </c>
      <c r="NH21" s="593"/>
      <c r="NI21" s="593"/>
      <c r="NJ21" s="527"/>
      <c r="NK21" s="22">
        <v>196</v>
      </c>
      <c r="NL21" s="526">
        <v>193</v>
      </c>
      <c r="NM21" s="593"/>
      <c r="NN21" s="593"/>
      <c r="NO21" s="527"/>
      <c r="NP21" s="22">
        <v>187.2</v>
      </c>
      <c r="NQ21" s="526">
        <v>186</v>
      </c>
      <c r="NR21" s="593"/>
      <c r="NS21" s="593"/>
      <c r="NT21" s="527"/>
      <c r="NU21" s="22">
        <v>186.8</v>
      </c>
      <c r="NV21" s="526">
        <v>237</v>
      </c>
      <c r="NW21" s="593"/>
      <c r="NX21" s="593"/>
      <c r="NY21" s="527"/>
      <c r="NZ21" s="22">
        <v>221</v>
      </c>
      <c r="OA21" s="492"/>
      <c r="OB21" s="23"/>
      <c r="OC21" s="457" t="s">
        <v>722</v>
      </c>
      <c r="OD21" s="459"/>
      <c r="OE21" s="459"/>
      <c r="OF21" s="397" t="s">
        <v>16</v>
      </c>
      <c r="OG21" s="526">
        <v>140.5</v>
      </c>
      <c r="OH21" s="593"/>
      <c r="OI21" s="593"/>
      <c r="OJ21" s="527"/>
      <c r="OK21" s="22">
        <v>110.8</v>
      </c>
      <c r="OL21" s="526">
        <v>38.4</v>
      </c>
      <c r="OM21" s="593"/>
      <c r="ON21" s="593"/>
      <c r="OO21" s="527"/>
      <c r="OP21" s="22">
        <v>39.200000000000003</v>
      </c>
      <c r="OQ21" s="526">
        <v>231</v>
      </c>
      <c r="OR21" s="593"/>
      <c r="OS21" s="593"/>
      <c r="OT21" s="527"/>
      <c r="OU21" s="22">
        <v>225.6</v>
      </c>
      <c r="OV21" s="526">
        <v>231</v>
      </c>
      <c r="OW21" s="593"/>
      <c r="OX21" s="593"/>
      <c r="OY21" s="527"/>
      <c r="OZ21" s="22">
        <v>185.2</v>
      </c>
      <c r="PA21" s="492"/>
      <c r="PB21" s="23"/>
      <c r="PC21" s="457" t="s">
        <v>722</v>
      </c>
      <c r="PD21" s="459"/>
      <c r="PE21" s="459"/>
      <c r="PF21" s="397" t="s">
        <v>16</v>
      </c>
      <c r="PG21" s="526">
        <v>121.4</v>
      </c>
      <c r="PH21" s="593"/>
      <c r="PI21" s="593"/>
      <c r="PJ21" s="527"/>
      <c r="PK21" s="22">
        <v>104</v>
      </c>
      <c r="PL21" s="526">
        <v>238</v>
      </c>
      <c r="PM21" s="593"/>
      <c r="PN21" s="593"/>
      <c r="PO21" s="527"/>
      <c r="PP21" s="22">
        <v>237.6</v>
      </c>
      <c r="PQ21" s="526">
        <v>241</v>
      </c>
      <c r="PR21" s="593"/>
      <c r="PS21" s="593"/>
      <c r="PT21" s="527"/>
      <c r="PU21" s="22">
        <v>237.2</v>
      </c>
      <c r="PV21" s="526">
        <v>225</v>
      </c>
      <c r="PW21" s="593"/>
      <c r="PX21" s="593"/>
      <c r="PY21" s="527"/>
      <c r="PZ21" s="22">
        <v>222</v>
      </c>
      <c r="QA21" s="492"/>
      <c r="QB21" s="23"/>
      <c r="QC21" s="457" t="s">
        <v>722</v>
      </c>
      <c r="QD21" s="459"/>
      <c r="QE21" s="459"/>
      <c r="QF21" s="397" t="s">
        <v>16</v>
      </c>
      <c r="QG21" s="526">
        <v>210</v>
      </c>
      <c r="QH21" s="593"/>
      <c r="QI21" s="593"/>
      <c r="QJ21" s="527"/>
      <c r="QK21" s="22">
        <v>204.8</v>
      </c>
      <c r="QL21" s="526">
        <v>212</v>
      </c>
      <c r="QM21" s="593"/>
      <c r="QN21" s="593"/>
      <c r="QO21" s="527"/>
      <c r="QP21" s="22">
        <v>205.2</v>
      </c>
      <c r="QQ21" s="526">
        <v>212</v>
      </c>
      <c r="QR21" s="593"/>
      <c r="QS21" s="593"/>
      <c r="QT21" s="527"/>
      <c r="QU21" s="22">
        <v>204.4</v>
      </c>
      <c r="QV21" s="526">
        <v>212</v>
      </c>
      <c r="QW21" s="593"/>
      <c r="QX21" s="593"/>
      <c r="QY21" s="527"/>
      <c r="QZ21" s="22">
        <v>207.2</v>
      </c>
      <c r="RA21" s="492"/>
      <c r="RB21" s="23"/>
      <c r="RC21" s="457" t="s">
        <v>68</v>
      </c>
      <c r="RD21" s="459"/>
      <c r="RE21" s="459"/>
      <c r="RF21" s="397" t="s">
        <v>16</v>
      </c>
      <c r="RG21" s="526">
        <v>263</v>
      </c>
      <c r="RH21" s="593"/>
      <c r="RI21" s="593"/>
      <c r="RJ21" s="527"/>
      <c r="RK21" s="22">
        <v>257.2</v>
      </c>
      <c r="RL21" s="526">
        <v>212</v>
      </c>
      <c r="RM21" s="593"/>
      <c r="RN21" s="593"/>
      <c r="RO21" s="527"/>
      <c r="RP21" s="22">
        <v>207.2</v>
      </c>
      <c r="RQ21" s="526">
        <v>209</v>
      </c>
      <c r="RR21" s="593"/>
      <c r="RS21" s="593"/>
      <c r="RT21" s="527"/>
      <c r="RU21" s="22">
        <v>205.6</v>
      </c>
      <c r="RV21" s="526">
        <v>240</v>
      </c>
      <c r="RW21" s="593"/>
      <c r="RX21" s="593"/>
      <c r="RY21" s="527"/>
      <c r="RZ21" s="22">
        <v>240</v>
      </c>
      <c r="SA21" s="492"/>
      <c r="SB21" s="23"/>
      <c r="SC21" s="457" t="s">
        <v>68</v>
      </c>
      <c r="SD21" s="459"/>
      <c r="SE21" s="459"/>
      <c r="SF21" s="397" t="s">
        <v>16</v>
      </c>
      <c r="SG21" s="526">
        <v>196</v>
      </c>
      <c r="SH21" s="593"/>
      <c r="SI21" s="593"/>
      <c r="SJ21" s="527"/>
      <c r="SK21" s="22">
        <v>193.4</v>
      </c>
      <c r="SL21" s="526">
        <v>195</v>
      </c>
      <c r="SM21" s="593"/>
      <c r="SN21" s="593"/>
      <c r="SO21" s="527"/>
      <c r="SP21" s="22">
        <v>192.8</v>
      </c>
      <c r="SQ21" s="526">
        <v>240</v>
      </c>
      <c r="SR21" s="593"/>
      <c r="SS21" s="593"/>
      <c r="ST21" s="527"/>
      <c r="SU21" s="22">
        <v>238.8</v>
      </c>
      <c r="SV21" s="526">
        <v>240</v>
      </c>
      <c r="SW21" s="593"/>
      <c r="SX21" s="593"/>
      <c r="SY21" s="527"/>
      <c r="SZ21" s="22">
        <v>240</v>
      </c>
      <c r="TA21" s="492"/>
      <c r="TB21" s="23"/>
      <c r="TC21" s="457" t="s">
        <v>68</v>
      </c>
      <c r="TD21" s="459"/>
      <c r="TE21" s="459"/>
      <c r="TF21" s="397" t="s">
        <v>16</v>
      </c>
      <c r="TG21" s="526">
        <v>240</v>
      </c>
      <c r="TH21" s="593"/>
      <c r="TI21" s="593"/>
      <c r="TJ21" s="527"/>
      <c r="TK21" s="22">
        <v>238.8</v>
      </c>
      <c r="TL21" s="526">
        <v>240</v>
      </c>
      <c r="TM21" s="593"/>
      <c r="TN21" s="593"/>
      <c r="TO21" s="527"/>
      <c r="TP21" s="22"/>
      <c r="TQ21" s="22">
        <v>240</v>
      </c>
      <c r="TR21" s="526">
        <v>240</v>
      </c>
      <c r="TS21" s="593"/>
      <c r="TT21" s="593"/>
      <c r="TU21" s="527"/>
      <c r="TV21" s="22">
        <v>240</v>
      </c>
      <c r="TW21" s="526">
        <v>196</v>
      </c>
      <c r="TX21" s="593"/>
      <c r="TY21" s="593"/>
      <c r="TZ21" s="527"/>
      <c r="UA21" s="22">
        <v>192.8</v>
      </c>
      <c r="UB21" s="492"/>
      <c r="UC21" s="23"/>
      <c r="UD21" s="457" t="s">
        <v>68</v>
      </c>
      <c r="UE21" s="459"/>
      <c r="UF21" s="459"/>
      <c r="UG21" s="397" t="s">
        <v>16</v>
      </c>
      <c r="UH21" s="526">
        <v>196</v>
      </c>
      <c r="UI21" s="593"/>
      <c r="UJ21" s="593"/>
      <c r="UK21" s="527"/>
      <c r="UL21" s="22">
        <v>193.6</v>
      </c>
      <c r="UM21" s="526">
        <v>240</v>
      </c>
      <c r="UN21" s="593"/>
      <c r="UO21" s="593"/>
      <c r="UP21" s="527"/>
      <c r="UQ21" s="22">
        <v>233.6</v>
      </c>
      <c r="UR21" s="526">
        <v>187</v>
      </c>
      <c r="US21" s="593"/>
      <c r="UT21" s="593"/>
      <c r="UU21" s="527"/>
      <c r="UV21" s="22">
        <v>191.6</v>
      </c>
      <c r="UW21" s="526">
        <v>196</v>
      </c>
      <c r="UX21" s="593"/>
      <c r="UY21" s="593"/>
      <c r="UZ21" s="527"/>
      <c r="VA21" s="22">
        <v>190.4</v>
      </c>
      <c r="VB21" s="492"/>
      <c r="VC21" s="23"/>
      <c r="VD21" s="457" t="s">
        <v>68</v>
      </c>
      <c r="VE21" s="459"/>
      <c r="VF21" s="459"/>
      <c r="VG21" s="397" t="s">
        <v>16</v>
      </c>
      <c r="VH21" s="526">
        <v>240</v>
      </c>
      <c r="VI21" s="593"/>
      <c r="VJ21" s="593"/>
      <c r="VK21" s="527"/>
      <c r="VL21" s="22">
        <v>235.9</v>
      </c>
      <c r="VM21" s="526">
        <v>240</v>
      </c>
      <c r="VN21" s="593"/>
      <c r="VO21" s="593"/>
      <c r="VP21" s="527"/>
      <c r="VQ21" s="22">
        <v>235.6</v>
      </c>
      <c r="VR21" s="526">
        <v>240</v>
      </c>
      <c r="VS21" s="593"/>
      <c r="VT21" s="593"/>
      <c r="VU21" s="527"/>
      <c r="VV21" s="22">
        <v>233.6</v>
      </c>
      <c r="VW21" s="526">
        <v>240</v>
      </c>
      <c r="VX21" s="593"/>
      <c r="VY21" s="593"/>
      <c r="VZ21" s="527"/>
      <c r="WA21" s="22">
        <v>238.8</v>
      </c>
      <c r="WB21" s="492"/>
      <c r="WC21" s="23"/>
      <c r="WD21" s="457" t="s">
        <v>68</v>
      </c>
      <c r="WE21" s="459"/>
      <c r="WF21" s="459"/>
      <c r="WG21" s="397" t="s">
        <v>16</v>
      </c>
      <c r="WH21" s="526">
        <v>196</v>
      </c>
      <c r="WI21" s="593"/>
      <c r="WJ21" s="593"/>
      <c r="WK21" s="527"/>
      <c r="WL21" s="22">
        <v>193.2</v>
      </c>
      <c r="WM21" s="526">
        <v>196</v>
      </c>
      <c r="WN21" s="593"/>
      <c r="WO21" s="593"/>
      <c r="WP21" s="527"/>
      <c r="WQ21" s="22">
        <v>196</v>
      </c>
      <c r="WR21" s="526">
        <v>240</v>
      </c>
      <c r="WS21" s="593"/>
      <c r="WT21" s="593"/>
      <c r="WU21" s="527"/>
      <c r="WV21" s="22">
        <v>239</v>
      </c>
      <c r="WW21" s="526">
        <v>240</v>
      </c>
      <c r="WX21" s="593"/>
      <c r="WY21" s="593"/>
      <c r="WZ21" s="527"/>
      <c r="XA21" s="22">
        <v>236.4</v>
      </c>
      <c r="XB21" s="492"/>
      <c r="XC21" s="23"/>
      <c r="XD21" s="457" t="s">
        <v>68</v>
      </c>
      <c r="XE21" s="459"/>
      <c r="XF21" s="459"/>
      <c r="XG21" s="397" t="s">
        <v>16</v>
      </c>
      <c r="XH21" s="526">
        <v>240</v>
      </c>
      <c r="XI21" s="593"/>
      <c r="XJ21" s="593"/>
      <c r="XK21" s="527"/>
      <c r="XL21" s="22">
        <v>240</v>
      </c>
      <c r="XM21" s="526">
        <v>240</v>
      </c>
      <c r="XN21" s="593"/>
      <c r="XO21" s="593"/>
      <c r="XP21" s="527"/>
      <c r="XQ21" s="22">
        <v>240</v>
      </c>
      <c r="XR21" s="526">
        <v>196</v>
      </c>
      <c r="XS21" s="593"/>
      <c r="XT21" s="593"/>
      <c r="XU21" s="527"/>
      <c r="XV21" s="22">
        <v>195</v>
      </c>
      <c r="XW21" s="526">
        <v>196</v>
      </c>
      <c r="XX21" s="593"/>
      <c r="XY21" s="593"/>
      <c r="XZ21" s="527"/>
      <c r="YA21" s="22">
        <v>187</v>
      </c>
      <c r="YB21" s="492"/>
      <c r="YC21" s="23"/>
      <c r="YD21" s="457" t="s">
        <v>68</v>
      </c>
      <c r="YE21" s="459"/>
      <c r="YF21" s="459"/>
      <c r="YG21" s="397" t="s">
        <v>16</v>
      </c>
      <c r="YH21" s="526">
        <v>246</v>
      </c>
      <c r="YI21" s="593"/>
      <c r="YJ21" s="593"/>
      <c r="YK21" s="527"/>
      <c r="YL21" s="22">
        <v>237.6</v>
      </c>
      <c r="YM21" s="526">
        <v>246</v>
      </c>
      <c r="YN21" s="593"/>
      <c r="YO21" s="593"/>
      <c r="YP21" s="527"/>
      <c r="YQ21" s="22">
        <v>244.8</v>
      </c>
      <c r="YR21" s="526">
        <v>201</v>
      </c>
      <c r="YS21" s="593"/>
      <c r="YT21" s="593"/>
      <c r="YU21" s="527"/>
      <c r="YV21" s="22">
        <v>197.6</v>
      </c>
      <c r="YW21" s="526">
        <v>246</v>
      </c>
      <c r="YX21" s="593"/>
      <c r="YY21" s="593"/>
      <c r="YZ21" s="527"/>
      <c r="ZA21" s="22">
        <v>246</v>
      </c>
      <c r="ZB21" s="492"/>
      <c r="ZC21" s="23"/>
      <c r="ZD21" s="457" t="s">
        <v>68</v>
      </c>
      <c r="ZE21" s="459"/>
      <c r="ZF21" s="459"/>
      <c r="ZG21" s="397" t="s">
        <v>16</v>
      </c>
      <c r="ZH21" s="526">
        <v>246</v>
      </c>
      <c r="ZI21" s="593"/>
      <c r="ZJ21" s="593"/>
      <c r="ZK21" s="527"/>
      <c r="ZL21" s="22">
        <v>245.20000000000002</v>
      </c>
      <c r="ZM21" s="526">
        <v>201</v>
      </c>
      <c r="ZN21" s="593"/>
      <c r="ZO21" s="593"/>
      <c r="ZP21" s="527"/>
      <c r="ZQ21" s="22">
        <v>201</v>
      </c>
      <c r="ZR21" s="526">
        <v>201</v>
      </c>
      <c r="ZS21" s="593"/>
      <c r="ZT21" s="593"/>
      <c r="ZU21" s="527"/>
      <c r="ZV21" s="22">
        <v>192</v>
      </c>
      <c r="ZW21" s="526">
        <v>201</v>
      </c>
      <c r="ZX21" s="593"/>
      <c r="ZY21" s="593"/>
      <c r="ZZ21" s="527"/>
      <c r="AAA21" s="22">
        <v>197.6</v>
      </c>
      <c r="AAB21" s="492"/>
      <c r="AAC21" s="23"/>
      <c r="AAD21" s="457" t="s">
        <v>68</v>
      </c>
      <c r="AAE21" s="459"/>
      <c r="AAF21" s="459"/>
      <c r="AAG21" s="397" t="s">
        <v>16</v>
      </c>
      <c r="AAH21" s="526">
        <f>246</f>
        <v>246</v>
      </c>
      <c r="AAI21" s="593"/>
      <c r="AAJ21" s="593"/>
      <c r="AAK21" s="527"/>
      <c r="AAL21" s="22">
        <v>246</v>
      </c>
      <c r="AAM21" s="526">
        <f>257</f>
        <v>257</v>
      </c>
      <c r="AAN21" s="593"/>
      <c r="AAO21" s="593"/>
      <c r="AAP21" s="527"/>
      <c r="AAQ21" s="22">
        <v>257</v>
      </c>
      <c r="AAR21" s="526">
        <v>257</v>
      </c>
      <c r="AAS21" s="593"/>
      <c r="AAT21" s="593"/>
      <c r="AAU21" s="527"/>
      <c r="AAV21" s="22">
        <v>257</v>
      </c>
      <c r="AAW21" s="526">
        <v>257</v>
      </c>
      <c r="AAX21" s="593"/>
      <c r="AAY21" s="593"/>
      <c r="AAZ21" s="527"/>
      <c r="ABA21" s="22">
        <v>254.8</v>
      </c>
      <c r="ABB21" s="492"/>
      <c r="ABC21" s="23"/>
      <c r="ABD21" s="457" t="s">
        <v>68</v>
      </c>
      <c r="ABE21" s="459"/>
      <c r="ABF21" s="459"/>
      <c r="ABG21" s="397" t="s">
        <v>16</v>
      </c>
      <c r="ABH21" s="526">
        <v>257</v>
      </c>
      <c r="ABI21" s="593"/>
      <c r="ABJ21" s="593"/>
      <c r="ABK21" s="527"/>
      <c r="ABL21" s="22">
        <v>254.4</v>
      </c>
      <c r="ABM21" s="526">
        <v>207</v>
      </c>
      <c r="ABN21" s="593"/>
      <c r="ABO21" s="593"/>
      <c r="ABP21" s="527"/>
      <c r="ABQ21" s="22">
        <v>207</v>
      </c>
      <c r="ABR21" s="526">
        <v>207</v>
      </c>
      <c r="ABS21" s="593"/>
      <c r="ABT21" s="593"/>
      <c r="ABU21" s="527"/>
      <c r="ABV21" s="22">
        <v>199.6</v>
      </c>
      <c r="ABW21" s="526">
        <v>207</v>
      </c>
      <c r="ABX21" s="593"/>
      <c r="ABY21" s="593"/>
      <c r="ABZ21" s="527"/>
      <c r="ACA21" s="22">
        <v>207</v>
      </c>
      <c r="ACB21" s="492"/>
      <c r="ACC21" s="23"/>
      <c r="ACD21" s="457" t="s">
        <v>68</v>
      </c>
      <c r="ACE21" s="459"/>
      <c r="ACF21" s="459"/>
      <c r="ACG21" s="397" t="s">
        <v>16</v>
      </c>
      <c r="ACH21" s="526">
        <v>207</v>
      </c>
      <c r="ACI21" s="593"/>
      <c r="ACJ21" s="593"/>
      <c r="ACK21" s="527"/>
      <c r="ACL21" s="22">
        <v>205</v>
      </c>
      <c r="ACM21" s="595">
        <v>257</v>
      </c>
      <c r="ACN21" s="596"/>
      <c r="ACO21" s="596"/>
      <c r="ACP21" s="597"/>
      <c r="ACQ21" s="22">
        <v>257</v>
      </c>
      <c r="ACR21" s="526">
        <f>212</f>
        <v>212</v>
      </c>
      <c r="ACS21" s="593"/>
      <c r="ACT21" s="593"/>
      <c r="ACU21" s="527"/>
      <c r="ACV21" s="22">
        <v>212</v>
      </c>
      <c r="ACW21" s="595">
        <v>212</v>
      </c>
      <c r="ACX21" s="596"/>
      <c r="ACY21" s="596"/>
      <c r="ACZ21" s="597"/>
      <c r="ADA21" s="22">
        <v>211.60000000000002</v>
      </c>
      <c r="ADB21" s="492"/>
      <c r="ADC21" s="23"/>
      <c r="ADD21" s="457" t="s">
        <v>68</v>
      </c>
      <c r="ADE21" s="459"/>
      <c r="ADF21" s="459"/>
      <c r="ADG21" s="397" t="s">
        <v>16</v>
      </c>
      <c r="ADH21" s="595">
        <v>262</v>
      </c>
      <c r="ADI21" s="596"/>
      <c r="ADJ21" s="596"/>
      <c r="ADK21" s="597"/>
      <c r="ADL21" s="22">
        <v>262</v>
      </c>
      <c r="ADM21" s="595">
        <v>262</v>
      </c>
      <c r="ADN21" s="596"/>
      <c r="ADO21" s="596"/>
      <c r="ADP21" s="597"/>
      <c r="ADQ21" s="22">
        <v>262</v>
      </c>
      <c r="ADR21" s="595">
        <v>262</v>
      </c>
      <c r="ADS21" s="596"/>
      <c r="ADT21" s="596"/>
      <c r="ADU21" s="597"/>
      <c r="ADV21" s="22">
        <v>260</v>
      </c>
      <c r="ADW21" s="526">
        <v>212</v>
      </c>
      <c r="ADX21" s="593"/>
      <c r="ADY21" s="593"/>
      <c r="ADZ21" s="527"/>
      <c r="AEA21" s="22">
        <v>212</v>
      </c>
      <c r="AEB21" s="492"/>
      <c r="AEC21" s="23"/>
      <c r="AED21" s="457" t="s">
        <v>68</v>
      </c>
      <c r="AEE21" s="459"/>
      <c r="AEF21" s="459"/>
      <c r="AEG21" s="397" t="s">
        <v>16</v>
      </c>
      <c r="AEH21" s="595">
        <v>212</v>
      </c>
      <c r="AEI21" s="596"/>
      <c r="AEJ21" s="596"/>
      <c r="AEK21" s="597"/>
      <c r="AEL21" s="22">
        <v>210</v>
      </c>
      <c r="AEM21" s="595">
        <v>262</v>
      </c>
      <c r="AEN21" s="596"/>
      <c r="AEO21" s="596"/>
      <c r="AEP21" s="597"/>
      <c r="AEQ21" s="22"/>
      <c r="AER21" s="22">
        <v>262</v>
      </c>
      <c r="AES21" s="595">
        <v>262</v>
      </c>
      <c r="AET21" s="596"/>
      <c r="AEU21" s="596"/>
      <c r="AEV21" s="597"/>
      <c r="AEW21" s="22">
        <v>262</v>
      </c>
      <c r="AEX21" s="501">
        <v>212</v>
      </c>
      <c r="AEY21" s="502"/>
      <c r="AEZ21" s="502"/>
      <c r="AFA21" s="503"/>
      <c r="AFB21" s="22">
        <v>212</v>
      </c>
      <c r="AFC21" s="492"/>
      <c r="AFD21" s="23"/>
      <c r="AFE21" s="457" t="s">
        <v>68</v>
      </c>
      <c r="AFF21" s="459"/>
      <c r="AFG21" s="459"/>
      <c r="AFH21" s="397" t="s">
        <v>16</v>
      </c>
      <c r="AFI21" s="501">
        <v>190</v>
      </c>
      <c r="AFJ21" s="502"/>
      <c r="AFK21" s="502"/>
      <c r="AFL21" s="503"/>
      <c r="AFM21" s="22">
        <v>185.6</v>
      </c>
      <c r="AFN21" s="595">
        <v>187</v>
      </c>
      <c r="AFO21" s="596"/>
      <c r="AFP21" s="596"/>
      <c r="AFQ21" s="597"/>
      <c r="AFR21" s="22">
        <v>184.4</v>
      </c>
      <c r="AFS21" s="595">
        <v>190</v>
      </c>
      <c r="AFT21" s="596"/>
      <c r="AFU21" s="596"/>
      <c r="AFV21" s="597"/>
      <c r="AFW21" s="22">
        <v>187</v>
      </c>
      <c r="AFX21" s="595">
        <v>190</v>
      </c>
      <c r="AFY21" s="596"/>
      <c r="AFZ21" s="596"/>
      <c r="AGA21" s="597"/>
      <c r="AGB21" s="22">
        <v>185</v>
      </c>
      <c r="AGC21" s="492"/>
      <c r="AGD21" s="23"/>
      <c r="AGE21" s="457" t="s">
        <v>68</v>
      </c>
      <c r="AGF21" s="459"/>
      <c r="AGG21" s="459"/>
      <c r="AGH21" s="397" t="s">
        <v>16</v>
      </c>
      <c r="AGI21" s="595">
        <v>190</v>
      </c>
      <c r="AGJ21" s="596"/>
      <c r="AGK21" s="596"/>
      <c r="AGL21" s="597"/>
      <c r="AGM21" s="22">
        <v>181.6</v>
      </c>
      <c r="AGN21" s="595">
        <v>224</v>
      </c>
      <c r="AGO21" s="596"/>
      <c r="AGP21" s="596"/>
      <c r="AGQ21" s="597"/>
      <c r="AGR21" s="22">
        <v>222.4</v>
      </c>
      <c r="AGS21" s="595">
        <v>285</v>
      </c>
      <c r="AGT21" s="596"/>
      <c r="AGU21" s="596"/>
      <c r="AGV21" s="597"/>
      <c r="AGW21" s="22">
        <v>285</v>
      </c>
      <c r="AGX21" s="501">
        <v>224</v>
      </c>
      <c r="AGY21" s="502"/>
      <c r="AGZ21" s="502"/>
      <c r="AHA21" s="503"/>
      <c r="AHB21" s="22">
        <v>221.20000000000002</v>
      </c>
      <c r="AHC21" s="492"/>
      <c r="AHD21" s="23"/>
      <c r="AHE21" s="457" t="s">
        <v>68</v>
      </c>
      <c r="AHF21" s="459"/>
      <c r="AHG21" s="459"/>
      <c r="AHH21" s="397" t="s">
        <v>16</v>
      </c>
      <c r="AHI21" s="501">
        <v>224</v>
      </c>
      <c r="AHJ21" s="502"/>
      <c r="AHK21" s="502"/>
      <c r="AHL21" s="503"/>
      <c r="AHM21" s="22">
        <v>220.8</v>
      </c>
      <c r="AHN21" s="501">
        <v>224</v>
      </c>
      <c r="AHO21" s="502"/>
      <c r="AHP21" s="502"/>
      <c r="AHQ21" s="503"/>
      <c r="AHR21" s="22">
        <v>224</v>
      </c>
      <c r="AHS21" s="501">
        <v>224</v>
      </c>
      <c r="AHT21" s="502"/>
      <c r="AHU21" s="502"/>
      <c r="AHV21" s="503"/>
      <c r="AHW21" s="22">
        <v>224</v>
      </c>
      <c r="AHX21" s="501">
        <f>276</f>
        <v>276</v>
      </c>
      <c r="AHY21" s="502"/>
      <c r="AHZ21" s="502"/>
      <c r="AIA21" s="503"/>
      <c r="AIB21" s="22">
        <v>271.60000000000002</v>
      </c>
      <c r="AIC21" s="492"/>
      <c r="AID21" s="23"/>
      <c r="AIE21" s="457" t="s">
        <v>68</v>
      </c>
      <c r="AIF21" s="459"/>
      <c r="AIG21" s="459"/>
      <c r="AIH21" s="397" t="s">
        <v>16</v>
      </c>
      <c r="AII21" s="501">
        <v>271</v>
      </c>
      <c r="AIJ21" s="502"/>
      <c r="AIK21" s="502"/>
      <c r="AIL21" s="503"/>
      <c r="AIM21" s="22">
        <v>269.2</v>
      </c>
      <c r="AIN21" s="501">
        <v>227</v>
      </c>
      <c r="AIO21" s="502"/>
      <c r="AIP21" s="502"/>
      <c r="AIQ21" s="503"/>
      <c r="AIR21" s="22">
        <v>224.8</v>
      </c>
      <c r="AIS21" s="501">
        <v>223</v>
      </c>
      <c r="AIT21" s="502"/>
      <c r="AIU21" s="502"/>
      <c r="AIV21" s="503"/>
      <c r="AIW21" s="22">
        <v>220.8</v>
      </c>
      <c r="AIX21" s="501">
        <v>221</v>
      </c>
      <c r="AIY21" s="502"/>
      <c r="AIZ21" s="502"/>
      <c r="AJA21" s="503"/>
      <c r="AJB21" s="22">
        <v>219.60000000000002</v>
      </c>
      <c r="AJC21" s="492"/>
      <c r="AJD21" s="23"/>
      <c r="AJE21" s="457" t="s">
        <v>68</v>
      </c>
      <c r="AJF21" s="459"/>
      <c r="AJG21" s="459"/>
      <c r="AJH21" s="397" t="s">
        <v>16</v>
      </c>
      <c r="AJI21" s="501">
        <v>271</v>
      </c>
      <c r="AJJ21" s="502"/>
      <c r="AJK21" s="502"/>
      <c r="AJL21" s="503"/>
      <c r="AJM21" s="22">
        <v>271</v>
      </c>
      <c r="AJN21" s="501">
        <v>221</v>
      </c>
      <c r="AJO21" s="502"/>
      <c r="AJP21" s="502"/>
      <c r="AJQ21" s="503"/>
      <c r="AJR21" s="22">
        <v>221</v>
      </c>
      <c r="AJS21" s="501">
        <v>228</v>
      </c>
      <c r="AJT21" s="502"/>
      <c r="AJU21" s="502"/>
      <c r="AJV21" s="503"/>
      <c r="AJW21" s="22">
        <v>223.20000000000002</v>
      </c>
      <c r="AJX21" s="501">
        <v>228</v>
      </c>
      <c r="AJY21" s="502"/>
      <c r="AJZ21" s="502"/>
      <c r="AKA21" s="503"/>
      <c r="AKB21" s="410">
        <v>224.8</v>
      </c>
      <c r="AKC21" s="492"/>
      <c r="AKD21" s="23"/>
      <c r="AKE21" s="457" t="s">
        <v>68</v>
      </c>
      <c r="AKF21" s="459"/>
      <c r="AKG21" s="459"/>
      <c r="AKH21" s="397" t="s">
        <v>16</v>
      </c>
      <c r="AKI21" s="501">
        <v>271</v>
      </c>
      <c r="AKJ21" s="502"/>
      <c r="AKK21" s="502"/>
      <c r="AKL21" s="503"/>
      <c r="AKM21" s="22">
        <v>260</v>
      </c>
      <c r="AKN21" s="501">
        <v>265</v>
      </c>
      <c r="AKO21" s="502"/>
      <c r="AKP21" s="502"/>
      <c r="AKQ21" s="503"/>
      <c r="AKR21" s="22">
        <v>258.39999999999998</v>
      </c>
      <c r="AKS21" s="501">
        <v>260</v>
      </c>
      <c r="AKT21" s="502"/>
      <c r="AKU21" s="502"/>
      <c r="AKV21" s="503"/>
      <c r="AKW21" s="22">
        <v>258.39999999999998</v>
      </c>
      <c r="AKX21" s="501">
        <v>214</v>
      </c>
      <c r="AKY21" s="502"/>
      <c r="AKZ21" s="502"/>
      <c r="ALA21" s="503"/>
      <c r="ALB21" s="22">
        <v>212.8</v>
      </c>
      <c r="ALC21" s="492"/>
      <c r="ALD21" s="23"/>
      <c r="ALE21" s="457" t="s">
        <v>68</v>
      </c>
      <c r="ALF21" s="459"/>
      <c r="ALG21" s="459"/>
      <c r="ALH21" s="397" t="s">
        <v>16</v>
      </c>
      <c r="ALI21" s="501">
        <v>213</v>
      </c>
      <c r="ALJ21" s="502"/>
      <c r="ALK21" s="502"/>
      <c r="ALL21" s="503"/>
      <c r="ALM21" s="22">
        <v>212.8</v>
      </c>
      <c r="ALN21" s="501">
        <f>260</f>
        <v>260</v>
      </c>
      <c r="ALO21" s="502"/>
      <c r="ALP21" s="502"/>
      <c r="ALQ21" s="503"/>
      <c r="ALR21" s="22">
        <v>258</v>
      </c>
      <c r="ALS21" s="501">
        <v>260</v>
      </c>
      <c r="ALT21" s="502"/>
      <c r="ALU21" s="502"/>
      <c r="ALV21" s="503"/>
      <c r="ALW21" s="22">
        <v>260</v>
      </c>
      <c r="ALX21" s="501">
        <v>260</v>
      </c>
      <c r="ALY21" s="502"/>
      <c r="ALZ21" s="502"/>
      <c r="AMA21" s="503"/>
      <c r="AMB21" s="22">
        <v>260</v>
      </c>
      <c r="AMC21" s="492"/>
      <c r="AMD21" s="23"/>
      <c r="AME21" s="457" t="s">
        <v>68</v>
      </c>
      <c r="AMF21" s="459"/>
      <c r="AMG21" s="459"/>
      <c r="AMH21" s="397" t="s">
        <v>16</v>
      </c>
      <c r="AMI21" s="501">
        <v>260</v>
      </c>
      <c r="AMJ21" s="502"/>
      <c r="AMK21" s="502"/>
      <c r="AML21" s="503"/>
      <c r="AMM21" s="22">
        <v>254</v>
      </c>
      <c r="AMN21" s="501">
        <v>215</v>
      </c>
      <c r="AMO21" s="502"/>
      <c r="AMP21" s="502"/>
      <c r="AMQ21" s="503"/>
      <c r="AMR21" s="22">
        <v>212.8</v>
      </c>
      <c r="AMS21" s="22"/>
      <c r="AMT21" s="501">
        <v>260</v>
      </c>
      <c r="AMU21" s="502"/>
      <c r="AMV21" s="502"/>
      <c r="AMW21" s="503"/>
      <c r="AMX21" s="22">
        <v>253.6</v>
      </c>
      <c r="AMY21" s="501">
        <v>248</v>
      </c>
      <c r="AMZ21" s="502"/>
      <c r="ANA21" s="502"/>
      <c r="ANB21" s="503"/>
      <c r="ANC21" s="22">
        <v>247</v>
      </c>
      <c r="AND21" s="492"/>
      <c r="ANE21" s="23"/>
      <c r="ANF21" s="457" t="s">
        <v>68</v>
      </c>
      <c r="ANG21" s="459"/>
      <c r="ANH21" s="459"/>
      <c r="ANI21" s="397" t="s">
        <v>16</v>
      </c>
      <c r="ANJ21" s="501">
        <v>248</v>
      </c>
      <c r="ANK21" s="502"/>
      <c r="ANL21" s="502"/>
      <c r="ANM21" s="503"/>
      <c r="ANN21" s="22">
        <v>242.8</v>
      </c>
      <c r="ANO21" s="501">
        <v>207</v>
      </c>
      <c r="ANP21" s="502"/>
      <c r="ANQ21" s="502"/>
      <c r="ANR21" s="503"/>
      <c r="ANS21" s="22">
        <v>198.4</v>
      </c>
      <c r="ANT21" s="22"/>
      <c r="ANU21" s="501">
        <v>248</v>
      </c>
      <c r="ANV21" s="502"/>
      <c r="ANW21" s="502"/>
      <c r="ANX21" s="503"/>
      <c r="ANY21" s="22">
        <v>248</v>
      </c>
      <c r="ANZ21" s="501">
        <v>248</v>
      </c>
      <c r="AOA21" s="502"/>
      <c r="AOB21" s="502"/>
      <c r="AOC21" s="503"/>
      <c r="AOD21" s="22">
        <v>255.2</v>
      </c>
      <c r="AOE21" s="492"/>
      <c r="AOF21" s="23"/>
      <c r="AOG21" s="457" t="s">
        <v>68</v>
      </c>
      <c r="AOH21" s="459"/>
      <c r="AOI21" s="459"/>
      <c r="AOJ21" s="397" t="s">
        <v>16</v>
      </c>
      <c r="AOK21" s="501">
        <v>204</v>
      </c>
      <c r="AOL21" s="502"/>
      <c r="AOM21" s="502"/>
      <c r="AON21" s="503"/>
      <c r="AOO21" s="22">
        <v>197</v>
      </c>
      <c r="AOP21" s="501">
        <f>248</f>
        <v>248</v>
      </c>
      <c r="AOQ21" s="502"/>
      <c r="AOR21" s="502"/>
      <c r="AOS21" s="503"/>
      <c r="AOT21" s="22">
        <v>246.8</v>
      </c>
      <c r="AOU21" s="22"/>
      <c r="AOV21" s="501">
        <v>248</v>
      </c>
      <c r="AOW21" s="502"/>
      <c r="AOX21" s="502"/>
      <c r="AOY21" s="503"/>
      <c r="AOZ21" s="22">
        <v>245.6</v>
      </c>
      <c r="APA21" s="501"/>
      <c r="APB21" s="502"/>
      <c r="APC21" s="502"/>
      <c r="APD21" s="503"/>
      <c r="APE21" s="22"/>
    </row>
    <row r="22" spans="1:1097" ht="45" customHeight="1" x14ac:dyDescent="0.4">
      <c r="A22" s="492"/>
      <c r="B22" s="528" t="s">
        <v>18</v>
      </c>
      <c r="C22" s="466"/>
      <c r="D22" s="466"/>
      <c r="E22" s="466"/>
      <c r="F22" s="467"/>
      <c r="G22" s="526">
        <f>SUM(G19:J21)</f>
        <v>1270.7</v>
      </c>
      <c r="H22" s="593"/>
      <c r="I22" s="593"/>
      <c r="J22" s="527"/>
      <c r="K22" s="22">
        <f>IF(K19="","",K19+K20+K21)</f>
        <v>1242.2</v>
      </c>
      <c r="L22" s="526">
        <f>SUM(L19:O21)</f>
        <v>1250.7</v>
      </c>
      <c r="M22" s="593"/>
      <c r="N22" s="593"/>
      <c r="O22" s="527"/>
      <c r="P22" s="22">
        <f>IF(P19="","",P19+P20+P21)</f>
        <v>1190.2</v>
      </c>
      <c r="Q22" s="526">
        <f>SUM(Q19:T21)</f>
        <v>1183.7</v>
      </c>
      <c r="R22" s="593"/>
      <c r="S22" s="593"/>
      <c r="T22" s="527"/>
      <c r="U22" s="22">
        <f>IF(U19="","",U19+U20+U21)</f>
        <v>1142</v>
      </c>
      <c r="V22" s="526">
        <f>SUM(V19:Y21)</f>
        <v>1250</v>
      </c>
      <c r="W22" s="593"/>
      <c r="X22" s="593"/>
      <c r="Y22" s="527"/>
      <c r="Z22" s="22">
        <f>IF(Z19="","",Z19+Z20+Z21)</f>
        <v>1205.4000000000001</v>
      </c>
      <c r="AA22" s="492"/>
      <c r="AB22" s="528" t="s">
        <v>18</v>
      </c>
      <c r="AC22" s="466"/>
      <c r="AD22" s="466"/>
      <c r="AE22" s="466"/>
      <c r="AF22" s="467"/>
      <c r="AG22" s="526">
        <f>SUM(AG19:AJ21)</f>
        <v>1257.5999999999999</v>
      </c>
      <c r="AH22" s="593"/>
      <c r="AI22" s="593"/>
      <c r="AJ22" s="527"/>
      <c r="AK22" s="22">
        <f>IF(AK19="","",AK19+AK20+AK21)</f>
        <v>1219.8</v>
      </c>
      <c r="AL22" s="526">
        <f>SUM(AL19:AO21)</f>
        <v>1249.7</v>
      </c>
      <c r="AM22" s="593"/>
      <c r="AN22" s="593"/>
      <c r="AO22" s="527"/>
      <c r="AP22" s="22">
        <f>IF(AP19="","",AP19+AP20+AP21)</f>
        <v>1249</v>
      </c>
      <c r="AQ22" s="526">
        <f>SUM(AQ19:AT21)</f>
        <v>1271.7</v>
      </c>
      <c r="AR22" s="593"/>
      <c r="AS22" s="593"/>
      <c r="AT22" s="527"/>
      <c r="AU22" s="22">
        <f>IF(AU19="","",AU19+AU20+AU21)</f>
        <v>1208.8000000000002</v>
      </c>
      <c r="AV22" s="526">
        <f>SUM(AV19:AY21)</f>
        <v>1291.7</v>
      </c>
      <c r="AW22" s="593"/>
      <c r="AX22" s="593"/>
      <c r="AY22" s="527"/>
      <c r="AZ22" s="22">
        <f>IF(AZ19="","",AZ19+AZ20+AZ21)</f>
        <v>1240.2</v>
      </c>
      <c r="BA22" s="492"/>
      <c r="BB22" s="528" t="s">
        <v>18</v>
      </c>
      <c r="BC22" s="466"/>
      <c r="BD22" s="466"/>
      <c r="BE22" s="466"/>
      <c r="BF22" s="467"/>
      <c r="BG22" s="526">
        <f>SUM(BG19:BJ21)</f>
        <v>1184.2</v>
      </c>
      <c r="BH22" s="593"/>
      <c r="BI22" s="593"/>
      <c r="BJ22" s="527"/>
      <c r="BK22" s="22">
        <f>IF(BK19="","",BK19+BK20+BK21)</f>
        <v>1191.5999999999999</v>
      </c>
      <c r="BL22" s="526">
        <f>SUM(BL19:BO21)</f>
        <v>1142.2</v>
      </c>
      <c r="BM22" s="593"/>
      <c r="BN22" s="593"/>
      <c r="BO22" s="527"/>
      <c r="BP22" s="22">
        <f>IF(BP19="","",BP19+BP20+BP21)</f>
        <v>1114</v>
      </c>
      <c r="BQ22" s="526">
        <f>SUM(BQ19:BT21)</f>
        <v>1216.1646000000001</v>
      </c>
      <c r="BR22" s="593"/>
      <c r="BS22" s="593"/>
      <c r="BT22" s="527"/>
      <c r="BU22" s="22">
        <f>IF(BU19="","",BU19+BU20+BU21)</f>
        <v>1117.8</v>
      </c>
      <c r="BV22" s="526">
        <f>SUM(BV19:BY21)</f>
        <v>1236.2</v>
      </c>
      <c r="BW22" s="593"/>
      <c r="BX22" s="593"/>
      <c r="BY22" s="527"/>
      <c r="BZ22" s="22">
        <f>IF(BZ19="","",BZ19+BZ20+BZ21)</f>
        <v>1227.4000000000001</v>
      </c>
      <c r="CA22" s="492"/>
      <c r="CB22" s="528" t="s">
        <v>18</v>
      </c>
      <c r="CC22" s="466"/>
      <c r="CD22" s="466"/>
      <c r="CE22" s="466"/>
      <c r="CF22" s="467"/>
      <c r="CG22" s="526">
        <f>SUM(CG19:CJ21)</f>
        <v>1272.2</v>
      </c>
      <c r="CH22" s="593"/>
      <c r="CI22" s="593"/>
      <c r="CJ22" s="527"/>
      <c r="CK22" s="22">
        <f>IF(CK19="","",CK19+CK20+CK21)</f>
        <v>1270</v>
      </c>
      <c r="CL22" s="526">
        <f>SUM(CL19:CO21)</f>
        <v>1302.2</v>
      </c>
      <c r="CM22" s="593"/>
      <c r="CN22" s="593"/>
      <c r="CO22" s="527"/>
      <c r="CP22" s="22">
        <f>IF(CP19="","",CP19+CP20+CP21)</f>
        <v>1082</v>
      </c>
      <c r="CQ22" s="526">
        <f>SUM(CQ19:CT21)</f>
        <v>1173.2</v>
      </c>
      <c r="CR22" s="593"/>
      <c r="CS22" s="593"/>
      <c r="CT22" s="527"/>
      <c r="CU22" s="22">
        <f>IF(CU19="","",CU19+CU20+CU21)</f>
        <v>1125.8</v>
      </c>
      <c r="CV22" s="526">
        <f>SUM(CV19:CY21)</f>
        <v>1094.2</v>
      </c>
      <c r="CW22" s="593"/>
      <c r="CX22" s="593"/>
      <c r="CY22" s="527"/>
      <c r="CZ22" s="22">
        <f>IF(CZ19="","",CZ19+CZ20+CZ21)</f>
        <v>1000.5999999999999</v>
      </c>
      <c r="DA22" s="492"/>
      <c r="DB22" s="528" t="s">
        <v>18</v>
      </c>
      <c r="DC22" s="466"/>
      <c r="DD22" s="466"/>
      <c r="DE22" s="466"/>
      <c r="DF22" s="467"/>
      <c r="DG22" s="526">
        <f>SUM(DG19:DJ21)</f>
        <v>1219.2</v>
      </c>
      <c r="DH22" s="593"/>
      <c r="DI22" s="593"/>
      <c r="DJ22" s="527"/>
      <c r="DK22" s="22">
        <f>IF(DK19="","",DK19+DK20+DK21)</f>
        <v>1246.4000000000001</v>
      </c>
      <c r="DL22" s="526">
        <f>SUM(DL19:DO21)</f>
        <v>1229.2</v>
      </c>
      <c r="DM22" s="593"/>
      <c r="DN22" s="593"/>
      <c r="DO22" s="527"/>
      <c r="DP22" s="22">
        <f>IF(DP19="","",DP19+DP20+DP21)</f>
        <v>1216.2</v>
      </c>
      <c r="DQ22" s="526">
        <f>SUM(DQ19:DT21)</f>
        <v>1269.2</v>
      </c>
      <c r="DR22" s="593"/>
      <c r="DS22" s="593"/>
      <c r="DT22" s="527"/>
      <c r="DU22" s="22">
        <f>IF(DU19="","",DU19+DU20+DU21)</f>
        <v>1266.6000000000001</v>
      </c>
      <c r="DV22" s="526">
        <f>SUM(DV19:DY21)</f>
        <v>1259.2</v>
      </c>
      <c r="DW22" s="593"/>
      <c r="DX22" s="593"/>
      <c r="DY22" s="527"/>
      <c r="DZ22" s="22">
        <f>IF(DZ19="","",DZ19+DZ20+DZ21)</f>
        <v>1313</v>
      </c>
      <c r="EA22" s="492"/>
      <c r="EB22" s="528" t="s">
        <v>18</v>
      </c>
      <c r="EC22" s="466"/>
      <c r="ED22" s="466"/>
      <c r="EE22" s="466"/>
      <c r="EF22" s="467"/>
      <c r="EG22" s="526">
        <f>SUM(EG19:EJ21)</f>
        <v>1284.2</v>
      </c>
      <c r="EH22" s="593"/>
      <c r="EI22" s="593"/>
      <c r="EJ22" s="527"/>
      <c r="EK22" s="22">
        <f>IF(EK19="","",EK19+EK20+EK21)</f>
        <v>1142.4000000000001</v>
      </c>
      <c r="EL22" s="526">
        <f>SUM(EL19:EO21)</f>
        <v>1162.2</v>
      </c>
      <c r="EM22" s="593"/>
      <c r="EN22" s="593"/>
      <c r="EO22" s="527"/>
      <c r="EP22" s="22">
        <f>IF(EP19="","",EP19+EP20+EP21)</f>
        <v>1184.7</v>
      </c>
      <c r="EQ22" s="526">
        <f>SUM(EQ19:ET21)</f>
        <v>1106.2</v>
      </c>
      <c r="ER22" s="593"/>
      <c r="ES22" s="593"/>
      <c r="ET22" s="527"/>
      <c r="EU22" s="22">
        <f>IF(EU19="","",EU19+EU20+EU21)</f>
        <v>1074</v>
      </c>
      <c r="EV22" s="526">
        <f>SUM(EV19:EY21)</f>
        <v>1247.2</v>
      </c>
      <c r="EW22" s="593"/>
      <c r="EX22" s="593"/>
      <c r="EY22" s="527"/>
      <c r="EZ22" s="22">
        <f>IF(EZ19="","",EZ19+EZ20+EZ21)</f>
        <v>1218</v>
      </c>
      <c r="FA22" s="492"/>
      <c r="FB22" s="528" t="s">
        <v>18</v>
      </c>
      <c r="FC22" s="466"/>
      <c r="FD22" s="466"/>
      <c r="FE22" s="466"/>
      <c r="FF22" s="467"/>
      <c r="FG22" s="526">
        <f>SUM(FG19:FJ21)</f>
        <v>1244.2</v>
      </c>
      <c r="FH22" s="593"/>
      <c r="FI22" s="593"/>
      <c r="FJ22" s="527"/>
      <c r="FK22" s="22">
        <v>1200</v>
      </c>
      <c r="FL22" s="526">
        <f>SUM(FL19:FO21)</f>
        <v>1235.2</v>
      </c>
      <c r="FM22" s="593"/>
      <c r="FN22" s="593"/>
      <c r="FO22" s="527"/>
      <c r="FP22" s="22">
        <f>SUM(FP19:FP21)</f>
        <v>1255.8</v>
      </c>
      <c r="FQ22" s="526">
        <f>SUM(FQ19:FT21)</f>
        <v>1186.2</v>
      </c>
      <c r="FR22" s="593"/>
      <c r="FS22" s="593"/>
      <c r="FT22" s="527"/>
      <c r="FU22" s="22">
        <f>SUM(FU19:FU21)</f>
        <v>1024.4000000000001</v>
      </c>
      <c r="FV22" s="526">
        <f>SUM(FV19:FY21)</f>
        <v>1128.2</v>
      </c>
      <c r="FW22" s="593"/>
      <c r="FX22" s="593"/>
      <c r="FY22" s="527"/>
      <c r="FZ22" s="22">
        <f>SUM(FZ19:FZ21)</f>
        <v>1006.4</v>
      </c>
      <c r="GA22" s="492"/>
      <c r="GB22" s="528" t="s">
        <v>18</v>
      </c>
      <c r="GC22" s="466"/>
      <c r="GD22" s="466"/>
      <c r="GE22" s="466"/>
      <c r="GF22" s="467"/>
      <c r="GG22" s="526">
        <f>SUM(GG19:GJ21)</f>
        <v>1116.2</v>
      </c>
      <c r="GH22" s="593"/>
      <c r="GI22" s="593"/>
      <c r="GJ22" s="527"/>
      <c r="GK22" s="22">
        <f>IF(GK19="","",GK19+GK20+GK21)</f>
        <v>1028.5999999999999</v>
      </c>
      <c r="GL22" s="526">
        <f>SUM(GL19:GO21)</f>
        <v>1104.3</v>
      </c>
      <c r="GM22" s="593"/>
      <c r="GN22" s="593"/>
      <c r="GO22" s="527"/>
      <c r="GP22" s="22">
        <f>IF(GP19="","",GP19+GP20+GP21)</f>
        <v>989.4</v>
      </c>
      <c r="GQ22" s="526">
        <f>SUM(GQ19:GT21)</f>
        <v>1157.2</v>
      </c>
      <c r="GR22" s="593"/>
      <c r="GS22" s="593"/>
      <c r="GT22" s="527"/>
      <c r="GU22" s="22">
        <f>IF(GU19="","",GU19+GU20+GU21)</f>
        <v>1124.2</v>
      </c>
      <c r="GV22" s="526">
        <f>SUM(GV19:GY21)</f>
        <v>1232.2</v>
      </c>
      <c r="GW22" s="593"/>
      <c r="GX22" s="593"/>
      <c r="GY22" s="527"/>
      <c r="GZ22" s="22">
        <f>IF(GZ19="","",GZ19+GZ20+GZ21)</f>
        <v>1187</v>
      </c>
      <c r="HA22" s="492"/>
      <c r="HB22" s="528" t="s">
        <v>18</v>
      </c>
      <c r="HC22" s="466"/>
      <c r="HD22" s="466"/>
      <c r="HE22" s="466"/>
      <c r="HF22" s="467"/>
      <c r="HG22" s="526">
        <f>SUM(HG19:HJ21)</f>
        <v>1155.2</v>
      </c>
      <c r="HH22" s="593"/>
      <c r="HI22" s="593"/>
      <c r="HJ22" s="527"/>
      <c r="HK22" s="22">
        <f>IF(HK19="","",HK19+HK20+HK21)</f>
        <v>900.6</v>
      </c>
      <c r="HL22" s="526">
        <f>SUM(HL19:HO21)</f>
        <v>1125.2</v>
      </c>
      <c r="HM22" s="593"/>
      <c r="HN22" s="593"/>
      <c r="HO22" s="527"/>
      <c r="HP22" s="22">
        <f>IF(HP19="","",HP19+HP20+HP21)</f>
        <v>1098</v>
      </c>
      <c r="HQ22" s="526">
        <f>SUM(HQ19:HT21)</f>
        <v>1248.2</v>
      </c>
      <c r="HR22" s="593"/>
      <c r="HS22" s="593"/>
      <c r="HT22" s="527"/>
      <c r="HU22" s="22">
        <f>SUM(HU19:HU21)</f>
        <v>1250.2</v>
      </c>
      <c r="HV22" s="526">
        <f>SUM(HV19:HY21)</f>
        <v>1266.2</v>
      </c>
      <c r="HW22" s="593"/>
      <c r="HX22" s="593"/>
      <c r="HY22" s="527"/>
      <c r="HZ22" s="22">
        <f>IF(HZ19="","",HZ19+HZ20+HZ21)</f>
        <v>992.4</v>
      </c>
      <c r="IA22" s="492"/>
      <c r="IB22" s="528" t="s">
        <v>18</v>
      </c>
      <c r="IC22" s="466"/>
      <c r="ID22" s="466"/>
      <c r="IE22" s="466"/>
      <c r="IF22" s="467"/>
      <c r="IG22" s="526">
        <f>SUM(IG19:IJ21)</f>
        <v>1316.2</v>
      </c>
      <c r="IH22" s="593"/>
      <c r="II22" s="593"/>
      <c r="IJ22" s="527"/>
      <c r="IK22" s="22">
        <f>IF(IK19="","",IK19+IK20+IK21)</f>
        <v>1185</v>
      </c>
      <c r="IL22" s="526">
        <f>SUM(IL19:IO21)</f>
        <v>1316.2</v>
      </c>
      <c r="IM22" s="593"/>
      <c r="IN22" s="593"/>
      <c r="IO22" s="527"/>
      <c r="IP22" s="22">
        <f>IF(IP19="","",IP19+IP20+IP21)-1</f>
        <v>1207.6000000000001</v>
      </c>
      <c r="IQ22" s="526">
        <f t="shared" ref="IQ22" si="5">SUM(IQ19:IT21)</f>
        <v>1250.2</v>
      </c>
      <c r="IR22" s="593"/>
      <c r="IS22" s="593"/>
      <c r="IT22" s="527"/>
      <c r="IU22" s="22">
        <f>SUM(IU19:IU21)</f>
        <v>1218</v>
      </c>
      <c r="IV22" s="526">
        <f t="shared" ref="IV22" si="6">SUM(IV19:IY21)</f>
        <v>1252.2</v>
      </c>
      <c r="IW22" s="593"/>
      <c r="IX22" s="593"/>
      <c r="IY22" s="527"/>
      <c r="IZ22" s="22">
        <f>IF(IZ19="","",IZ19+IZ20+IZ21)</f>
        <v>1040.8</v>
      </c>
      <c r="JA22" s="492"/>
      <c r="JB22" s="528" t="s">
        <v>18</v>
      </c>
      <c r="JC22" s="466"/>
      <c r="JD22" s="466"/>
      <c r="JE22" s="466"/>
      <c r="JF22" s="467"/>
      <c r="JG22" s="526">
        <f t="shared" ref="JG22" si="7">SUM(JG19:JJ21)</f>
        <v>1198.2</v>
      </c>
      <c r="JH22" s="593"/>
      <c r="JI22" s="593"/>
      <c r="JJ22" s="527"/>
      <c r="JK22" s="22">
        <f>IF(JK19="","",JK19+JK20+JK21)</f>
        <v>1110.4000000000001</v>
      </c>
      <c r="JL22" s="526">
        <f>SUM(JL19:JO21)</f>
        <v>1229.4000000000001</v>
      </c>
      <c r="JM22" s="593"/>
      <c r="JN22" s="593"/>
      <c r="JO22" s="527"/>
      <c r="JP22" s="22">
        <f>IF(JP19="","",JP19+JP20+JP21)+1</f>
        <v>1145.3999999999999</v>
      </c>
      <c r="JQ22" s="526">
        <f>SUM(JQ19:JT21)</f>
        <v>1343.2</v>
      </c>
      <c r="JR22" s="593"/>
      <c r="JS22" s="593"/>
      <c r="JT22" s="527"/>
      <c r="JU22" s="22">
        <f>IF(JU19="","",JU19+JU20+JU21)</f>
        <v>1347</v>
      </c>
      <c r="JV22" s="526">
        <f>SUM(JV19:JY21)</f>
        <v>1197.2</v>
      </c>
      <c r="JW22" s="593"/>
      <c r="JX22" s="593"/>
      <c r="JY22" s="527"/>
      <c r="JZ22" s="22">
        <f>IF(JZ19="","",JZ19+JZ20+JZ21)</f>
        <v>1188.4000000000001</v>
      </c>
      <c r="KA22" s="492"/>
      <c r="KB22" s="528" t="s">
        <v>18</v>
      </c>
      <c r="KC22" s="466"/>
      <c r="KD22" s="466"/>
      <c r="KE22" s="466"/>
      <c r="KF22" s="467"/>
      <c r="KG22" s="526">
        <f>SUM(KG19:KJ21)</f>
        <v>1221.2</v>
      </c>
      <c r="KH22" s="593"/>
      <c r="KI22" s="593"/>
      <c r="KJ22" s="527"/>
      <c r="KK22" s="22">
        <f>SUM(KK19:KK21)</f>
        <v>1226.2</v>
      </c>
      <c r="KL22" s="526">
        <f>SUM(KL19:KO21)</f>
        <v>1219.2</v>
      </c>
      <c r="KM22" s="593"/>
      <c r="KN22" s="593"/>
      <c r="KO22" s="527"/>
      <c r="KP22" s="22">
        <f>SUM(KP19:KP21)</f>
        <v>1164.5999999999999</v>
      </c>
      <c r="KQ22" s="526">
        <f>SUM(KQ19:KT21)</f>
        <v>1316.2</v>
      </c>
      <c r="KR22" s="593"/>
      <c r="KS22" s="593"/>
      <c r="KT22" s="527"/>
      <c r="KU22" s="22">
        <f>SUM(KU19:KU21)</f>
        <v>1343</v>
      </c>
      <c r="KV22" s="526">
        <f>SUM(KV19:KY21)</f>
        <v>1446.2</v>
      </c>
      <c r="KW22" s="593"/>
      <c r="KX22" s="593"/>
      <c r="KY22" s="527"/>
      <c r="KZ22" s="22">
        <f>IF(KZ19="","",KZ19+KZ20+KZ21)</f>
        <v>1430.4</v>
      </c>
      <c r="LA22" s="492"/>
      <c r="LB22" s="528" t="s">
        <v>18</v>
      </c>
      <c r="LC22" s="466"/>
      <c r="LD22" s="466"/>
      <c r="LE22" s="466"/>
      <c r="LF22" s="467"/>
      <c r="LG22" s="526">
        <f>SUM(LG19:LJ21)</f>
        <v>1224</v>
      </c>
      <c r="LH22" s="593"/>
      <c r="LI22" s="593"/>
      <c r="LJ22" s="527"/>
      <c r="LK22" s="22">
        <f>SUM(LK19:LK21)</f>
        <v>1107.5999999999999</v>
      </c>
      <c r="LL22" s="526">
        <f>SUM(LL19:LO21)</f>
        <v>1428</v>
      </c>
      <c r="LM22" s="593"/>
      <c r="LN22" s="593"/>
      <c r="LO22" s="527"/>
      <c r="LP22" s="22">
        <f>IF(LP19="","",LP19+LP20+LP21)</f>
        <v>1376.6</v>
      </c>
      <c r="LQ22" s="526">
        <f>SUM(LQ19:LT21)</f>
        <v>1471.9</v>
      </c>
      <c r="LR22" s="593"/>
      <c r="LS22" s="593"/>
      <c r="LT22" s="527"/>
      <c r="LU22" s="22">
        <f>IF(LU19="","",LU19+LU20+LU21)</f>
        <v>1496.2</v>
      </c>
      <c r="LV22" s="526">
        <f>SUM(LV19:LY21)</f>
        <v>1331</v>
      </c>
      <c r="LW22" s="593"/>
      <c r="LX22" s="593"/>
      <c r="LY22" s="527"/>
      <c r="LZ22" s="22">
        <f>IF(LZ19="","",LZ19+LZ20+LZ21)</f>
        <v>1201.5999999999999</v>
      </c>
      <c r="MA22" s="492"/>
      <c r="MB22" s="528" t="s">
        <v>18</v>
      </c>
      <c r="MC22" s="466"/>
      <c r="MD22" s="466"/>
      <c r="ME22" s="466"/>
      <c r="MF22" s="467"/>
      <c r="MG22" s="526">
        <f>SUM(MG19:MJ21)</f>
        <v>1418</v>
      </c>
      <c r="MH22" s="593"/>
      <c r="MI22" s="593"/>
      <c r="MJ22" s="527"/>
      <c r="MK22" s="22">
        <f>IF(MK19="","",MK19+MK20+MK21)</f>
        <v>1370.6</v>
      </c>
      <c r="ML22" s="526">
        <f>SUM(ML19:MO21)</f>
        <v>1360.2</v>
      </c>
      <c r="MM22" s="593"/>
      <c r="MN22" s="593"/>
      <c r="MO22" s="527"/>
      <c r="MP22" s="22">
        <f>SUM(MP19:MP21)</f>
        <v>1236.2</v>
      </c>
      <c r="MQ22" s="526">
        <f>SUM(MQ19:MT21)</f>
        <v>1540.2</v>
      </c>
      <c r="MR22" s="593"/>
      <c r="MS22" s="593"/>
      <c r="MT22" s="527"/>
      <c r="MU22" s="22">
        <f>SUM(MU19:MU21)</f>
        <v>1474.4</v>
      </c>
      <c r="MV22" s="526">
        <f>SUM(MV19:MY21)</f>
        <v>1564.2</v>
      </c>
      <c r="MW22" s="593"/>
      <c r="MX22" s="593"/>
      <c r="MY22" s="527"/>
      <c r="MZ22" s="22">
        <f>SUM(MZ19:MZ21)</f>
        <v>1285</v>
      </c>
      <c r="NA22" s="492"/>
      <c r="NB22" s="528" t="s">
        <v>18</v>
      </c>
      <c r="NC22" s="466"/>
      <c r="ND22" s="466"/>
      <c r="NE22" s="466"/>
      <c r="NF22" s="467"/>
      <c r="NG22" s="526">
        <f>SUM(NG19:NJ21)</f>
        <v>1527.2</v>
      </c>
      <c r="NH22" s="593"/>
      <c r="NI22" s="593"/>
      <c r="NJ22" s="527"/>
      <c r="NK22" s="22">
        <f>IF(NK19="","",NK19+NK20+NK21)</f>
        <v>1456</v>
      </c>
      <c r="NL22" s="526">
        <f>SUM(NL19:NO21)</f>
        <v>1552.2</v>
      </c>
      <c r="NM22" s="593"/>
      <c r="NN22" s="593"/>
      <c r="NO22" s="527"/>
      <c r="NP22" s="22">
        <f>SUM(NP19:NP21)</f>
        <v>1475.4</v>
      </c>
      <c r="NQ22" s="526">
        <f>SUM(NQ19:NT21)</f>
        <v>1350.2</v>
      </c>
      <c r="NR22" s="593"/>
      <c r="NS22" s="593"/>
      <c r="NT22" s="527"/>
      <c r="NU22" s="22">
        <f>SUM(NU19:NU21)</f>
        <v>1271.8</v>
      </c>
      <c r="NV22" s="526">
        <f>SUM(NV19:NY21)</f>
        <v>1562.2</v>
      </c>
      <c r="NW22" s="593"/>
      <c r="NX22" s="593"/>
      <c r="NY22" s="527"/>
      <c r="NZ22" s="22">
        <f>SUM(NZ19:NZ21)</f>
        <v>1592</v>
      </c>
      <c r="OA22" s="492"/>
      <c r="OB22" s="528" t="s">
        <v>18</v>
      </c>
      <c r="OC22" s="466"/>
      <c r="OD22" s="466"/>
      <c r="OE22" s="466"/>
      <c r="OF22" s="467"/>
      <c r="OG22" s="526">
        <f>SUM(OG19:OJ21)</f>
        <v>1367.6</v>
      </c>
      <c r="OH22" s="593"/>
      <c r="OI22" s="593"/>
      <c r="OJ22" s="527"/>
      <c r="OK22" s="22">
        <f>IF(OK19="","",OK19+OK20+OK21)</f>
        <v>1284.4000000000001</v>
      </c>
      <c r="OL22" s="526">
        <f>SUM(OL19:OO21)-1</f>
        <v>1199.5</v>
      </c>
      <c r="OM22" s="593"/>
      <c r="ON22" s="593"/>
      <c r="OO22" s="527"/>
      <c r="OP22" s="22">
        <f>SUM(OP19:OP21)</f>
        <v>1173.4000000000001</v>
      </c>
      <c r="OQ22" s="526">
        <f>SUM(OQ19:OT21)</f>
        <v>1498.1</v>
      </c>
      <c r="OR22" s="593"/>
      <c r="OS22" s="593"/>
      <c r="OT22" s="527"/>
      <c r="OU22" s="22">
        <f>SUM(OU19:OU21)</f>
        <v>1460.6</v>
      </c>
      <c r="OV22" s="526">
        <f>SUM(OV19:OY21)</f>
        <v>1508.2</v>
      </c>
      <c r="OW22" s="593"/>
      <c r="OX22" s="593"/>
      <c r="OY22" s="527"/>
      <c r="OZ22" s="22">
        <v>1516</v>
      </c>
      <c r="PA22" s="492"/>
      <c r="PB22" s="528" t="s">
        <v>18</v>
      </c>
      <c r="PC22" s="466"/>
      <c r="PD22" s="466"/>
      <c r="PE22" s="466"/>
      <c r="PF22" s="467"/>
      <c r="PG22" s="526">
        <f>SUM(PG19:PJ21)-1</f>
        <v>1073.5</v>
      </c>
      <c r="PH22" s="593"/>
      <c r="PI22" s="593"/>
      <c r="PJ22" s="527"/>
      <c r="PK22" s="22">
        <f>IF(PK19="","",PK19+PK20+PK21)</f>
        <v>1049.8000000000002</v>
      </c>
      <c r="PL22" s="526">
        <f>SUM(PL19:PO21)</f>
        <v>1599</v>
      </c>
      <c r="PM22" s="593"/>
      <c r="PN22" s="593"/>
      <c r="PO22" s="527"/>
      <c r="PP22" s="22">
        <f>IF(PP19="","",PP19+PP20+PP21)</f>
        <v>1478.8</v>
      </c>
      <c r="PQ22" s="526">
        <f>SUM(PQ19:PT21)</f>
        <v>1484</v>
      </c>
      <c r="PR22" s="593"/>
      <c r="PS22" s="593"/>
      <c r="PT22" s="527"/>
      <c r="PU22" s="22">
        <f>IF(PU19="","",PU19+PU20+PU21)</f>
        <v>1475.2</v>
      </c>
      <c r="PV22" s="526">
        <f>SUM(PV19:PY21)</f>
        <v>1384</v>
      </c>
      <c r="PW22" s="593"/>
      <c r="PX22" s="593"/>
      <c r="PY22" s="527"/>
      <c r="PZ22" s="22">
        <f>IF(PZ19="","",PZ19+PZ20+PZ21)</f>
        <v>1202</v>
      </c>
      <c r="QA22" s="492"/>
      <c r="QB22" s="528" t="s">
        <v>18</v>
      </c>
      <c r="QC22" s="466"/>
      <c r="QD22" s="466"/>
      <c r="QE22" s="466"/>
      <c r="QF22" s="467"/>
      <c r="QG22" s="526">
        <f t="shared" ref="QG22" si="8">SUM(QG19:QJ21)</f>
        <v>1355</v>
      </c>
      <c r="QH22" s="593"/>
      <c r="QI22" s="593"/>
      <c r="QJ22" s="527"/>
      <c r="QK22" s="22">
        <f>IF(QK19="","",QK19+QK20+QK21)</f>
        <v>1389</v>
      </c>
      <c r="QL22" s="526">
        <f t="shared" ref="QL22" si="9">SUM(QL19:QO21)</f>
        <v>1224</v>
      </c>
      <c r="QM22" s="593"/>
      <c r="QN22" s="593"/>
      <c r="QO22" s="527"/>
      <c r="QP22" s="22">
        <f>IF(QP19="","",QP19+QP20+QP21)</f>
        <v>1255.2</v>
      </c>
      <c r="QQ22" s="526">
        <f t="shared" ref="QQ22" si="10">SUM(QQ19:QT21)</f>
        <v>1377</v>
      </c>
      <c r="QR22" s="593"/>
      <c r="QS22" s="593"/>
      <c r="QT22" s="527"/>
      <c r="QU22" s="22">
        <f>IF(QU19="","",QU19+QU20+QU21)</f>
        <v>1383.2</v>
      </c>
      <c r="QV22" s="526">
        <f t="shared" ref="QV22" si="11">SUM(QV19:QY21)</f>
        <v>1447.2</v>
      </c>
      <c r="QW22" s="593"/>
      <c r="QX22" s="593"/>
      <c r="QY22" s="527"/>
      <c r="QZ22" s="22">
        <f>IF(QZ19="","",QZ19+QZ20+QZ21)-0.2</f>
        <v>1414.4</v>
      </c>
      <c r="RA22" s="492"/>
      <c r="RB22" s="528" t="s">
        <v>18</v>
      </c>
      <c r="RC22" s="466"/>
      <c r="RD22" s="466"/>
      <c r="RE22" s="466"/>
      <c r="RF22" s="467"/>
      <c r="RG22" s="526">
        <f t="shared" ref="RG22" si="12">SUM(RG19:RJ21)</f>
        <v>1445.2</v>
      </c>
      <c r="RH22" s="593"/>
      <c r="RI22" s="593"/>
      <c r="RJ22" s="527"/>
      <c r="RK22" s="22">
        <f>IF(RK19="","",RK19+RK20+RK21)</f>
        <v>1430.1000000000001</v>
      </c>
      <c r="RL22" s="526">
        <f t="shared" ref="RL22" si="13">SUM(RL19:RO21)</f>
        <v>1334.2</v>
      </c>
      <c r="RM22" s="593"/>
      <c r="RN22" s="593"/>
      <c r="RO22" s="527"/>
      <c r="RP22" s="22">
        <f>IF(RP19="","",RP19+RP20+RP21)</f>
        <v>1298.2</v>
      </c>
      <c r="RQ22" s="526">
        <f t="shared" ref="RQ22" si="14">SUM(RQ19:RT21)</f>
        <v>1234.2</v>
      </c>
      <c r="RR22" s="593"/>
      <c r="RS22" s="593"/>
      <c r="RT22" s="527"/>
      <c r="RU22" s="22">
        <f>IF(RU19="","",RU19+RU20+RU21)</f>
        <v>1259.5999999999999</v>
      </c>
      <c r="RV22" s="526">
        <f t="shared" ref="RV22" si="15">SUM(RV19:RY21)</f>
        <v>1503</v>
      </c>
      <c r="RW22" s="593"/>
      <c r="RX22" s="593"/>
      <c r="RY22" s="527"/>
      <c r="RZ22" s="22">
        <f>IF(RZ19="","",RZ19+RZ20+RZ21)</f>
        <v>1490</v>
      </c>
      <c r="SA22" s="492"/>
      <c r="SB22" s="528" t="s">
        <v>18</v>
      </c>
      <c r="SC22" s="466"/>
      <c r="SD22" s="466"/>
      <c r="SE22" s="466"/>
      <c r="SF22" s="467"/>
      <c r="SG22" s="526">
        <f>SUM(SG19:SJ21)</f>
        <v>1314</v>
      </c>
      <c r="SH22" s="593"/>
      <c r="SI22" s="593"/>
      <c r="SJ22" s="527"/>
      <c r="SK22" s="22">
        <f>IF(SK19="","",SK19+SK20+SK21)</f>
        <v>1328.6000000000001</v>
      </c>
      <c r="SL22" s="526">
        <f>SUM(SL19:SO21)</f>
        <v>1203</v>
      </c>
      <c r="SM22" s="593"/>
      <c r="SN22" s="593"/>
      <c r="SO22" s="527"/>
      <c r="SP22" s="22">
        <f>IF(SP19="","",SP19+SP20+SP21)</f>
        <v>1262</v>
      </c>
      <c r="SQ22" s="526">
        <f t="shared" ref="SQ22" si="16">SUM(SQ19:ST21)</f>
        <v>1518.1</v>
      </c>
      <c r="SR22" s="593"/>
      <c r="SS22" s="593"/>
      <c r="ST22" s="527"/>
      <c r="SU22" s="22">
        <f>IF(SU19="","",SU19+SU20+SU21)</f>
        <v>1514.8</v>
      </c>
      <c r="SV22" s="526">
        <f>SUM(SV19:SY21)</f>
        <v>1472</v>
      </c>
      <c r="SW22" s="593"/>
      <c r="SX22" s="593"/>
      <c r="SY22" s="527"/>
      <c r="SZ22" s="22">
        <f>IF(SZ19="","",SZ19+SZ20+SZ21)</f>
        <v>1492.2</v>
      </c>
      <c r="TA22" s="492"/>
      <c r="TB22" s="528" t="s">
        <v>18</v>
      </c>
      <c r="TC22" s="466"/>
      <c r="TD22" s="466"/>
      <c r="TE22" s="466"/>
      <c r="TF22" s="467"/>
      <c r="TG22" s="526">
        <v>1434.1</v>
      </c>
      <c r="TH22" s="593"/>
      <c r="TI22" s="593"/>
      <c r="TJ22" s="527"/>
      <c r="TK22" s="22">
        <f>IF(TK19="","",TK19+TK20+TK21)</f>
        <v>1516.6</v>
      </c>
      <c r="TL22" s="526">
        <v>1488</v>
      </c>
      <c r="TM22" s="593"/>
      <c r="TN22" s="593"/>
      <c r="TO22" s="527"/>
      <c r="TP22" s="22"/>
      <c r="TQ22" s="22">
        <f>IF(TQ19="","",TQ19+TQ20+TQ21)</f>
        <v>1513.4</v>
      </c>
      <c r="TR22" s="526">
        <f>SUM(TR19:TU21)</f>
        <v>1489.1</v>
      </c>
      <c r="TS22" s="593"/>
      <c r="TT22" s="593"/>
      <c r="TU22" s="527"/>
      <c r="TV22" s="22">
        <f>IF(TV19="","",TV19+TV20+TV21)</f>
        <v>1406.8</v>
      </c>
      <c r="TW22" s="526">
        <f>SUM(TW19:TZ21)</f>
        <v>1315</v>
      </c>
      <c r="TX22" s="593"/>
      <c r="TY22" s="593"/>
      <c r="TZ22" s="527"/>
      <c r="UA22" s="22">
        <f>IF(UA19="","",UA19+UA20+UA21)</f>
        <v>1369.8</v>
      </c>
      <c r="UB22" s="492"/>
      <c r="UC22" s="528" t="s">
        <v>18</v>
      </c>
      <c r="UD22" s="466"/>
      <c r="UE22" s="466"/>
      <c r="UF22" s="466"/>
      <c r="UG22" s="467"/>
      <c r="UH22" s="526">
        <f>SUM(UH19:UK21)</f>
        <v>1275</v>
      </c>
      <c r="UI22" s="593"/>
      <c r="UJ22" s="593"/>
      <c r="UK22" s="527"/>
      <c r="UL22" s="22">
        <f>IF(UL19="","",UL19+UL20+UL21)</f>
        <v>1285.8</v>
      </c>
      <c r="UM22" s="526">
        <f>SUM(UM19:UP21)</f>
        <v>1578.7</v>
      </c>
      <c r="UN22" s="593"/>
      <c r="UO22" s="593"/>
      <c r="UP22" s="527"/>
      <c r="UQ22" s="22">
        <v>1555</v>
      </c>
      <c r="UR22" s="526">
        <f>SUM(UR19:UU21)</f>
        <v>1242.2</v>
      </c>
      <c r="US22" s="593"/>
      <c r="UT22" s="593"/>
      <c r="UU22" s="527"/>
      <c r="UV22" s="22">
        <v>1190</v>
      </c>
      <c r="UW22" s="526">
        <f>SUM(UW19:UZ21)</f>
        <v>1151.2</v>
      </c>
      <c r="UX22" s="593"/>
      <c r="UY22" s="593"/>
      <c r="UZ22" s="527"/>
      <c r="VA22" s="22">
        <f>IF(VA19="","",VA19+VA20+VA21)-1</f>
        <v>1110.8000000000002</v>
      </c>
      <c r="VB22" s="492"/>
      <c r="VC22" s="528" t="s">
        <v>18</v>
      </c>
      <c r="VD22" s="466"/>
      <c r="VE22" s="466"/>
      <c r="VF22" s="466"/>
      <c r="VG22" s="467"/>
      <c r="VH22" s="526">
        <f>SUM(VH19:VK21)</f>
        <v>1265.2</v>
      </c>
      <c r="VI22" s="593"/>
      <c r="VJ22" s="593"/>
      <c r="VK22" s="527"/>
      <c r="VL22" s="22">
        <f>SUM(VL19:VL21)</f>
        <v>1276.7</v>
      </c>
      <c r="VM22" s="526">
        <f>SUM(VM19:VP21)</f>
        <v>1305.2</v>
      </c>
      <c r="VN22" s="593"/>
      <c r="VO22" s="593"/>
      <c r="VP22" s="527"/>
      <c r="VQ22" s="22">
        <f>ROUND(VQ19,0)+ROUND(VQ20,0)+ROUND(VQ21,0)</f>
        <v>1127</v>
      </c>
      <c r="VR22" s="526">
        <f>SUM(VR19:VU21)</f>
        <v>1305.2</v>
      </c>
      <c r="VS22" s="593"/>
      <c r="VT22" s="593"/>
      <c r="VU22" s="527"/>
      <c r="VV22" s="22">
        <f>ROUND(VV19,0)+ROUND(VV20,0)+ROUND(VV21,0)</f>
        <v>1112</v>
      </c>
      <c r="VW22" s="526">
        <f>SUM(VW19:VZ21)</f>
        <v>1163.2</v>
      </c>
      <c r="VX22" s="593"/>
      <c r="VY22" s="593"/>
      <c r="VZ22" s="527"/>
      <c r="WA22" s="22">
        <f>ROUND(WA19,0)+ROUND(WA20,0)+ROUND(WA21,0)</f>
        <v>1149</v>
      </c>
      <c r="WB22" s="492"/>
      <c r="WC22" s="528" t="s">
        <v>18</v>
      </c>
      <c r="WD22" s="466"/>
      <c r="WE22" s="466"/>
      <c r="WF22" s="466"/>
      <c r="WG22" s="467"/>
      <c r="WH22" s="526">
        <f>SUM(WH19:WK21)</f>
        <v>1029.2</v>
      </c>
      <c r="WI22" s="593"/>
      <c r="WJ22" s="593"/>
      <c r="WK22" s="527"/>
      <c r="WL22" s="22">
        <f>IF(WL19="","",WL19+WL20+WL21)</f>
        <v>1068.2</v>
      </c>
      <c r="WM22" s="526">
        <f>SUM(WM19:WP21)</f>
        <v>1009.2</v>
      </c>
      <c r="WN22" s="593"/>
      <c r="WO22" s="593"/>
      <c r="WP22" s="527"/>
      <c r="WQ22" s="22">
        <f>IF(WQ19="","",WQ19+WQ20+WQ21)</f>
        <v>1009</v>
      </c>
      <c r="WR22" s="526">
        <f>SUM(WR19:WU21)</f>
        <v>1143.2</v>
      </c>
      <c r="WS22" s="593"/>
      <c r="WT22" s="593"/>
      <c r="WU22" s="527"/>
      <c r="WV22" s="22">
        <f>IF(WV19="","",WV19+WV20+WV21)</f>
        <v>1206</v>
      </c>
      <c r="WW22" s="526">
        <f>SUM(WW19:WZ21)</f>
        <v>1265.2</v>
      </c>
      <c r="WX22" s="593"/>
      <c r="WY22" s="593"/>
      <c r="WZ22" s="527"/>
      <c r="XA22" s="22">
        <f>IF(XA19="","",XA19+XA20+XA21)</f>
        <v>1265.6000000000001</v>
      </c>
      <c r="XB22" s="492"/>
      <c r="XC22" s="528" t="s">
        <v>18</v>
      </c>
      <c r="XD22" s="466"/>
      <c r="XE22" s="466"/>
      <c r="XF22" s="466"/>
      <c r="XG22" s="467"/>
      <c r="XH22" s="526">
        <f>SUM(XH19:XK21)</f>
        <v>1265.2</v>
      </c>
      <c r="XI22" s="593"/>
      <c r="XJ22" s="593"/>
      <c r="XK22" s="527"/>
      <c r="XL22" s="22">
        <f>IF(XL19="","",XL19+XL20+XL21)</f>
        <v>1263.4000000000001</v>
      </c>
      <c r="XM22" s="526">
        <f>SUM(XM19:XP21)</f>
        <v>1244.2</v>
      </c>
      <c r="XN22" s="593"/>
      <c r="XO22" s="593"/>
      <c r="XP22" s="527"/>
      <c r="XQ22" s="22">
        <f>IF(XQ19="","",XQ19+XQ20+XQ21)</f>
        <v>1226</v>
      </c>
      <c r="XR22" s="526">
        <f>SUM(XR19:XU21)</f>
        <v>1141.2</v>
      </c>
      <c r="XS22" s="593"/>
      <c r="XT22" s="593"/>
      <c r="XU22" s="527"/>
      <c r="XV22" s="22">
        <f>ROUND(XV19,0)+ROUND(XV20,0)+ROUND(XV21,0)</f>
        <v>1010</v>
      </c>
      <c r="XW22" s="526">
        <f>SUM(XW19:XZ21)</f>
        <v>1111.2</v>
      </c>
      <c r="XX22" s="593"/>
      <c r="XY22" s="593"/>
      <c r="XZ22" s="527"/>
      <c r="YA22" s="22">
        <f>IF(YA19="","",YA19+YA20+YA21)</f>
        <v>1062</v>
      </c>
      <c r="YB22" s="492"/>
      <c r="YC22" s="528" t="s">
        <v>18</v>
      </c>
      <c r="YD22" s="466"/>
      <c r="YE22" s="466"/>
      <c r="YF22" s="466"/>
      <c r="YG22" s="467"/>
      <c r="YH22" s="526">
        <f>SUM(YH19:YK21)</f>
        <v>1247</v>
      </c>
      <c r="YI22" s="593"/>
      <c r="YJ22" s="593"/>
      <c r="YK22" s="527"/>
      <c r="YL22" s="22">
        <f>ROUND(YL19,0)+ROUND(YL20,0)+ROUND(YL21,0)</f>
        <v>1214</v>
      </c>
      <c r="YM22" s="526">
        <f>SUM(YM19:YP21)</f>
        <v>1221.0999999999999</v>
      </c>
      <c r="YN22" s="593"/>
      <c r="YO22" s="593"/>
      <c r="YP22" s="527"/>
      <c r="YQ22" s="22">
        <f>ROUND(YQ19,0)+ROUND(YQ20,0)+ROUND(YQ21,0)</f>
        <v>1285</v>
      </c>
      <c r="YR22" s="526">
        <f>SUM(YR19:YU21)</f>
        <v>1172.2</v>
      </c>
      <c r="YS22" s="593"/>
      <c r="YT22" s="593"/>
      <c r="YU22" s="527"/>
      <c r="YV22" s="22">
        <f>ROUND(YV19,0)+ROUND(YV20,0)+ROUND(YV21,0)</f>
        <v>1168</v>
      </c>
      <c r="YW22" s="526">
        <f>SUM(YW19:YZ21)</f>
        <v>1267.2</v>
      </c>
      <c r="YX22" s="593"/>
      <c r="YY22" s="593"/>
      <c r="YZ22" s="527"/>
      <c r="ZA22" s="22">
        <f>SUM(ZA19:ZA21)</f>
        <v>1316.6</v>
      </c>
      <c r="ZB22" s="492"/>
      <c r="ZC22" s="528" t="s">
        <v>18</v>
      </c>
      <c r="ZD22" s="466"/>
      <c r="ZE22" s="466"/>
      <c r="ZF22" s="466"/>
      <c r="ZG22" s="467"/>
      <c r="ZH22" s="526">
        <f>SUM(ZH19:ZK21)</f>
        <v>1275.7</v>
      </c>
      <c r="ZI22" s="593"/>
      <c r="ZJ22" s="593"/>
      <c r="ZK22" s="527"/>
      <c r="ZL22" s="22">
        <v>1260.6000000000001</v>
      </c>
      <c r="ZM22" s="526">
        <f t="shared" ref="ZM22" si="17">SUM(ZM19:ZP21)</f>
        <v>1179.7</v>
      </c>
      <c r="ZN22" s="593"/>
      <c r="ZO22" s="593"/>
      <c r="ZP22" s="527"/>
      <c r="ZQ22" s="22">
        <v>1065.4000000000001</v>
      </c>
      <c r="ZR22" s="526">
        <f t="shared" ref="ZR22" si="18">SUM(ZR19:ZU21)</f>
        <v>1069.7</v>
      </c>
      <c r="ZS22" s="593"/>
      <c r="ZT22" s="593"/>
      <c r="ZU22" s="527"/>
      <c r="ZV22" s="22">
        <v>1064</v>
      </c>
      <c r="ZW22" s="526">
        <f t="shared" ref="ZW22" si="19">SUM(ZW19:ZZ21)</f>
        <v>1109.7</v>
      </c>
      <c r="ZX22" s="593"/>
      <c r="ZY22" s="593"/>
      <c r="ZZ22" s="527"/>
      <c r="AAA22" s="22">
        <f>SUM(AAA19:AAA21)</f>
        <v>1136.2</v>
      </c>
      <c r="AAB22" s="492"/>
      <c r="AAC22" s="528" t="s">
        <v>18</v>
      </c>
      <c r="AAD22" s="466"/>
      <c r="AAE22" s="466"/>
      <c r="AAF22" s="466"/>
      <c r="AAG22" s="467"/>
      <c r="AAH22" s="526">
        <f t="shared" ref="AAH22" si="20">SUM(AAH19:AAK21)</f>
        <v>1254.7</v>
      </c>
      <c r="AAI22" s="593"/>
      <c r="AAJ22" s="593"/>
      <c r="AAK22" s="527"/>
      <c r="AAL22" s="22">
        <f>ROUND(AAL19,0)+ROUND(AAL20,0)+ROUND(AAL21,0)</f>
        <v>1270</v>
      </c>
      <c r="AAM22" s="526">
        <f>SUM(AAM19:AAP21)</f>
        <v>1232.7</v>
      </c>
      <c r="AAN22" s="593"/>
      <c r="AAO22" s="593"/>
      <c r="AAP22" s="527"/>
      <c r="AAQ22" s="22">
        <f>AAQ19+AAQ20+AAQ21</f>
        <v>1274</v>
      </c>
      <c r="AAR22" s="526">
        <f t="shared" ref="AAR22" si="21">SUM(AAR19:AAU21)</f>
        <v>1262.2</v>
      </c>
      <c r="AAS22" s="593"/>
      <c r="AAT22" s="593"/>
      <c r="AAU22" s="527"/>
      <c r="AAV22" s="22">
        <v>1265</v>
      </c>
      <c r="AAW22" s="526">
        <f t="shared" ref="AAW22" si="22">SUM(AAW19:AAZ21)</f>
        <v>1220.2</v>
      </c>
      <c r="AAX22" s="593"/>
      <c r="AAY22" s="593"/>
      <c r="AAZ22" s="527"/>
      <c r="ABA22" s="22">
        <v>1215.2</v>
      </c>
      <c r="ABB22" s="492"/>
      <c r="ABC22" s="528" t="s">
        <v>18</v>
      </c>
      <c r="ABD22" s="466"/>
      <c r="ABE22" s="466"/>
      <c r="ABF22" s="466"/>
      <c r="ABG22" s="467"/>
      <c r="ABH22" s="526">
        <f>SUM(ABH19:ABK21)</f>
        <v>1200.2</v>
      </c>
      <c r="ABI22" s="593"/>
      <c r="ABJ22" s="593"/>
      <c r="ABK22" s="527"/>
      <c r="ABL22" s="22">
        <f>ROUND(ABL19,0)+ROUND(ABL20,0)+ROUND(ABL21,0)</f>
        <v>1262</v>
      </c>
      <c r="ABM22" s="526">
        <f>SUM(ABM19:ABP21)</f>
        <v>1145.2</v>
      </c>
      <c r="ABN22" s="593"/>
      <c r="ABO22" s="593"/>
      <c r="ABP22" s="527"/>
      <c r="ABQ22" s="22">
        <f>ROUND(ABQ19,0)+ROUND(ABQ20,0)+ROUND(ABQ21,0)</f>
        <v>1136</v>
      </c>
      <c r="ABR22" s="526">
        <f>SUM(ABR19:ABU21)</f>
        <v>1117.7</v>
      </c>
      <c r="ABS22" s="593"/>
      <c r="ABT22" s="593"/>
      <c r="ABU22" s="527"/>
      <c r="ABV22" s="22">
        <f>ABV19+ABV20+ABV21</f>
        <v>1078.5999999999999</v>
      </c>
      <c r="ABW22" s="526">
        <f>SUM(ABW19:ABZ21)</f>
        <v>1257.2</v>
      </c>
      <c r="ABX22" s="593"/>
      <c r="ABY22" s="593"/>
      <c r="ABZ22" s="527"/>
      <c r="ACA22" s="22">
        <f>ACA19+ACA20+ACA21</f>
        <v>1228</v>
      </c>
      <c r="ACB22" s="492"/>
      <c r="ACC22" s="528" t="s">
        <v>18</v>
      </c>
      <c r="ACD22" s="466"/>
      <c r="ACE22" s="466"/>
      <c r="ACF22" s="466"/>
      <c r="ACG22" s="467"/>
      <c r="ACH22" s="526">
        <f>SUM(ACH19:ACK21)</f>
        <v>1197.2</v>
      </c>
      <c r="ACI22" s="593"/>
      <c r="ACJ22" s="593"/>
      <c r="ACK22" s="527"/>
      <c r="ACL22" s="22">
        <f>ROUND(ACL19,0)+ROUND(ACL20,0)+ROUND(ACL21,0)</f>
        <v>1138</v>
      </c>
      <c r="ACM22" s="501">
        <v>1325</v>
      </c>
      <c r="ACN22" s="502"/>
      <c r="ACO22" s="502"/>
      <c r="ACP22" s="503"/>
      <c r="ACQ22" s="22">
        <f>ACQ19+ACQ20+ACQ21</f>
        <v>1287.4000000000001</v>
      </c>
      <c r="ACR22" s="526">
        <f>SUM(ACR19:ACU21)</f>
        <v>1227</v>
      </c>
      <c r="ACS22" s="593"/>
      <c r="ACT22" s="593"/>
      <c r="ACU22" s="527"/>
      <c r="ACV22" s="22">
        <f>ACV19+ACV20+ACV21</f>
        <v>1297</v>
      </c>
      <c r="ACW22" s="501">
        <v>1157</v>
      </c>
      <c r="ACX22" s="502"/>
      <c r="ACY22" s="502"/>
      <c r="ACZ22" s="503"/>
      <c r="ADA22" s="22">
        <v>1203</v>
      </c>
      <c r="ADB22" s="492"/>
      <c r="ADC22" s="528" t="s">
        <v>18</v>
      </c>
      <c r="ADD22" s="466"/>
      <c r="ADE22" s="466"/>
      <c r="ADF22" s="466"/>
      <c r="ADG22" s="467"/>
      <c r="ADH22" s="501">
        <f>SUM(ADH19:ADK21)</f>
        <v>1337.2</v>
      </c>
      <c r="ADI22" s="502"/>
      <c r="ADJ22" s="502"/>
      <c r="ADK22" s="503"/>
      <c r="ADL22" s="22">
        <f>ADL19+ADL20+ADL21</f>
        <v>1335.2</v>
      </c>
      <c r="ADM22" s="501">
        <f>SUM(ADM19:ADP21)</f>
        <v>1269.2</v>
      </c>
      <c r="ADN22" s="502"/>
      <c r="ADO22" s="502"/>
      <c r="ADP22" s="503"/>
      <c r="ADQ22" s="22">
        <f>ADQ19+ADQ20+ADQ21</f>
        <v>1323.6</v>
      </c>
      <c r="ADR22" s="501">
        <f>SUM(ADR19:ADU21)</f>
        <v>1323.2</v>
      </c>
      <c r="ADS22" s="502"/>
      <c r="ADT22" s="502"/>
      <c r="ADU22" s="503"/>
      <c r="ADV22" s="22">
        <f>ADV19+ADV20+ADV21</f>
        <v>1342</v>
      </c>
      <c r="ADW22" s="526">
        <f>SUM(ADW19:ADZ21)</f>
        <v>1177.0999999999999</v>
      </c>
      <c r="ADX22" s="593"/>
      <c r="ADY22" s="593"/>
      <c r="ADZ22" s="527"/>
      <c r="AEA22" s="22">
        <f>AEA19+AEA20+AEA21</f>
        <v>1173.4000000000001</v>
      </c>
      <c r="AEB22" s="492"/>
      <c r="AEC22" s="528" t="s">
        <v>18</v>
      </c>
      <c r="AED22" s="466"/>
      <c r="AEE22" s="466"/>
      <c r="AEF22" s="466"/>
      <c r="AEG22" s="467"/>
      <c r="AEH22" s="501">
        <f>SUM(AEH19:AEK21)</f>
        <v>1159.2</v>
      </c>
      <c r="AEI22" s="502"/>
      <c r="AEJ22" s="502"/>
      <c r="AEK22" s="503"/>
      <c r="AEL22" s="22">
        <f>AEL19+AEL20+AEL21</f>
        <v>1106.2</v>
      </c>
      <c r="AEM22" s="501">
        <f>SUM(AEM19:AEP21)</f>
        <v>1412.2</v>
      </c>
      <c r="AEN22" s="502"/>
      <c r="AEO22" s="502"/>
      <c r="AEP22" s="503"/>
      <c r="AEQ22" s="22"/>
      <c r="AER22" s="22">
        <f>952+145+262</f>
        <v>1359</v>
      </c>
      <c r="AES22" s="501">
        <f>SUM(AES19:AEV21)</f>
        <v>1422.2</v>
      </c>
      <c r="AET22" s="502"/>
      <c r="AEU22" s="502"/>
      <c r="AEV22" s="503"/>
      <c r="AEW22" s="22">
        <f>AEW19+AEW20+AEW21</f>
        <v>1384</v>
      </c>
      <c r="AEX22" s="501">
        <v>1447</v>
      </c>
      <c r="AEY22" s="502"/>
      <c r="AEZ22" s="502"/>
      <c r="AFA22" s="503"/>
      <c r="AFB22" s="22">
        <f>AFB19+AFB20+AFB21</f>
        <v>1327.2</v>
      </c>
      <c r="AFC22" s="492"/>
      <c r="AFD22" s="528" t="s">
        <v>18</v>
      </c>
      <c r="AFE22" s="466"/>
      <c r="AFF22" s="466"/>
      <c r="AFG22" s="466"/>
      <c r="AFH22" s="467"/>
      <c r="AFI22" s="501">
        <v>1240</v>
      </c>
      <c r="AFJ22" s="502"/>
      <c r="AFK22" s="502"/>
      <c r="AFL22" s="503"/>
      <c r="AFM22" s="22">
        <f>AFM19+AFM20+AFM21+0.8</f>
        <v>1153.5999999999999</v>
      </c>
      <c r="AFN22" s="501">
        <f>AFN19+AFN20+AFN21</f>
        <v>1239.2</v>
      </c>
      <c r="AFO22" s="502"/>
      <c r="AFP22" s="502"/>
      <c r="AFQ22" s="503"/>
      <c r="AFR22" s="22">
        <f>ROUND(AFR19,0)+ROUND(AFR20,0)+ROUND(AFR21,0)</f>
        <v>1197</v>
      </c>
      <c r="AFS22" s="501">
        <f>AFS19+AFS20+AFS21</f>
        <v>1162.2</v>
      </c>
      <c r="AFT22" s="502"/>
      <c r="AFU22" s="502"/>
      <c r="AFV22" s="503"/>
      <c r="AFW22" s="22">
        <f>SUM(AFW19:AFW21)</f>
        <v>1138.8</v>
      </c>
      <c r="AFX22" s="501">
        <f>AFX19+AFX20+AFX21</f>
        <v>1160.2</v>
      </c>
      <c r="AFY22" s="502"/>
      <c r="AFZ22" s="502"/>
      <c r="AGA22" s="503"/>
      <c r="AGB22" s="22">
        <f>SUM(AGB19:AGB21)</f>
        <v>1094.5999999999999</v>
      </c>
      <c r="AGC22" s="492"/>
      <c r="AGD22" s="528" t="s">
        <v>18</v>
      </c>
      <c r="AGE22" s="466"/>
      <c r="AGF22" s="466"/>
      <c r="AGG22" s="466"/>
      <c r="AGH22" s="467"/>
      <c r="AGI22" s="501">
        <f>SUM(AGI19:AGL21)</f>
        <v>1162.2</v>
      </c>
      <c r="AGJ22" s="502"/>
      <c r="AGK22" s="502"/>
      <c r="AGL22" s="503"/>
      <c r="AGM22" s="22">
        <f>SUM(AGM19:AGM21)</f>
        <v>1165.5999999999999</v>
      </c>
      <c r="AGN22" s="501">
        <f>SUM(AGN19:AGQ21)</f>
        <v>1253.2</v>
      </c>
      <c r="AGO22" s="502"/>
      <c r="AGP22" s="502"/>
      <c r="AGQ22" s="503"/>
      <c r="AGR22" s="22">
        <f>SUM(AGR19:AGR21)</f>
        <v>1339</v>
      </c>
      <c r="AGS22" s="501">
        <f>SUM(AGS19:AGV21)</f>
        <v>1494.2</v>
      </c>
      <c r="AGT22" s="502"/>
      <c r="AGU22" s="502"/>
      <c r="AGV22" s="503"/>
      <c r="AGW22" s="22">
        <f>SUM(AGW19:AGW21)</f>
        <v>1437.8</v>
      </c>
      <c r="AGX22" s="501">
        <v>1348</v>
      </c>
      <c r="AGY22" s="502"/>
      <c r="AGZ22" s="502"/>
      <c r="AHA22" s="503"/>
      <c r="AHB22" s="22">
        <v>1273.2</v>
      </c>
      <c r="AHC22" s="492"/>
      <c r="AHD22" s="528" t="s">
        <v>18</v>
      </c>
      <c r="AHE22" s="466"/>
      <c r="AHF22" s="466"/>
      <c r="AHG22" s="466"/>
      <c r="AHH22" s="467"/>
      <c r="AHI22" s="501">
        <f>AHI19+AHI20+AHI21</f>
        <v>1323.2</v>
      </c>
      <c r="AHJ22" s="502"/>
      <c r="AHK22" s="502"/>
      <c r="AHL22" s="503"/>
      <c r="AHM22" s="22">
        <f>SUM(AHM19:AHM21)</f>
        <v>1334</v>
      </c>
      <c r="AHN22" s="501">
        <f>AHN19+AHN20+AHN21</f>
        <v>1398.2</v>
      </c>
      <c r="AHO22" s="502"/>
      <c r="AHP22" s="502"/>
      <c r="AHQ22" s="503"/>
      <c r="AHR22" s="22">
        <f>SUM(AHR19:AHR21)</f>
        <v>1372.4</v>
      </c>
      <c r="AHS22" s="501">
        <v>1363</v>
      </c>
      <c r="AHT22" s="502"/>
      <c r="AHU22" s="502"/>
      <c r="AHV22" s="503"/>
      <c r="AHW22" s="22">
        <v>1286.5999999999999</v>
      </c>
      <c r="AHX22" s="501">
        <f>AHX19+AHX20+AHX21</f>
        <v>1557.2</v>
      </c>
      <c r="AHY22" s="502"/>
      <c r="AHZ22" s="502"/>
      <c r="AIA22" s="503"/>
      <c r="AIB22" s="22">
        <f>SUM(AIB19:AIB21)</f>
        <v>1577.4</v>
      </c>
      <c r="AIC22" s="492"/>
      <c r="AID22" s="528" t="s">
        <v>18</v>
      </c>
      <c r="AIE22" s="466"/>
      <c r="AIF22" s="466"/>
      <c r="AIG22" s="466"/>
      <c r="AIH22" s="467"/>
      <c r="AII22" s="501">
        <v>1494</v>
      </c>
      <c r="AIJ22" s="502"/>
      <c r="AIK22" s="502"/>
      <c r="AIL22" s="503"/>
      <c r="AIM22" s="22">
        <f>SUM(AIM19:AIM21)</f>
        <v>1394</v>
      </c>
      <c r="AIN22" s="501">
        <f>AIN19+AIN20+AIN21</f>
        <v>1368.2</v>
      </c>
      <c r="AIO22" s="502"/>
      <c r="AIP22" s="502"/>
      <c r="AIQ22" s="503"/>
      <c r="AIR22" s="22">
        <f>AIR19+AIR20+AIR21</f>
        <v>1278</v>
      </c>
      <c r="AIS22" s="501">
        <f>AIS19+AIS20+AIS21</f>
        <v>1193.2</v>
      </c>
      <c r="AIT22" s="502"/>
      <c r="AIU22" s="502"/>
      <c r="AIV22" s="503"/>
      <c r="AIW22" s="22">
        <f>SUM(AIW19:AIW21)</f>
        <v>1178</v>
      </c>
      <c r="AIX22" s="501">
        <f t="shared" ref="AIX22" si="23">AIX19+AIX20+AIX21</f>
        <v>1274.2</v>
      </c>
      <c r="AIY22" s="502"/>
      <c r="AIZ22" s="502"/>
      <c r="AJA22" s="503"/>
      <c r="AJB22" s="22">
        <v>1178</v>
      </c>
      <c r="AJC22" s="492"/>
      <c r="AJD22" s="528" t="s">
        <v>18</v>
      </c>
      <c r="AJE22" s="466"/>
      <c r="AJF22" s="466"/>
      <c r="AJG22" s="466"/>
      <c r="AJH22" s="467"/>
      <c r="AJI22" s="501">
        <f>AJI19+AJI20+AJI21</f>
        <v>1492.2</v>
      </c>
      <c r="AJJ22" s="502"/>
      <c r="AJK22" s="502"/>
      <c r="AJL22" s="503"/>
      <c r="AJM22" s="22">
        <f>SUM(AJM19:AJM21)</f>
        <v>1409.4</v>
      </c>
      <c r="AJN22" s="501">
        <f>AJN19+AJN20+AJN21</f>
        <v>1261</v>
      </c>
      <c r="AJO22" s="502"/>
      <c r="AJP22" s="502"/>
      <c r="AJQ22" s="503"/>
      <c r="AJR22" s="22">
        <f>SUM(AJR19:AJR21)</f>
        <v>1334</v>
      </c>
      <c r="AJS22" s="501">
        <f>AJS19+AJS20+AJS21</f>
        <v>1320.2</v>
      </c>
      <c r="AJT22" s="502"/>
      <c r="AJU22" s="502"/>
      <c r="AJV22" s="503"/>
      <c r="AJW22" s="22">
        <v>1362.6000000000001</v>
      </c>
      <c r="AJX22" s="501">
        <v>1250</v>
      </c>
      <c r="AJY22" s="502"/>
      <c r="AJZ22" s="502"/>
      <c r="AKA22" s="503"/>
      <c r="AKB22" s="410">
        <v>1250.8</v>
      </c>
      <c r="AKC22" s="492"/>
      <c r="AKD22" s="528" t="s">
        <v>18</v>
      </c>
      <c r="AKE22" s="466"/>
      <c r="AKF22" s="466"/>
      <c r="AKG22" s="466"/>
      <c r="AKH22" s="467"/>
      <c r="AKI22" s="501">
        <v>1375</v>
      </c>
      <c r="AKJ22" s="502"/>
      <c r="AKK22" s="502"/>
      <c r="AKL22" s="503"/>
      <c r="AKM22" s="22">
        <f>SUM(AKM19:AKM21)</f>
        <v>1382</v>
      </c>
      <c r="AKN22" s="501">
        <f>SUM(AKN19:AKQ21)</f>
        <v>1266</v>
      </c>
      <c r="AKO22" s="502"/>
      <c r="AKP22" s="502"/>
      <c r="AKQ22" s="503"/>
      <c r="AKR22" s="22">
        <f>SUM(AKR19:AKR21)</f>
        <v>1312</v>
      </c>
      <c r="AKS22" s="501">
        <f>SUM(AKS19:AKV21)</f>
        <v>1271</v>
      </c>
      <c r="AKT22" s="502"/>
      <c r="AKU22" s="502"/>
      <c r="AKV22" s="503"/>
      <c r="AKW22" s="22">
        <f>AKW19+AKW20+AKW21-0.2</f>
        <v>1336.3999999999999</v>
      </c>
      <c r="AKX22" s="501">
        <v>1157</v>
      </c>
      <c r="AKY22" s="502"/>
      <c r="AKZ22" s="502"/>
      <c r="ALA22" s="503"/>
      <c r="ALB22" s="22">
        <f>ALB19+ALB20+ALB21</f>
        <v>1163.2</v>
      </c>
      <c r="ALC22" s="492"/>
      <c r="ALD22" s="528" t="s">
        <v>18</v>
      </c>
      <c r="ALE22" s="466"/>
      <c r="ALF22" s="466"/>
      <c r="ALG22" s="466"/>
      <c r="ALH22" s="467"/>
      <c r="ALI22" s="501">
        <f>SUM(ALI19:ALL21)</f>
        <v>1080.0999999999999</v>
      </c>
      <c r="ALJ22" s="502"/>
      <c r="ALK22" s="502"/>
      <c r="ALL22" s="503"/>
      <c r="ALM22" s="22">
        <f>SUM(ALM19:ALM21)</f>
        <v>1193.2</v>
      </c>
      <c r="ALN22" s="501">
        <f>ALN19+ALN20+ALN21</f>
        <v>1333.2</v>
      </c>
      <c r="ALO22" s="502"/>
      <c r="ALP22" s="502"/>
      <c r="ALQ22" s="503"/>
      <c r="ALR22" s="22">
        <f>SUM(ALR19:ALR21)</f>
        <v>1397</v>
      </c>
      <c r="ALS22" s="501">
        <v>1294</v>
      </c>
      <c r="ALT22" s="502"/>
      <c r="ALU22" s="502"/>
      <c r="ALV22" s="503"/>
      <c r="ALW22" s="22">
        <f>SUM(ALW19:ALW21)</f>
        <v>1358.8</v>
      </c>
      <c r="ALX22" s="501">
        <v>1285</v>
      </c>
      <c r="ALY22" s="502"/>
      <c r="ALZ22" s="502"/>
      <c r="AMA22" s="503"/>
      <c r="AMB22" s="22">
        <f>SUM(AMB19:AMB21)</f>
        <v>1349.8</v>
      </c>
      <c r="AMC22" s="492"/>
      <c r="AMD22" s="528" t="s">
        <v>18</v>
      </c>
      <c r="AME22" s="466"/>
      <c r="AMF22" s="466"/>
      <c r="AMG22" s="466"/>
      <c r="AMH22" s="467"/>
      <c r="AMI22" s="501">
        <f>AMI19+AMI20+AMI21</f>
        <v>1290</v>
      </c>
      <c r="AMJ22" s="502"/>
      <c r="AMK22" s="502"/>
      <c r="AML22" s="503"/>
      <c r="AMM22" s="22">
        <f>SUM(AMM19:AMM21)</f>
        <v>1313.2</v>
      </c>
      <c r="AMN22" s="501">
        <v>1114</v>
      </c>
      <c r="AMO22" s="502"/>
      <c r="AMP22" s="502"/>
      <c r="AMQ22" s="503"/>
      <c r="AMR22" s="22">
        <f>811+106+213</f>
        <v>1130</v>
      </c>
      <c r="AMS22" s="22"/>
      <c r="AMT22" s="501">
        <f>AMT19+AMT20+AMT21</f>
        <v>1227</v>
      </c>
      <c r="AMU22" s="502"/>
      <c r="AMV22" s="502"/>
      <c r="AMW22" s="503"/>
      <c r="AMX22" s="22">
        <v>1288</v>
      </c>
      <c r="AMY22" s="501">
        <v>1195</v>
      </c>
      <c r="AMZ22" s="502"/>
      <c r="ANA22" s="502"/>
      <c r="ANB22" s="503"/>
      <c r="ANC22" s="22">
        <f>ANC19+ANC20+ANC21</f>
        <v>1284</v>
      </c>
      <c r="AND22" s="492"/>
      <c r="ANE22" s="528" t="s">
        <v>18</v>
      </c>
      <c r="ANF22" s="466"/>
      <c r="ANG22" s="466"/>
      <c r="ANH22" s="466"/>
      <c r="ANI22" s="467"/>
      <c r="ANJ22" s="501">
        <v>1265</v>
      </c>
      <c r="ANK22" s="502"/>
      <c r="ANL22" s="502"/>
      <c r="ANM22" s="503"/>
      <c r="ANN22" s="22">
        <v>1216.8</v>
      </c>
      <c r="ANO22" s="501">
        <v>1138</v>
      </c>
      <c r="ANP22" s="502"/>
      <c r="ANQ22" s="502"/>
      <c r="ANR22" s="503"/>
      <c r="ANS22" s="22">
        <f>768+160+198</f>
        <v>1126</v>
      </c>
      <c r="ANT22" s="22"/>
      <c r="ANU22" s="501">
        <v>1246</v>
      </c>
      <c r="ANV22" s="502"/>
      <c r="ANW22" s="502"/>
      <c r="ANX22" s="503"/>
      <c r="ANY22" s="22">
        <f>SUM(ANY19:ANY21)</f>
        <v>1392.2</v>
      </c>
      <c r="ANZ22" s="501">
        <v>1313</v>
      </c>
      <c r="AOA22" s="502"/>
      <c r="AOB22" s="502"/>
      <c r="AOC22" s="503"/>
      <c r="AOD22" s="22">
        <v>1310</v>
      </c>
      <c r="AOE22" s="492"/>
      <c r="AOF22" s="528" t="s">
        <v>18</v>
      </c>
      <c r="AOG22" s="466"/>
      <c r="AOH22" s="466"/>
      <c r="AOI22" s="466"/>
      <c r="AOJ22" s="467"/>
      <c r="AOK22" s="501">
        <v>1124</v>
      </c>
      <c r="AOL22" s="502"/>
      <c r="AOM22" s="502"/>
      <c r="AON22" s="503"/>
      <c r="AOO22" s="22">
        <v>1141</v>
      </c>
      <c r="AOP22" s="501">
        <f>833+224+248</f>
        <v>1305</v>
      </c>
      <c r="AOQ22" s="502"/>
      <c r="AOR22" s="502"/>
      <c r="AOS22" s="503"/>
      <c r="AOT22" s="22">
        <v>1206</v>
      </c>
      <c r="AOU22" s="22"/>
      <c r="AOV22" s="501">
        <v>1277</v>
      </c>
      <c r="AOW22" s="502"/>
      <c r="AOX22" s="502"/>
      <c r="AOY22" s="503"/>
      <c r="AOZ22" s="22">
        <v>1293</v>
      </c>
      <c r="APA22" s="501"/>
      <c r="APB22" s="502"/>
      <c r="APC22" s="502"/>
      <c r="APD22" s="503"/>
      <c r="APE22" s="22"/>
    </row>
    <row r="23" spans="1:1097" ht="45" customHeight="1" x14ac:dyDescent="0.4">
      <c r="A23" s="492"/>
      <c r="B23" s="512" t="s">
        <v>723</v>
      </c>
      <c r="C23" s="458"/>
      <c r="D23" s="458"/>
      <c r="E23" s="458"/>
      <c r="F23" s="396" t="s">
        <v>6</v>
      </c>
      <c r="G23" s="532">
        <f>411.5+64.2+273.1+795-72</f>
        <v>1471.8</v>
      </c>
      <c r="H23" s="594"/>
      <c r="I23" s="594"/>
      <c r="J23" s="533"/>
      <c r="K23" s="84">
        <v>1376.0095000000001</v>
      </c>
      <c r="L23" s="532">
        <v>1477</v>
      </c>
      <c r="M23" s="594"/>
      <c r="N23" s="594"/>
      <c r="O23" s="533"/>
      <c r="P23" s="84">
        <f>52.6+27+172+413.4+16.6+33+18.8+432+24.8</f>
        <v>1190.2</v>
      </c>
      <c r="Q23" s="532">
        <f>411.4+66.6+176+712.8-47</f>
        <v>1319.8</v>
      </c>
      <c r="R23" s="594"/>
      <c r="S23" s="594"/>
      <c r="T23" s="533"/>
      <c r="U23" s="84">
        <v>1142</v>
      </c>
      <c r="V23" s="532">
        <v>1617</v>
      </c>
      <c r="W23" s="594"/>
      <c r="X23" s="594"/>
      <c r="Y23" s="533"/>
      <c r="Z23" s="84">
        <v>1492.2</v>
      </c>
      <c r="AA23" s="492"/>
      <c r="AB23" s="512" t="s">
        <v>723</v>
      </c>
      <c r="AC23" s="458"/>
      <c r="AD23" s="458"/>
      <c r="AE23" s="458"/>
      <c r="AF23" s="396" t="s">
        <v>6</v>
      </c>
      <c r="AG23" s="532">
        <v>1615</v>
      </c>
      <c r="AH23" s="594"/>
      <c r="AI23" s="594"/>
      <c r="AJ23" s="533"/>
      <c r="AK23" s="84">
        <v>1443.9</v>
      </c>
      <c r="AL23" s="532">
        <v>1621.8</v>
      </c>
      <c r="AM23" s="594"/>
      <c r="AN23" s="594"/>
      <c r="AO23" s="533"/>
      <c r="AP23" s="84">
        <v>1522.2779</v>
      </c>
      <c r="AQ23" s="532">
        <f>411.9+79.2+206.9+897.8-41</f>
        <v>1554.8</v>
      </c>
      <c r="AR23" s="594"/>
      <c r="AS23" s="594"/>
      <c r="AT23" s="533"/>
      <c r="AU23" s="84">
        <v>1208.8</v>
      </c>
      <c r="AV23" s="532">
        <f>411.9+103.7+186.4+946.2+0.3</f>
        <v>1648.5</v>
      </c>
      <c r="AW23" s="594"/>
      <c r="AX23" s="594"/>
      <c r="AY23" s="533"/>
      <c r="AZ23" s="84">
        <f>79.6+29.6+414.2+20.4+17.2+31+3.8+709.1+106</f>
        <v>1410.9</v>
      </c>
      <c r="BA23" s="492"/>
      <c r="BB23" s="512" t="s">
        <v>723</v>
      </c>
      <c r="BC23" s="458"/>
      <c r="BD23" s="458"/>
      <c r="BE23" s="458"/>
      <c r="BF23" s="396" t="s">
        <v>6</v>
      </c>
      <c r="BG23" s="532">
        <f>411.9+65.6+174.8+923.1-29</f>
        <v>1546.4</v>
      </c>
      <c r="BH23" s="594"/>
      <c r="BI23" s="594"/>
      <c r="BJ23" s="533"/>
      <c r="BK23" s="84">
        <f>12.4+27+414+20.2+17.2+31+865+92.4+0.3</f>
        <v>1479.5</v>
      </c>
      <c r="BL23" s="532">
        <f>412+65+171.5+935.1-0.2</f>
        <v>1583.3999999999999</v>
      </c>
      <c r="BM23" s="594"/>
      <c r="BN23" s="594"/>
      <c r="BO23" s="533"/>
      <c r="BP23" s="84">
        <f>12.4+29.2+414+17.4+17.2+30.2+825.5+102.6</f>
        <v>1448.5</v>
      </c>
      <c r="BQ23" s="532">
        <f>411.9+103.7+200+663.4</f>
        <v>1379</v>
      </c>
      <c r="BR23" s="594"/>
      <c r="BS23" s="594"/>
      <c r="BT23" s="533"/>
      <c r="BU23" s="84">
        <v>1117.8</v>
      </c>
      <c r="BV23" s="532">
        <v>1544.2</v>
      </c>
      <c r="BW23" s="594"/>
      <c r="BX23" s="594"/>
      <c r="BY23" s="533"/>
      <c r="BZ23" s="84">
        <v>1344.0744999999999</v>
      </c>
      <c r="CA23" s="492"/>
      <c r="CB23" s="512" t="s">
        <v>723</v>
      </c>
      <c r="CC23" s="458"/>
      <c r="CD23" s="458"/>
      <c r="CE23" s="458"/>
      <c r="CF23" s="396" t="s">
        <v>6</v>
      </c>
      <c r="CG23" s="532">
        <v>1633</v>
      </c>
      <c r="CH23" s="594"/>
      <c r="CI23" s="594"/>
      <c r="CJ23" s="533"/>
      <c r="CK23" s="84">
        <v>1583</v>
      </c>
      <c r="CL23" s="532">
        <v>1399</v>
      </c>
      <c r="CM23" s="594"/>
      <c r="CN23" s="594"/>
      <c r="CO23" s="533"/>
      <c r="CP23" s="84">
        <v>1082</v>
      </c>
      <c r="CQ23" s="532">
        <v>1430</v>
      </c>
      <c r="CR23" s="594"/>
      <c r="CS23" s="594"/>
      <c r="CT23" s="533"/>
      <c r="CU23" s="84">
        <v>1252.9149</v>
      </c>
      <c r="CV23" s="532">
        <f>412+61.8+151.2+745.2+154+33.4-0.5</f>
        <v>1557.1000000000001</v>
      </c>
      <c r="CW23" s="594"/>
      <c r="CX23" s="594"/>
      <c r="CY23" s="533"/>
      <c r="CZ23" s="84">
        <v>1382.5</v>
      </c>
      <c r="DA23" s="492"/>
      <c r="DB23" s="512" t="s">
        <v>723</v>
      </c>
      <c r="DC23" s="458"/>
      <c r="DD23" s="458"/>
      <c r="DE23" s="458"/>
      <c r="DF23" s="396" t="s">
        <v>6</v>
      </c>
      <c r="DG23" s="532">
        <f>412.1+63.6+184+963.3-29</f>
        <v>1594</v>
      </c>
      <c r="DH23" s="594"/>
      <c r="DI23" s="594"/>
      <c r="DJ23" s="533"/>
      <c r="DK23" s="84">
        <v>1525.2796000000001</v>
      </c>
      <c r="DL23" s="532">
        <v>1594.3</v>
      </c>
      <c r="DM23" s="594"/>
      <c r="DN23" s="594"/>
      <c r="DO23" s="533"/>
      <c r="DP23" s="84">
        <v>1501.2</v>
      </c>
      <c r="DQ23" s="532">
        <f>412.2+64.2+182+923.7-41</f>
        <v>1541.1</v>
      </c>
      <c r="DR23" s="594"/>
      <c r="DS23" s="594"/>
      <c r="DT23" s="533"/>
      <c r="DU23" s="84">
        <v>1472</v>
      </c>
      <c r="DV23" s="532">
        <v>1515</v>
      </c>
      <c r="DW23" s="594"/>
      <c r="DX23" s="594"/>
      <c r="DY23" s="533"/>
      <c r="DZ23" s="84">
        <v>1480.2</v>
      </c>
      <c r="EA23" s="492"/>
      <c r="EB23" s="512" t="s">
        <v>723</v>
      </c>
      <c r="EC23" s="458"/>
      <c r="ED23" s="458"/>
      <c r="EE23" s="458"/>
      <c r="EF23" s="396" t="s">
        <v>6</v>
      </c>
      <c r="EG23" s="532">
        <v>1349</v>
      </c>
      <c r="EH23" s="594"/>
      <c r="EI23" s="594"/>
      <c r="EJ23" s="533"/>
      <c r="EK23" s="84">
        <v>1222</v>
      </c>
      <c r="EL23" s="532">
        <v>1493.3</v>
      </c>
      <c r="EM23" s="594"/>
      <c r="EN23" s="594"/>
      <c r="EO23" s="533"/>
      <c r="EP23" s="84">
        <v>1377.6</v>
      </c>
      <c r="EQ23" s="532">
        <v>1540.4</v>
      </c>
      <c r="ER23" s="594"/>
      <c r="ES23" s="594"/>
      <c r="ET23" s="533"/>
      <c r="EU23" s="84">
        <v>1405.9</v>
      </c>
      <c r="EV23" s="532">
        <f>412.1+63.8+140.6+947.4</f>
        <v>1563.9</v>
      </c>
      <c r="EW23" s="594"/>
      <c r="EX23" s="594"/>
      <c r="EY23" s="533"/>
      <c r="EZ23" s="84">
        <v>1492.4</v>
      </c>
      <c r="FA23" s="492"/>
      <c r="FB23" s="512" t="s">
        <v>723</v>
      </c>
      <c r="FC23" s="458"/>
      <c r="FD23" s="458"/>
      <c r="FE23" s="458"/>
      <c r="FF23" s="396" t="s">
        <v>6</v>
      </c>
      <c r="FG23" s="532">
        <v>1486.9</v>
      </c>
      <c r="FH23" s="594"/>
      <c r="FI23" s="594"/>
      <c r="FJ23" s="533"/>
      <c r="FK23" s="84">
        <v>1230.3</v>
      </c>
      <c r="FL23" s="532">
        <f t="shared" ref="FL23" si="24">412+63.4+113.4+713.6+154+33.5</f>
        <v>1489.9</v>
      </c>
      <c r="FM23" s="594"/>
      <c r="FN23" s="594"/>
      <c r="FO23" s="533"/>
      <c r="FP23" s="84">
        <v>1343.6</v>
      </c>
      <c r="FQ23" s="532">
        <v>1420.4</v>
      </c>
      <c r="FR23" s="594"/>
      <c r="FS23" s="594"/>
      <c r="FT23" s="533"/>
      <c r="FU23" s="84">
        <v>1064.0999999999999</v>
      </c>
      <c r="FV23" s="532">
        <v>1426.3</v>
      </c>
      <c r="FW23" s="594"/>
      <c r="FX23" s="594"/>
      <c r="FY23" s="533"/>
      <c r="FZ23" s="84">
        <v>1107</v>
      </c>
      <c r="GA23" s="492"/>
      <c r="GB23" s="512" t="s">
        <v>723</v>
      </c>
      <c r="GC23" s="458"/>
      <c r="GD23" s="458"/>
      <c r="GE23" s="458"/>
      <c r="GF23" s="396" t="s">
        <v>6</v>
      </c>
      <c r="GG23" s="532">
        <v>1479.3</v>
      </c>
      <c r="GH23" s="594"/>
      <c r="GI23" s="594"/>
      <c r="GJ23" s="533"/>
      <c r="GK23" s="84">
        <v>1385.8</v>
      </c>
      <c r="GL23" s="532">
        <v>1489.2</v>
      </c>
      <c r="GM23" s="594"/>
      <c r="GN23" s="594"/>
      <c r="GO23" s="533"/>
      <c r="GP23" s="84">
        <v>1140.4000000000001</v>
      </c>
      <c r="GQ23" s="532">
        <f>411.9+69.4+130.9+239.9+330+28.6</f>
        <v>1210.6999999999998</v>
      </c>
      <c r="GR23" s="594"/>
      <c r="GS23" s="594"/>
      <c r="GT23" s="533"/>
      <c r="GU23" s="84">
        <v>1231.7</v>
      </c>
      <c r="GV23" s="532">
        <f>1492.6-0.6</f>
        <v>1492</v>
      </c>
      <c r="GW23" s="594"/>
      <c r="GX23" s="594"/>
      <c r="GY23" s="533"/>
      <c r="GZ23" s="84">
        <v>1430.94</v>
      </c>
      <c r="HA23" s="492"/>
      <c r="HB23" s="512" t="s">
        <v>723</v>
      </c>
      <c r="HC23" s="458"/>
      <c r="HD23" s="458"/>
      <c r="HE23" s="458"/>
      <c r="HF23" s="396" t="s">
        <v>6</v>
      </c>
      <c r="HG23" s="532">
        <v>1379.4</v>
      </c>
      <c r="HH23" s="594"/>
      <c r="HI23" s="594"/>
      <c r="HJ23" s="533"/>
      <c r="HK23" s="84">
        <v>901</v>
      </c>
      <c r="HL23" s="532">
        <f>412+69.2+108.6+927.2-18</f>
        <v>1499</v>
      </c>
      <c r="HM23" s="594"/>
      <c r="HN23" s="594"/>
      <c r="HO23" s="533"/>
      <c r="HP23" s="84">
        <v>1387</v>
      </c>
      <c r="HQ23" s="532">
        <v>1507.8</v>
      </c>
      <c r="HR23" s="594"/>
      <c r="HS23" s="594"/>
      <c r="HT23" s="533"/>
      <c r="HU23" s="84">
        <f>1358.1</f>
        <v>1358.1</v>
      </c>
      <c r="HV23" s="532">
        <v>1510.7</v>
      </c>
      <c r="HW23" s="594"/>
      <c r="HX23" s="594"/>
      <c r="HY23" s="533"/>
      <c r="HZ23" s="84">
        <v>992.4</v>
      </c>
      <c r="IA23" s="492"/>
      <c r="IB23" s="512" t="s">
        <v>723</v>
      </c>
      <c r="IC23" s="458"/>
      <c r="ID23" s="458"/>
      <c r="IE23" s="458"/>
      <c r="IF23" s="396" t="s">
        <v>6</v>
      </c>
      <c r="IG23" s="532">
        <v>1404.8</v>
      </c>
      <c r="IH23" s="594"/>
      <c r="II23" s="594"/>
      <c r="IJ23" s="533"/>
      <c r="IK23" s="84">
        <v>1185</v>
      </c>
      <c r="IL23" s="532">
        <v>1400.4</v>
      </c>
      <c r="IM23" s="594"/>
      <c r="IN23" s="594"/>
      <c r="IO23" s="533"/>
      <c r="IP23" s="84">
        <f>63.8+46.8+413.6+34.8+15+36.4+3+463.2+131</f>
        <v>1207.5999999999999</v>
      </c>
      <c r="IQ23" s="532">
        <v>1447.2</v>
      </c>
      <c r="IR23" s="594"/>
      <c r="IS23" s="594"/>
      <c r="IT23" s="533"/>
      <c r="IU23" s="84">
        <v>1320</v>
      </c>
      <c r="IV23" s="532">
        <f>411.7+72+213.6+597.1-18</f>
        <v>1276.4000000000001</v>
      </c>
      <c r="IW23" s="594"/>
      <c r="IX23" s="594"/>
      <c r="IY23" s="533"/>
      <c r="IZ23" s="84">
        <v>1040.8</v>
      </c>
      <c r="JA23" s="492"/>
      <c r="JB23" s="512" t="s">
        <v>723</v>
      </c>
      <c r="JC23" s="458"/>
      <c r="JD23" s="458"/>
      <c r="JE23" s="458"/>
      <c r="JF23" s="396" t="s">
        <v>6</v>
      </c>
      <c r="JG23" s="532">
        <v>1464.8</v>
      </c>
      <c r="JH23" s="594"/>
      <c r="JI23" s="594"/>
      <c r="JJ23" s="533"/>
      <c r="JK23" s="84">
        <v>1173.4000000000001</v>
      </c>
      <c r="JL23" s="532">
        <v>1562.3</v>
      </c>
      <c r="JM23" s="594"/>
      <c r="JN23" s="594"/>
      <c r="JO23" s="533"/>
      <c r="JP23" s="84">
        <f>8.6+35.4+413.4+106+12+25.8+823.6+3.5+64.6+1</f>
        <v>1493.8999999999999</v>
      </c>
      <c r="JQ23" s="532">
        <f>411.6+214.3+73.2+766.1+123.9+21.4-1</f>
        <v>1609.5000000000005</v>
      </c>
      <c r="JR23" s="594"/>
      <c r="JS23" s="594"/>
      <c r="JT23" s="533"/>
      <c r="JU23" s="84">
        <v>1398</v>
      </c>
      <c r="JV23" s="532">
        <f>412.2+226.3+73.4+841.4-58</f>
        <v>1495.3</v>
      </c>
      <c r="JW23" s="594"/>
      <c r="JX23" s="594"/>
      <c r="JY23" s="533"/>
      <c r="JZ23" s="84">
        <v>1188.4000000000001</v>
      </c>
      <c r="KA23" s="492"/>
      <c r="KB23" s="512" t="s">
        <v>723</v>
      </c>
      <c r="KC23" s="458"/>
      <c r="KD23" s="458"/>
      <c r="KE23" s="458"/>
      <c r="KF23" s="396" t="s">
        <v>6</v>
      </c>
      <c r="KG23" s="532">
        <f>411.9+73.4+209.6+865.4</f>
        <v>1560.3</v>
      </c>
      <c r="KH23" s="594"/>
      <c r="KI23" s="594"/>
      <c r="KJ23" s="533"/>
      <c r="KK23" s="84">
        <f>8.8+42+413.8+117.8+12.8+37.6+822.4+15.2+0.6+58-1</f>
        <v>1527.9999999999998</v>
      </c>
      <c r="KL23" s="532">
        <f>411.7+73.4+192.1+825.7+47.9+10.9</f>
        <v>1561.7000000000003</v>
      </c>
      <c r="KM23" s="594"/>
      <c r="KN23" s="594"/>
      <c r="KO23" s="533"/>
      <c r="KP23" s="84">
        <f>8.8+41.2+414.2+111.4+12.6+40.2+818.9+58.8-0.1</f>
        <v>1506.0000000000002</v>
      </c>
      <c r="KQ23" s="532">
        <f>411.7+75.6+217+896.6</f>
        <v>1600.9</v>
      </c>
      <c r="KR23" s="594"/>
      <c r="KS23" s="594"/>
      <c r="KT23" s="533"/>
      <c r="KU23" s="84">
        <v>1548.1</v>
      </c>
      <c r="KV23" s="532">
        <f>412.1+77.6+217.4+837.6+40.4+18.6</f>
        <v>1603.7</v>
      </c>
      <c r="KW23" s="594"/>
      <c r="KX23" s="594"/>
      <c r="KY23" s="533"/>
      <c r="KZ23" s="84">
        <v>1563</v>
      </c>
      <c r="LA23" s="492"/>
      <c r="LB23" s="512" t="s">
        <v>723</v>
      </c>
      <c r="LC23" s="458"/>
      <c r="LD23" s="458"/>
      <c r="LE23" s="458"/>
      <c r="LF23" s="396" t="s">
        <v>6</v>
      </c>
      <c r="LG23" s="532">
        <v>1398.3</v>
      </c>
      <c r="LH23" s="594"/>
      <c r="LI23" s="594"/>
      <c r="LJ23" s="533"/>
      <c r="LK23" s="84">
        <v>1192</v>
      </c>
      <c r="LL23" s="532">
        <v>1547.9</v>
      </c>
      <c r="LM23" s="594"/>
      <c r="LN23" s="594"/>
      <c r="LO23" s="533"/>
      <c r="LP23" s="84">
        <v>1377</v>
      </c>
      <c r="LQ23" s="532">
        <v>1533.5</v>
      </c>
      <c r="LR23" s="594"/>
      <c r="LS23" s="594"/>
      <c r="LT23" s="533"/>
      <c r="LU23" s="84">
        <v>1496.2</v>
      </c>
      <c r="LV23" s="532">
        <v>1352.6</v>
      </c>
      <c r="LW23" s="594"/>
      <c r="LX23" s="594"/>
      <c r="LY23" s="533"/>
      <c r="LZ23" s="84">
        <v>1201.5999999999999</v>
      </c>
      <c r="MA23" s="492"/>
      <c r="MB23" s="512" t="s">
        <v>723</v>
      </c>
      <c r="MC23" s="458"/>
      <c r="MD23" s="458"/>
      <c r="ME23" s="458"/>
      <c r="MF23" s="396" t="s">
        <v>6</v>
      </c>
      <c r="MG23" s="532">
        <f>411.6+74.6+196.2+761.3</f>
        <v>1443.7</v>
      </c>
      <c r="MH23" s="594"/>
      <c r="MI23" s="594"/>
      <c r="MJ23" s="533"/>
      <c r="MK23" s="84">
        <v>1370.6</v>
      </c>
      <c r="ML23" s="532">
        <f>411.3+73.6+161.7+880.5</f>
        <v>1527.1</v>
      </c>
      <c r="MM23" s="594"/>
      <c r="MN23" s="594"/>
      <c r="MO23" s="533"/>
      <c r="MP23" s="84">
        <v>1373</v>
      </c>
      <c r="MQ23" s="532">
        <f>407.9+77+195.1+(900.3-13)</f>
        <v>1567.3</v>
      </c>
      <c r="MR23" s="594"/>
      <c r="MS23" s="594"/>
      <c r="MT23" s="533"/>
      <c r="MU23" s="84">
        <f>33.8+53.2+406.6+51.8+13.8+41.8+0.2+766.6+106.6</f>
        <v>1474.3999999999999</v>
      </c>
      <c r="MV23" s="532">
        <f>411.3+77.2+218.3+738.3+139.7+11.5</f>
        <v>1596.3</v>
      </c>
      <c r="MW23" s="594"/>
      <c r="MX23" s="594"/>
      <c r="MY23" s="533"/>
      <c r="MZ23" s="84">
        <f>66+51.2+412.8+44.4+13.8+41.8+2.6+127.6+524.8</f>
        <v>1285</v>
      </c>
      <c r="NA23" s="492"/>
      <c r="NB23" s="512" t="s">
        <v>723</v>
      </c>
      <c r="NC23" s="458"/>
      <c r="ND23" s="458"/>
      <c r="NE23" s="458"/>
      <c r="NF23" s="396" t="s">
        <v>6</v>
      </c>
      <c r="NG23" s="532">
        <f>411.2+77.4+200.1+898.4-13</f>
        <v>1574.1</v>
      </c>
      <c r="NH23" s="594"/>
      <c r="NI23" s="594"/>
      <c r="NJ23" s="533"/>
      <c r="NK23" s="84">
        <v>1456</v>
      </c>
      <c r="NL23" s="532">
        <f>411+77.2+203.9+887.5-5-0.6</f>
        <v>1574</v>
      </c>
      <c r="NM23" s="594"/>
      <c r="NN23" s="594"/>
      <c r="NO23" s="533"/>
      <c r="NP23" s="84">
        <v>1475.4</v>
      </c>
      <c r="NQ23" s="532">
        <f>410.8+88+185.9+701.5</f>
        <v>1386.2</v>
      </c>
      <c r="NR23" s="594"/>
      <c r="NS23" s="594"/>
      <c r="NT23" s="533"/>
      <c r="NU23" s="84">
        <f>63.2+61.2+412.8+45.4+13.8+35.2+536+104.2</f>
        <v>1271.8</v>
      </c>
      <c r="NV23" s="532">
        <f>410.9+91.6+249.4+691.4+167+9.9</f>
        <v>1620.2</v>
      </c>
      <c r="NW23" s="594"/>
      <c r="NX23" s="594"/>
      <c r="NY23" s="533"/>
      <c r="NZ23" s="84">
        <v>1592</v>
      </c>
      <c r="OA23" s="492"/>
      <c r="OB23" s="512" t="s">
        <v>723</v>
      </c>
      <c r="OC23" s="458"/>
      <c r="OD23" s="458"/>
      <c r="OE23" s="458"/>
      <c r="OF23" s="396" t="s">
        <v>6</v>
      </c>
      <c r="OG23" s="532">
        <v>1435.6</v>
      </c>
      <c r="OH23" s="594"/>
      <c r="OI23" s="594"/>
      <c r="OJ23" s="533"/>
      <c r="OK23" s="84">
        <v>1284.4000000000001</v>
      </c>
      <c r="OL23" s="532">
        <f>408.5+84.6+218.4+582.9-70+9.7+5</f>
        <v>1239.1000000000001</v>
      </c>
      <c r="OM23" s="594"/>
      <c r="ON23" s="594"/>
      <c r="OO23" s="533"/>
      <c r="OP23" s="84">
        <v>1212.3</v>
      </c>
      <c r="OQ23" s="532">
        <f>409.4+90.2+275.5+484.6+222+26.7</f>
        <v>1508.3999999999999</v>
      </c>
      <c r="OR23" s="594"/>
      <c r="OS23" s="594"/>
      <c r="OT23" s="533"/>
      <c r="OU23" s="84">
        <v>1461</v>
      </c>
      <c r="OV23" s="532">
        <f>409.7+89.8+261.2+535.7+192+29.5</f>
        <v>1517.9</v>
      </c>
      <c r="OW23" s="594"/>
      <c r="OX23" s="594"/>
      <c r="OY23" s="533"/>
      <c r="OZ23" s="84">
        <v>1516</v>
      </c>
      <c r="PA23" s="492"/>
      <c r="PB23" s="512" t="s">
        <v>723</v>
      </c>
      <c r="PC23" s="458"/>
      <c r="PD23" s="458"/>
      <c r="PE23" s="458"/>
      <c r="PF23" s="396" t="s">
        <v>6</v>
      </c>
      <c r="PG23" s="532">
        <f>1093.5-1</f>
        <v>1092.5</v>
      </c>
      <c r="PH23" s="594"/>
      <c r="PI23" s="594"/>
      <c r="PJ23" s="533"/>
      <c r="PK23" s="84">
        <v>1049.8</v>
      </c>
      <c r="PL23" s="532">
        <f>408.5+92.7+316.8+686.9+119+4.6-1</f>
        <v>1627.5</v>
      </c>
      <c r="PM23" s="594"/>
      <c r="PN23" s="594"/>
      <c r="PO23" s="533"/>
      <c r="PP23" s="84">
        <v>1478.8</v>
      </c>
      <c r="PQ23" s="532">
        <f>408.6+91.3+299.4+725.9+39+1.5</f>
        <v>1565.6999999999998</v>
      </c>
      <c r="PR23" s="594"/>
      <c r="PS23" s="594"/>
      <c r="PT23" s="533"/>
      <c r="PU23" s="84">
        <v>1475.2</v>
      </c>
      <c r="PV23" s="532">
        <f>408+65.8+263.3+670.6</f>
        <v>1407.7</v>
      </c>
      <c r="PW23" s="594"/>
      <c r="PX23" s="594"/>
      <c r="PY23" s="533"/>
      <c r="PZ23" s="84">
        <v>1202</v>
      </c>
      <c r="QA23" s="492"/>
      <c r="QB23" s="512" t="s">
        <v>723</v>
      </c>
      <c r="QC23" s="458"/>
      <c r="QD23" s="458"/>
      <c r="QE23" s="458"/>
      <c r="QF23" s="396" t="s">
        <v>6</v>
      </c>
      <c r="QG23" s="532">
        <v>1503.9</v>
      </c>
      <c r="QH23" s="594"/>
      <c r="QI23" s="594"/>
      <c r="QJ23" s="533"/>
      <c r="QK23" s="84">
        <f>9+44.2+410.4+68.4+13.8+33.6+5+618.8+185.8</f>
        <v>1388.9999999999998</v>
      </c>
      <c r="QL23" s="532">
        <v>1535</v>
      </c>
      <c r="QM23" s="594"/>
      <c r="QN23" s="594"/>
      <c r="QO23" s="533"/>
      <c r="QP23" s="84">
        <f>9+43.6+410.8+63.2+14.4+33.4+0.6+692.4+174.4+7.2</f>
        <v>1449.0000000000002</v>
      </c>
      <c r="QQ23" s="532">
        <f>409.1+66.2+272.6+617.9+121+6.1</f>
        <v>1492.9</v>
      </c>
      <c r="QR23" s="594"/>
      <c r="QS23" s="594"/>
      <c r="QT23" s="533"/>
      <c r="QU23" s="84">
        <f>9+58.4+411.2+51.6+14.4+34.2+0.6+676.4+1.4+181.8</f>
        <v>1439.0000000000002</v>
      </c>
      <c r="QV23" s="532">
        <f>409+67.6+276.7+691.2+108.8+12.9</f>
        <v>1566.2</v>
      </c>
      <c r="QW23" s="594"/>
      <c r="QX23" s="594"/>
      <c r="QY23" s="533"/>
      <c r="QZ23" s="84">
        <f>17.8+43+410.6+36.4+14+33.4+3.6+663+192.8-0.2</f>
        <v>1414.3999999999999</v>
      </c>
      <c r="RA23" s="492"/>
      <c r="RB23" s="512" t="s">
        <v>69</v>
      </c>
      <c r="RC23" s="458"/>
      <c r="RD23" s="458"/>
      <c r="RE23" s="458"/>
      <c r="RF23" s="396" t="s">
        <v>6</v>
      </c>
      <c r="RG23" s="532">
        <f>408.8+79.2+284.3+709.6+13+12.4</f>
        <v>1507.3000000000002</v>
      </c>
      <c r="RH23" s="594"/>
      <c r="RI23" s="594"/>
      <c r="RJ23" s="533"/>
      <c r="RK23" s="84">
        <v>1429.8</v>
      </c>
      <c r="RL23" s="532">
        <f>408.8+66.4+274.9+728.1+13+16.9</f>
        <v>1508.1000000000001</v>
      </c>
      <c r="RM23" s="594"/>
      <c r="RN23" s="594"/>
      <c r="RO23" s="533"/>
      <c r="RP23" s="84">
        <v>1374.2</v>
      </c>
      <c r="RQ23" s="532">
        <f>409+63.4+274.5+587.9+121+12.1</f>
        <v>1467.8999999999999</v>
      </c>
      <c r="RR23" s="594"/>
      <c r="RS23" s="594"/>
      <c r="RT23" s="533"/>
      <c r="RU23" s="84">
        <f>1406.8+1</f>
        <v>1407.8</v>
      </c>
      <c r="RV23" s="532">
        <f>409.4+90+256.2+703.7+110.3+21.3</f>
        <v>1590.8999999999999</v>
      </c>
      <c r="RW23" s="594"/>
      <c r="RX23" s="594"/>
      <c r="RY23" s="533"/>
      <c r="RZ23" s="84">
        <v>1490</v>
      </c>
      <c r="SA23" s="492"/>
      <c r="SB23" s="512" t="s">
        <v>69</v>
      </c>
      <c r="SC23" s="458"/>
      <c r="SD23" s="458"/>
      <c r="SE23" s="458"/>
      <c r="SF23" s="396" t="s">
        <v>6</v>
      </c>
      <c r="SG23" s="532">
        <f>409.4+82.9+229.6+821.4+8</f>
        <v>1551.3</v>
      </c>
      <c r="SH23" s="594"/>
      <c r="SI23" s="594"/>
      <c r="SJ23" s="533"/>
      <c r="SK23" s="84">
        <v>1493.7</v>
      </c>
      <c r="SL23" s="532">
        <v>1485.1</v>
      </c>
      <c r="SM23" s="594"/>
      <c r="SN23" s="594"/>
      <c r="SO23" s="533"/>
      <c r="SP23" s="84">
        <v>1507.9</v>
      </c>
      <c r="SQ23" s="532">
        <f>409.1+80.6+245.8+767.2+10+13.5</f>
        <v>1526.2</v>
      </c>
      <c r="SR23" s="594"/>
      <c r="SS23" s="594"/>
      <c r="ST23" s="533"/>
      <c r="SU23" s="84">
        <v>1514.8</v>
      </c>
      <c r="SV23" s="532">
        <v>1549.3</v>
      </c>
      <c r="SW23" s="594"/>
      <c r="SX23" s="594"/>
      <c r="SY23" s="533"/>
      <c r="SZ23" s="84">
        <v>1492.2</v>
      </c>
      <c r="TA23" s="492"/>
      <c r="TB23" s="512" t="s">
        <v>69</v>
      </c>
      <c r="TC23" s="458"/>
      <c r="TD23" s="458"/>
      <c r="TE23" s="458"/>
      <c r="TF23" s="396" t="s">
        <v>6</v>
      </c>
      <c r="TG23" s="532">
        <v>1545.4</v>
      </c>
      <c r="TH23" s="594"/>
      <c r="TI23" s="594"/>
      <c r="TJ23" s="533"/>
      <c r="TK23" s="84">
        <f>38.4+43.4+405+30+14+36.4+1.8+780.8+166.8</f>
        <v>1516.5999999999997</v>
      </c>
      <c r="TL23" s="532">
        <v>1526.9</v>
      </c>
      <c r="TM23" s="594"/>
      <c r="TN23" s="594"/>
      <c r="TO23" s="533"/>
      <c r="TP23" s="84"/>
      <c r="TQ23" s="84">
        <v>1513.4</v>
      </c>
      <c r="TR23" s="532">
        <f>408.9+94.7+262+630+135+9.9-0.5</f>
        <v>1540</v>
      </c>
      <c r="TS23" s="594"/>
      <c r="TT23" s="594"/>
      <c r="TU23" s="533"/>
      <c r="TV23" s="84">
        <f>77.2+57.8+411+27.6+12.8+38.4+188.6+4.2+589.2</f>
        <v>1406.8000000000002</v>
      </c>
      <c r="TW23" s="532">
        <f>1437.6</f>
        <v>1437.6</v>
      </c>
      <c r="TX23" s="594"/>
      <c r="TY23" s="594"/>
      <c r="TZ23" s="533"/>
      <c r="UA23" s="84">
        <f>17.8+42.2+410.8+27.4+14.4+38.4+9.6+672+137.2</f>
        <v>1369.8</v>
      </c>
      <c r="UB23" s="492"/>
      <c r="UC23" s="512" t="s">
        <v>69</v>
      </c>
      <c r="UD23" s="458"/>
      <c r="UE23" s="458"/>
      <c r="UF23" s="458"/>
      <c r="UG23" s="396" t="s">
        <v>6</v>
      </c>
      <c r="UH23" s="532">
        <v>1515.4</v>
      </c>
      <c r="UI23" s="594"/>
      <c r="UJ23" s="594"/>
      <c r="UK23" s="533"/>
      <c r="UL23" s="84">
        <f>11.8+39.2+411+30.8+14.2+37+11.8+633.9+132.4</f>
        <v>1322.1</v>
      </c>
      <c r="UM23" s="532">
        <v>1588.8</v>
      </c>
      <c r="UN23" s="594"/>
      <c r="UO23" s="594"/>
      <c r="UP23" s="533"/>
      <c r="UQ23" s="84">
        <v>1555</v>
      </c>
      <c r="UR23" s="532">
        <f>409.4+59.2+220.2+445.5+267+4</f>
        <v>1405.3</v>
      </c>
      <c r="US23" s="594"/>
      <c r="UT23" s="594"/>
      <c r="UU23" s="533"/>
      <c r="UV23" s="84">
        <v>1190</v>
      </c>
      <c r="UW23" s="532">
        <f>319.6+57.2+205+548.7+265.3+30.2</f>
        <v>1426</v>
      </c>
      <c r="UX23" s="594"/>
      <c r="UY23" s="594"/>
      <c r="UZ23" s="533"/>
      <c r="VA23" s="84">
        <f>17.8+36.6+320.6+24.8+14.6+36.8+16.8+130+614.3+6.1-0.3</f>
        <v>1218.0999999999999</v>
      </c>
      <c r="VB23" s="492"/>
      <c r="VC23" s="512" t="s">
        <v>69</v>
      </c>
      <c r="VD23" s="458"/>
      <c r="VE23" s="458"/>
      <c r="VF23" s="458"/>
      <c r="VG23" s="396" t="s">
        <v>6</v>
      </c>
      <c r="VH23" s="532">
        <f>319.5+78.6+222.8+587.9+135+8.3</f>
        <v>1352.1000000000001</v>
      </c>
      <c r="VI23" s="594"/>
      <c r="VJ23" s="594"/>
      <c r="VK23" s="533"/>
      <c r="VL23" s="84">
        <v>1277</v>
      </c>
      <c r="VM23" s="532">
        <f>319.7+78.8+225.6+431.9+267+12.2</f>
        <v>1335.2</v>
      </c>
      <c r="VN23" s="594"/>
      <c r="VO23" s="594"/>
      <c r="VP23" s="533"/>
      <c r="VQ23" s="84">
        <f>87.6+25.8+320.4+23.2+13.6+42.2+4.4+448+161.2+0.5</f>
        <v>1126.8999999999999</v>
      </c>
      <c r="VR23" s="532">
        <f>319.7+78.8+225.6+431.9+267+12.2</f>
        <v>1335.2</v>
      </c>
      <c r="VS23" s="594"/>
      <c r="VT23" s="594"/>
      <c r="VU23" s="533"/>
      <c r="VV23" s="84">
        <f>66.2+44.6+321+23.2+13.6+41.2+1.8+442+157.6+0.4</f>
        <v>1111.6000000000001</v>
      </c>
      <c r="VW23" s="532">
        <f>320+78.6+230+559.2+26.2+135</f>
        <v>1349.0000000000002</v>
      </c>
      <c r="VX23" s="594"/>
      <c r="VY23" s="594"/>
      <c r="VZ23" s="533"/>
      <c r="WA23" s="84">
        <f>89.6+39+321+24.2+10.4+37+8+454+165.8</f>
        <v>1149</v>
      </c>
      <c r="WB23" s="492"/>
      <c r="WC23" s="512" t="s">
        <v>69</v>
      </c>
      <c r="WD23" s="458"/>
      <c r="WE23" s="458"/>
      <c r="WF23" s="458"/>
      <c r="WG23" s="396" t="s">
        <v>6</v>
      </c>
      <c r="WH23" s="532">
        <f>320.1+57.4+203.9+670.2+135+20.6</f>
        <v>1407.1999999999998</v>
      </c>
      <c r="WI23" s="594"/>
      <c r="WJ23" s="594"/>
      <c r="WK23" s="533"/>
      <c r="WL23" s="84">
        <f>8.8+35.6+321.2+22.2+11.6+39.4+145.8+2.6+631.2+18.5</f>
        <v>1236.9000000000001</v>
      </c>
      <c r="WM23" s="532">
        <f>320.2+56.4+199+527.1+267+11.9-0.5</f>
        <v>1381.1</v>
      </c>
      <c r="WN23" s="594"/>
      <c r="WO23" s="594"/>
      <c r="WP23" s="533"/>
      <c r="WQ23" s="84">
        <f>19.2+37+321.6+21.4+11.6+40.2+0.6+453.1+137.4+14.6</f>
        <v>1056.7</v>
      </c>
      <c r="WR23" s="532">
        <f>320.4+83.2+226.2+667.4+135+14.9</f>
        <v>1447.1</v>
      </c>
      <c r="WS23" s="594"/>
      <c r="WT23" s="594"/>
      <c r="WU23" s="533"/>
      <c r="WV23" s="84">
        <f>51.4+44.2+321.4+21.6+10.6+40.8+1.8+668.6+1.9+148</f>
        <v>1310.3000000000002</v>
      </c>
      <c r="WW23" s="532">
        <f>320.4+83.6+218.3+643.6+135+13.4</f>
        <v>1414.3000000000002</v>
      </c>
      <c r="WX23" s="594"/>
      <c r="WY23" s="594"/>
      <c r="WZ23" s="533"/>
      <c r="XA23" s="84">
        <f>53+41.6+321.6+19+10.4+39.6+1.2+683.3+147</f>
        <v>1316.7</v>
      </c>
      <c r="XB23" s="492"/>
      <c r="XC23" s="512" t="s">
        <v>69</v>
      </c>
      <c r="XD23" s="458"/>
      <c r="XE23" s="458"/>
      <c r="XF23" s="458"/>
      <c r="XG23" s="396" t="s">
        <v>6</v>
      </c>
      <c r="XH23" s="532">
        <v>1466.4</v>
      </c>
      <c r="XI23" s="594"/>
      <c r="XJ23" s="594"/>
      <c r="XK23" s="533"/>
      <c r="XL23" s="84">
        <f>59.8+34.4+321.4+18.8+10.4+41+2.6+661.8+2.7+149.8-0.5</f>
        <v>1302.1999999999998</v>
      </c>
      <c r="XM23" s="532">
        <f>320.5+87.3+223+717.5+10+14</f>
        <v>1372.3</v>
      </c>
      <c r="XN23" s="594"/>
      <c r="XO23" s="594"/>
      <c r="XP23" s="533"/>
      <c r="XQ23" s="84">
        <v>1299</v>
      </c>
      <c r="XR23" s="532">
        <v>1292</v>
      </c>
      <c r="XS23" s="594"/>
      <c r="XT23" s="594"/>
      <c r="XU23" s="533"/>
      <c r="XV23" s="84">
        <v>1010</v>
      </c>
      <c r="XW23" s="532" t="s">
        <v>724</v>
      </c>
      <c r="XX23" s="594"/>
      <c r="XY23" s="594"/>
      <c r="XZ23" s="533"/>
      <c r="YA23" s="84">
        <v>1142</v>
      </c>
      <c r="YB23" s="492"/>
      <c r="YC23" s="512" t="s">
        <v>69</v>
      </c>
      <c r="YD23" s="458"/>
      <c r="YE23" s="458"/>
      <c r="YF23" s="458"/>
      <c r="YG23" s="396" t="s">
        <v>6</v>
      </c>
      <c r="YH23" s="532">
        <v>1359</v>
      </c>
      <c r="YI23" s="594"/>
      <c r="YJ23" s="594"/>
      <c r="YK23" s="533"/>
      <c r="YL23" s="84">
        <f>85.8+43.8+321.4+19.4+10.6+33.4+3.2+553.2+143</f>
        <v>1213.8000000000002</v>
      </c>
      <c r="YM23" s="532">
        <f>320.6+115.8+190.9+537.8+98+14</f>
        <v>1277.0999999999999</v>
      </c>
      <c r="YN23" s="594"/>
      <c r="YO23" s="594"/>
      <c r="YP23" s="533"/>
      <c r="YQ23" s="84">
        <f>131+34.2+320.8+20.2+10.6+35.2+5.8+599.6+127.6</f>
        <v>1285</v>
      </c>
      <c r="YR23" s="532">
        <f>319.4+84+171.3+552.7+98+13.1-0.5</f>
        <v>1238</v>
      </c>
      <c r="YS23" s="594"/>
      <c r="YT23" s="594"/>
      <c r="YU23" s="533"/>
      <c r="YV23" s="84">
        <v>1168</v>
      </c>
      <c r="YW23" s="532">
        <v>1453.7</v>
      </c>
      <c r="YX23" s="594"/>
      <c r="YY23" s="594"/>
      <c r="YZ23" s="533"/>
      <c r="ZA23" s="84">
        <f>1331.1+0.4</f>
        <v>1331.5</v>
      </c>
      <c r="ZB23" s="492"/>
      <c r="ZC23" s="512" t="s">
        <v>69</v>
      </c>
      <c r="ZD23" s="458"/>
      <c r="ZE23" s="458"/>
      <c r="ZF23" s="458"/>
      <c r="ZG23" s="396" t="s">
        <v>6</v>
      </c>
      <c r="ZH23" s="532">
        <v>1406.1</v>
      </c>
      <c r="ZI23" s="594"/>
      <c r="ZJ23" s="594"/>
      <c r="ZK23" s="533"/>
      <c r="ZL23" s="84">
        <v>1284</v>
      </c>
      <c r="ZM23" s="532">
        <f t="shared" ref="ZM23" si="25">319.6+108.1+203.2+482.9+110+17.9</f>
        <v>1241.7000000000003</v>
      </c>
      <c r="ZN23" s="594"/>
      <c r="ZO23" s="594"/>
      <c r="ZP23" s="533"/>
      <c r="ZQ23" s="84">
        <v>1065.4000000000001</v>
      </c>
      <c r="ZR23" s="532">
        <f>319.5+68.9+197.6+683.2+90.8+19.6</f>
        <v>1379.6</v>
      </c>
      <c r="ZS23" s="594"/>
      <c r="ZT23" s="594"/>
      <c r="ZU23" s="533"/>
      <c r="ZV23" s="84">
        <f>29.2+40.4+320.6+18.8+11.6+30.4+0+670.4+16.9+140.4</f>
        <v>1278.7000000000003</v>
      </c>
      <c r="ZW23" s="532">
        <f>319.6+73+184.4+563+98+6.1</f>
        <v>1244.0999999999999</v>
      </c>
      <c r="ZX23" s="594"/>
      <c r="ZY23" s="594"/>
      <c r="ZZ23" s="533"/>
      <c r="AAA23" s="84">
        <v>1136.2</v>
      </c>
      <c r="AAB23" s="492"/>
      <c r="AAC23" s="512" t="s">
        <v>69</v>
      </c>
      <c r="AAD23" s="458"/>
      <c r="AAE23" s="458"/>
      <c r="AAF23" s="458"/>
      <c r="AAG23" s="396" t="s">
        <v>6</v>
      </c>
      <c r="AAH23" s="532">
        <f>319.6+103.3+202.9+615.7+98+2.1</f>
        <v>1341.6</v>
      </c>
      <c r="AAI23" s="594"/>
      <c r="AAJ23" s="594"/>
      <c r="AAK23" s="533"/>
      <c r="AAL23" s="84">
        <f>100+27.6+320.4+19+9.6+31.6+1+587.8+173</f>
        <v>1270</v>
      </c>
      <c r="AAM23" s="532">
        <f>319.4+75+242.3+551.4+94+5.1+0.8</f>
        <v>1287.9999999999998</v>
      </c>
      <c r="AAN23" s="594"/>
      <c r="AAO23" s="594"/>
      <c r="AAP23" s="533"/>
      <c r="AAQ23" s="84">
        <f>186+37.8+320.8+18.4+12+32+1+485.8+180.2</f>
        <v>1274</v>
      </c>
      <c r="AAR23" s="532">
        <f>319.6+74.8+249.3+669.2+32.8+5.7</f>
        <v>1351.4</v>
      </c>
      <c r="AAS23" s="594"/>
      <c r="AAT23" s="594"/>
      <c r="AAU23" s="533"/>
      <c r="AAV23" s="84">
        <v>1298</v>
      </c>
      <c r="AAW23" s="532">
        <f>319.8+121+327.2+563.4+94+0.6</f>
        <v>1426</v>
      </c>
      <c r="AAX23" s="594"/>
      <c r="AAY23" s="594"/>
      <c r="AAZ23" s="533"/>
      <c r="ABA23" s="84">
        <v>1215.2</v>
      </c>
      <c r="ABB23" s="492"/>
      <c r="ABC23" s="512" t="s">
        <v>69</v>
      </c>
      <c r="ABD23" s="458"/>
      <c r="ABE23" s="458"/>
      <c r="ABF23" s="458"/>
      <c r="ABG23" s="396" t="s">
        <v>6</v>
      </c>
      <c r="ABH23" s="532">
        <f>319.8+75+250.9+625.1+76.9+6.8-0.5</f>
        <v>1354.0000000000002</v>
      </c>
      <c r="ABI23" s="594"/>
      <c r="ABJ23" s="594"/>
      <c r="ABK23" s="533"/>
      <c r="ABL23" s="84">
        <f>1298.6-0.5</f>
        <v>1298.0999999999999</v>
      </c>
      <c r="ABM23" s="532">
        <f>319.8+73.4+197.5+675.8+26.2+4.3</f>
        <v>1297</v>
      </c>
      <c r="ABN23" s="594"/>
      <c r="ABO23" s="594"/>
      <c r="ABP23" s="533"/>
      <c r="ABQ23" s="84">
        <v>1226.5</v>
      </c>
      <c r="ABR23" s="532">
        <f>319.8+72.8+197.6+387.4+210+7.1</f>
        <v>1194.6999999999998</v>
      </c>
      <c r="ABS23" s="594"/>
      <c r="ABT23" s="594"/>
      <c r="ABU23" s="533"/>
      <c r="ABV23" s="84">
        <f>79.2+44.2+320.8+16+12+38.6+6+395+167</f>
        <v>1078.8000000000002</v>
      </c>
      <c r="ABW23" s="532">
        <f>319.9+98.1+158.5+644.5+56+16.1</f>
        <v>1293.0999999999999</v>
      </c>
      <c r="ABX23" s="594"/>
      <c r="ABY23" s="594"/>
      <c r="ABZ23" s="533"/>
      <c r="ACA23" s="84">
        <f>74.4+38.2+321.4+17.6+11.2+41.2+7.6+604.4+112</f>
        <v>1228</v>
      </c>
      <c r="ACB23" s="492"/>
      <c r="ACC23" s="512" t="s">
        <v>69</v>
      </c>
      <c r="ACD23" s="458"/>
      <c r="ACE23" s="458"/>
      <c r="ACF23" s="458"/>
      <c r="ACG23" s="396" t="s">
        <v>6</v>
      </c>
      <c r="ACH23" s="532">
        <f>319.9+96.9+168.6+657.5+44.5+13.5</f>
        <v>1300.9000000000001</v>
      </c>
      <c r="ACI23" s="594"/>
      <c r="ACJ23" s="594"/>
      <c r="ACK23" s="533"/>
      <c r="ACL23" s="84">
        <v>1253</v>
      </c>
      <c r="ACM23" s="529">
        <v>1333</v>
      </c>
      <c r="ACN23" s="530"/>
      <c r="ACO23" s="530"/>
      <c r="ACP23" s="531"/>
      <c r="ACQ23" s="84">
        <f>102.8+27.4+321.2+19.4+11+46.6+2+615.8+141.2</f>
        <v>1287.3999999999999</v>
      </c>
      <c r="ACR23" s="532">
        <f>319.8+105.5+206.3+477+142+21.8</f>
        <v>1272.3999999999999</v>
      </c>
      <c r="ACS23" s="594"/>
      <c r="ACT23" s="594"/>
      <c r="ACU23" s="533"/>
      <c r="ACV23" s="84">
        <v>1297</v>
      </c>
      <c r="ACW23" s="529">
        <v>1343</v>
      </c>
      <c r="ACX23" s="530"/>
      <c r="ACY23" s="530"/>
      <c r="ACZ23" s="531"/>
      <c r="ADA23" s="84">
        <v>1203</v>
      </c>
      <c r="ADB23" s="492"/>
      <c r="ADC23" s="512" t="s">
        <v>69</v>
      </c>
      <c r="ADD23" s="458"/>
      <c r="ADE23" s="458"/>
      <c r="ADF23" s="458"/>
      <c r="ADG23" s="396" t="s">
        <v>6</v>
      </c>
      <c r="ADH23" s="529">
        <f>319.9+151.9+208.3+540.7+142+17</f>
        <v>1379.8</v>
      </c>
      <c r="ADI23" s="530"/>
      <c r="ADJ23" s="530"/>
      <c r="ADK23" s="531"/>
      <c r="ADL23" s="84">
        <v>1334.8000000000002</v>
      </c>
      <c r="ADM23" s="529">
        <f>320.2+151.9+203.2+558.2+142+21.3</f>
        <v>1396.8</v>
      </c>
      <c r="ADN23" s="530"/>
      <c r="ADO23" s="530"/>
      <c r="ADP23" s="531"/>
      <c r="ADQ23" s="84">
        <f>280.2+40.4+320.8+17.6+15+41.6+17+467.6+123+0.3</f>
        <v>1323.5</v>
      </c>
      <c r="ADR23" s="529">
        <f>320.2+94.1+261.5+641.7+74.3+6.1</f>
        <v>1397.8999999999999</v>
      </c>
      <c r="ADS23" s="530"/>
      <c r="ADT23" s="530"/>
      <c r="ADU23" s="531"/>
      <c r="ADV23" s="84">
        <v>1342</v>
      </c>
      <c r="ADW23" s="532">
        <f>320.1+91.5+237.1+493.7+142+0.7</f>
        <v>1285.1000000000001</v>
      </c>
      <c r="ADX23" s="594"/>
      <c r="ADY23" s="594"/>
      <c r="ADZ23" s="533"/>
      <c r="AEA23" s="84">
        <f>81.6+27.2+321.1+18.2+16+50+500.8+158.4</f>
        <v>1173.3000000000002</v>
      </c>
      <c r="AEB23" s="492"/>
      <c r="AEC23" s="512" t="s">
        <v>69</v>
      </c>
      <c r="AED23" s="458"/>
      <c r="AEE23" s="458"/>
      <c r="AEF23" s="458"/>
      <c r="AEG23" s="396" t="s">
        <v>6</v>
      </c>
      <c r="AEH23" s="529">
        <f>320.2+91.7+239+354.9+158+22.3</f>
        <v>1186.0999999999999</v>
      </c>
      <c r="AEI23" s="530"/>
      <c r="AEJ23" s="530"/>
      <c r="AEK23" s="531"/>
      <c r="AEL23" s="84">
        <f>95.6+27.8+321+16.4+16+50.4+10.2+399+169.8</f>
        <v>1106.2</v>
      </c>
      <c r="AEM23" s="529">
        <f>363.6+106.2+318.8+635.1+49+5.8-0.1</f>
        <v>1478.4</v>
      </c>
      <c r="AEN23" s="530"/>
      <c r="AEO23" s="530"/>
      <c r="AEP23" s="531"/>
      <c r="AEQ23" s="84"/>
      <c r="AER23" s="84">
        <f>((506+386+3656+156+138+458+8+5874+2402)/10)+0.1</f>
        <v>1358.5</v>
      </c>
      <c r="AES23" s="529">
        <f>384.2+107.2+252.5+639.5+49+4</f>
        <v>1436.4</v>
      </c>
      <c r="AET23" s="530"/>
      <c r="AEU23" s="530"/>
      <c r="AEV23" s="531"/>
      <c r="AEW23" s="84">
        <f>76.6+52.2+385.6+15.8+15.6+53.6+0+606.2+178.4</f>
        <v>1384.0000000000002</v>
      </c>
      <c r="AEX23" s="529">
        <v>1479</v>
      </c>
      <c r="AEY23" s="530"/>
      <c r="AEZ23" s="530"/>
      <c r="AFA23" s="531"/>
      <c r="AFB23" s="84">
        <f>50.8+37.4+406.8+16.6+15.6+51.6+36.6+546.4+165.4</f>
        <v>1327.2000000000003</v>
      </c>
      <c r="AFC23" s="492"/>
      <c r="AFD23" s="512" t="s">
        <v>69</v>
      </c>
      <c r="AFE23" s="458"/>
      <c r="AFF23" s="458"/>
      <c r="AFG23" s="458"/>
      <c r="AFH23" s="396" t="s">
        <v>6</v>
      </c>
      <c r="AFI23" s="529">
        <v>1345</v>
      </c>
      <c r="AFJ23" s="530"/>
      <c r="AFK23" s="530"/>
      <c r="AFL23" s="531"/>
      <c r="AFM23" s="84">
        <f>54.6+29.2+413.8+18.8+15.8+40.2+31.8+403.6+145+0.8</f>
        <v>1153.5999999999999</v>
      </c>
      <c r="AFN23" s="529">
        <v>1418</v>
      </c>
      <c r="AFO23" s="530"/>
      <c r="AFP23" s="530"/>
      <c r="AFQ23" s="531"/>
      <c r="AFR23" s="84">
        <f>41+36.4+413.8+19+15.8+40.6+22.8+601.5+148.2+7.5</f>
        <v>1346.6000000000001</v>
      </c>
      <c r="AFS23" s="529">
        <f>412+72.2+230.9+595+99+4.5-0.4</f>
        <v>1413.1999999999998</v>
      </c>
      <c r="AFT23" s="530"/>
      <c r="AFU23" s="530"/>
      <c r="AFV23" s="531"/>
      <c r="AFW23" s="84">
        <v>1357</v>
      </c>
      <c r="AFX23" s="529">
        <f>412+63.6+217.2+454.2+178+12.9</f>
        <v>1337.9</v>
      </c>
      <c r="AFY23" s="530"/>
      <c r="AFZ23" s="530"/>
      <c r="AGA23" s="531"/>
      <c r="AGB23" s="84">
        <f>67+26.6+413.8+16.6+15.6+37.8+10.2+403.3+149.4+0.5</f>
        <v>1140.8000000000002</v>
      </c>
      <c r="AGC23" s="492"/>
      <c r="AGD23" s="512" t="s">
        <v>69</v>
      </c>
      <c r="AGE23" s="458"/>
      <c r="AGF23" s="458"/>
      <c r="AGG23" s="458"/>
      <c r="AGH23" s="396" t="s">
        <v>6</v>
      </c>
      <c r="AGI23" s="529">
        <f>412+63.4+212.8+600.4+99+5.1</f>
        <v>1392.6999999999998</v>
      </c>
      <c r="AGJ23" s="530"/>
      <c r="AGK23" s="530"/>
      <c r="AGL23" s="531"/>
      <c r="AGM23" s="84">
        <f>50.6+25.4+413.8+16.8+15.4+38.2+0.2+636.1+9.3+142.8</f>
        <v>1348.6</v>
      </c>
      <c r="AGN23" s="529">
        <f>412+84.5+231.7+492.8+203+19.9</f>
        <v>1443.9</v>
      </c>
      <c r="AGO23" s="530"/>
      <c r="AGP23" s="530"/>
      <c r="AGQ23" s="531"/>
      <c r="AGR23" s="84">
        <v>1339</v>
      </c>
      <c r="AGS23" s="529">
        <v>1562.4</v>
      </c>
      <c r="AGT23" s="530"/>
      <c r="AGU23" s="530"/>
      <c r="AGV23" s="531"/>
      <c r="AGW23" s="84">
        <f>70+40+413.8+15+16+50+1.2+578.6+253.2</f>
        <v>1437.8</v>
      </c>
      <c r="AGX23" s="529">
        <v>1421</v>
      </c>
      <c r="AGY23" s="530"/>
      <c r="AGZ23" s="530"/>
      <c r="AHA23" s="531"/>
      <c r="AHB23" s="84">
        <v>1273.2</v>
      </c>
      <c r="AHC23" s="492"/>
      <c r="AHD23" s="512" t="s">
        <v>69</v>
      </c>
      <c r="AHE23" s="458"/>
      <c r="AHF23" s="458"/>
      <c r="AHG23" s="458"/>
      <c r="AHH23" s="396" t="s">
        <v>6</v>
      </c>
      <c r="AHI23" s="529">
        <f>412.1+93.5+239.5+625.1+157.9+2.7</f>
        <v>1530.8000000000002</v>
      </c>
      <c r="AHJ23" s="530"/>
      <c r="AHK23" s="530"/>
      <c r="AHL23" s="531"/>
      <c r="AHM23" s="84">
        <f>50.4+38.2+413.4+14.4+15.8+40.6+0.2+632+164.6</f>
        <v>1369.6</v>
      </c>
      <c r="AHN23" s="529">
        <f>412+96.3+239.8+470.7+203+4.6</f>
        <v>1426.3999999999999</v>
      </c>
      <c r="AHO23" s="530"/>
      <c r="AHP23" s="530"/>
      <c r="AHQ23" s="531"/>
      <c r="AHR23" s="84">
        <v>1372</v>
      </c>
      <c r="AHS23" s="529">
        <v>1432</v>
      </c>
      <c r="AHT23" s="530"/>
      <c r="AHU23" s="530"/>
      <c r="AHV23" s="531"/>
      <c r="AHW23" s="84">
        <v>1286.5999999999999</v>
      </c>
      <c r="AHX23" s="529">
        <f>297.3+96.9+329.9+663.5+200.4+16.8</f>
        <v>1604.8</v>
      </c>
      <c r="AHY23" s="530"/>
      <c r="AHZ23" s="530"/>
      <c r="AIA23" s="531"/>
      <c r="AIB23" s="84">
        <f>178.4+58+299.4+17.2+16+52.6+16.2+673.2+266.4</f>
        <v>1577.4</v>
      </c>
      <c r="AIC23" s="492"/>
      <c r="AID23" s="512" t="s">
        <v>69</v>
      </c>
      <c r="AIE23" s="458"/>
      <c r="AIF23" s="458"/>
      <c r="AIG23" s="458"/>
      <c r="AIH23" s="396" t="s">
        <v>6</v>
      </c>
      <c r="AII23" s="529">
        <v>1573</v>
      </c>
      <c r="AIJ23" s="530"/>
      <c r="AIK23" s="530"/>
      <c r="AIL23" s="531"/>
      <c r="AIM23" s="84">
        <f>162.6+82+299.2+15.4+16+52.8+3+543.6+219</f>
        <v>1393.6</v>
      </c>
      <c r="AIN23" s="529">
        <f>297.6+94.1+282.3+631+222+8.7</f>
        <v>1535.7</v>
      </c>
      <c r="AIO23" s="530"/>
      <c r="AIP23" s="530"/>
      <c r="AIQ23" s="531"/>
      <c r="AIR23" s="84">
        <f>65.8+40.2+298.6+14.2+15.8+43.8+5.4+581.8+212.4</f>
        <v>1278</v>
      </c>
      <c r="AIS23" s="529">
        <f>297.7+92.3+272.3+533.5+102+5.4</f>
        <v>1303.2</v>
      </c>
      <c r="AIT23" s="530"/>
      <c r="AIU23" s="530"/>
      <c r="AIV23" s="531"/>
      <c r="AIW23" s="84">
        <v>1178</v>
      </c>
      <c r="AIX23" s="529">
        <f>297.7+94.7+272.8+108+508+7</f>
        <v>1288.2</v>
      </c>
      <c r="AIY23" s="530"/>
      <c r="AIZ23" s="530"/>
      <c r="AJA23" s="531"/>
      <c r="AJB23" s="84">
        <v>1178</v>
      </c>
      <c r="AJC23" s="492"/>
      <c r="AJD23" s="512" t="s">
        <v>69</v>
      </c>
      <c r="AJE23" s="458"/>
      <c r="AJF23" s="458"/>
      <c r="AJG23" s="458"/>
      <c r="AJH23" s="396" t="s">
        <v>6</v>
      </c>
      <c r="AJI23" s="529">
        <f>297.7+95.7+273.3+728.2+161.8+4.1</f>
        <v>1560.8</v>
      </c>
      <c r="AJJ23" s="530"/>
      <c r="AJK23" s="530"/>
      <c r="AJL23" s="531"/>
      <c r="AJM23" s="84">
        <f>145.4+38.8+299.2+17.8+15.6+52.6+4.4+639.6+196.2-0.2</f>
        <v>1409.4</v>
      </c>
      <c r="AJN23" s="529">
        <v>1334</v>
      </c>
      <c r="AJO23" s="530"/>
      <c r="AJP23" s="530"/>
      <c r="AJQ23" s="531"/>
      <c r="AJR23" s="84">
        <v>1334</v>
      </c>
      <c r="AJS23" s="529">
        <f>205.9+93.5+259.4+865.9+24.1+6.6</f>
        <v>1455.3999999999996</v>
      </c>
      <c r="AJT23" s="530"/>
      <c r="AJU23" s="530"/>
      <c r="AJV23" s="531"/>
      <c r="AJW23" s="84">
        <v>1388</v>
      </c>
      <c r="AJX23" s="529">
        <v>1469</v>
      </c>
      <c r="AJY23" s="530"/>
      <c r="AJZ23" s="530"/>
      <c r="AKA23" s="531"/>
      <c r="AKB23" s="411">
        <v>1424.9</v>
      </c>
      <c r="AKC23" s="492"/>
      <c r="AKD23" s="512" t="s">
        <v>69</v>
      </c>
      <c r="AKE23" s="458"/>
      <c r="AKF23" s="458"/>
      <c r="AKG23" s="458"/>
      <c r="AKH23" s="396" t="s">
        <v>6</v>
      </c>
      <c r="AKI23" s="529">
        <v>1451</v>
      </c>
      <c r="AKJ23" s="530"/>
      <c r="AKK23" s="530"/>
      <c r="AKL23" s="531"/>
      <c r="AKM23" s="84">
        <f>1381.4+0.6</f>
        <v>1382</v>
      </c>
      <c r="AKN23" s="529">
        <v>1474</v>
      </c>
      <c r="AKO23" s="530"/>
      <c r="AKP23" s="530"/>
      <c r="AKQ23" s="531"/>
      <c r="AKR23" s="84">
        <f>80.4+80.6+207+15.6+14.6+35+23.4+679.4+200.2</f>
        <v>1336.2</v>
      </c>
      <c r="AKS23" s="529">
        <v>1496.3</v>
      </c>
      <c r="AKT23" s="530"/>
      <c r="AKU23" s="530"/>
      <c r="AKV23" s="531"/>
      <c r="AKW23" s="84">
        <f>75.6+52.4+207.2+13.2+14.4+37+9+769.4+196</f>
        <v>1374.1999999999998</v>
      </c>
      <c r="AKX23" s="529">
        <v>1511</v>
      </c>
      <c r="AKY23" s="530"/>
      <c r="AKZ23" s="530"/>
      <c r="ALA23" s="531"/>
      <c r="ALB23" s="84">
        <f>50.4+37.8+207.2+12.8+15.6+36.4+3.8+720.2+16.7+179.8</f>
        <v>1280.7</v>
      </c>
      <c r="ALC23" s="492"/>
      <c r="ALD23" s="512" t="s">
        <v>69</v>
      </c>
      <c r="ALE23" s="458"/>
      <c r="ALF23" s="458"/>
      <c r="ALG23" s="458"/>
      <c r="ALH23" s="396" t="s">
        <v>6</v>
      </c>
      <c r="ALI23" s="529">
        <f>206.1+91.3+256.5+826.6+98+22-0.1</f>
        <v>1500.4</v>
      </c>
      <c r="ALJ23" s="530"/>
      <c r="ALK23" s="530"/>
      <c r="ALL23" s="531"/>
      <c r="ALM23" s="84">
        <v>1430.2</v>
      </c>
      <c r="ALN23" s="529">
        <f>206.1+94.9+330.5+854.4+98+2.2</f>
        <v>1586.1000000000001</v>
      </c>
      <c r="ALO23" s="530"/>
      <c r="ALP23" s="530"/>
      <c r="ALQ23" s="531"/>
      <c r="ALR23" s="84">
        <v>1457</v>
      </c>
      <c r="ALS23" s="529">
        <v>1528</v>
      </c>
      <c r="ALT23" s="530"/>
      <c r="ALU23" s="530"/>
      <c r="ALV23" s="531"/>
      <c r="ALW23" s="84">
        <f>73.8+35.6+207.2+14.8+15.4+42.6+4.6+784.2+209.6</f>
        <v>1387.8</v>
      </c>
      <c r="ALX23" s="529">
        <v>1516</v>
      </c>
      <c r="ALY23" s="530"/>
      <c r="ALZ23" s="530"/>
      <c r="AMA23" s="531"/>
      <c r="AMB23" s="84">
        <v>1392</v>
      </c>
      <c r="AMC23" s="492"/>
      <c r="AMD23" s="512" t="s">
        <v>69</v>
      </c>
      <c r="AME23" s="458"/>
      <c r="AMF23" s="458"/>
      <c r="AMG23" s="458"/>
      <c r="AMH23" s="396" t="s">
        <v>6</v>
      </c>
      <c r="AMI23" s="529">
        <v>1359</v>
      </c>
      <c r="AMJ23" s="530"/>
      <c r="AMK23" s="530"/>
      <c r="AML23" s="531"/>
      <c r="AMM23" s="84">
        <v>1313</v>
      </c>
      <c r="AMN23" s="529">
        <v>1401</v>
      </c>
      <c r="AMO23" s="530"/>
      <c r="AMP23" s="530"/>
      <c r="AMQ23" s="531"/>
      <c r="AMR23" s="84">
        <f>50.4+32.8+206.8+13.6+15.4+42.2+0.4+651.1+0.7+217.6+0.5</f>
        <v>1231.5</v>
      </c>
      <c r="AMS23" s="84"/>
      <c r="AMT23" s="529">
        <v>1494</v>
      </c>
      <c r="AMU23" s="530"/>
      <c r="AMV23" s="530"/>
      <c r="AMW23" s="531"/>
      <c r="AMX23" s="84">
        <f>1420.1+0.4</f>
        <v>1420.5</v>
      </c>
      <c r="AMY23" s="529">
        <v>1482</v>
      </c>
      <c r="AMZ23" s="530"/>
      <c r="ANA23" s="530"/>
      <c r="ANB23" s="531"/>
      <c r="ANC23" s="84">
        <f>1413.5-0.1</f>
        <v>1413.4</v>
      </c>
      <c r="AND23" s="492"/>
      <c r="ANE23" s="512" t="s">
        <v>69</v>
      </c>
      <c r="ANF23" s="458"/>
      <c r="ANG23" s="458"/>
      <c r="ANH23" s="458"/>
      <c r="ANI23" s="396" t="s">
        <v>6</v>
      </c>
      <c r="ANJ23" s="529">
        <v>1358</v>
      </c>
      <c r="ANK23" s="530"/>
      <c r="ANL23" s="530"/>
      <c r="ANM23" s="531"/>
      <c r="ANN23" s="84">
        <v>1216.8</v>
      </c>
      <c r="ANO23" s="529">
        <v>1363.7</v>
      </c>
      <c r="ANP23" s="530"/>
      <c r="ANQ23" s="530"/>
      <c r="ANR23" s="531"/>
      <c r="ANS23" s="84">
        <f>54.4+54+207+15.6+15.8+43.2+2.4+598.5+160.4</f>
        <v>1151.3</v>
      </c>
      <c r="ANT23" s="84"/>
      <c r="ANU23" s="529">
        <v>1473</v>
      </c>
      <c r="ANV23" s="530"/>
      <c r="ANW23" s="530"/>
      <c r="ANX23" s="531"/>
      <c r="ANY23" s="84">
        <v>1392.2</v>
      </c>
      <c r="ANZ23" s="529">
        <v>1485.5</v>
      </c>
      <c r="AOA23" s="530"/>
      <c r="AOB23" s="530"/>
      <c r="AOC23" s="531"/>
      <c r="AOD23" s="84">
        <v>1322</v>
      </c>
      <c r="AOE23" s="492"/>
      <c r="AOF23" s="512" t="s">
        <v>69</v>
      </c>
      <c r="AOG23" s="458"/>
      <c r="AOH23" s="458"/>
      <c r="AOI23" s="458"/>
      <c r="AOJ23" s="396" t="s">
        <v>6</v>
      </c>
      <c r="AOK23" s="529">
        <v>1444</v>
      </c>
      <c r="AOL23" s="530"/>
      <c r="AOM23" s="530"/>
      <c r="AON23" s="531"/>
      <c r="AOO23" s="84">
        <v>1436</v>
      </c>
      <c r="AOP23" s="529">
        <f>205.9+92.8+266.3+567.9+215+7.8-0.3</f>
        <v>1355.4</v>
      </c>
      <c r="AOQ23" s="530"/>
      <c r="AOR23" s="530"/>
      <c r="AOS23" s="531"/>
      <c r="AOT23" s="84">
        <v>1206</v>
      </c>
      <c r="AOU23" s="84"/>
      <c r="AOV23" s="529">
        <v>1332</v>
      </c>
      <c r="AOW23" s="530"/>
      <c r="AOX23" s="530"/>
      <c r="AOY23" s="531"/>
      <c r="AOZ23" s="84">
        <v>1293</v>
      </c>
      <c r="APA23" s="529"/>
      <c r="APB23" s="530"/>
      <c r="APC23" s="530"/>
      <c r="APD23" s="531"/>
      <c r="APE23" s="84"/>
    </row>
    <row r="24" spans="1:1097" ht="45" customHeight="1" x14ac:dyDescent="0.4">
      <c r="A24" s="294" t="s">
        <v>725</v>
      </c>
      <c r="B24" s="26"/>
      <c r="C24" s="534" t="s">
        <v>5</v>
      </c>
      <c r="D24" s="535"/>
      <c r="E24" s="535"/>
      <c r="F24" s="536"/>
      <c r="G24" s="540">
        <f>795-72</f>
        <v>723</v>
      </c>
      <c r="H24" s="598"/>
      <c r="I24" s="598"/>
      <c r="J24" s="541"/>
      <c r="K24" s="27">
        <v>615.40949999999998</v>
      </c>
      <c r="L24" s="540">
        <v>757</v>
      </c>
      <c r="M24" s="598"/>
      <c r="N24" s="598"/>
      <c r="O24" s="541"/>
      <c r="P24" s="27">
        <f>432+24.8</f>
        <v>456.8</v>
      </c>
      <c r="Q24" s="540">
        <f>376.2+264+25.6</f>
        <v>665.80000000000007</v>
      </c>
      <c r="R24" s="598"/>
      <c r="S24" s="598"/>
      <c r="T24" s="541"/>
      <c r="U24" s="27">
        <f>476.6+20.2</f>
        <v>496.8</v>
      </c>
      <c r="V24" s="540">
        <v>910</v>
      </c>
      <c r="W24" s="598"/>
      <c r="X24" s="598"/>
      <c r="Y24" s="541"/>
      <c r="Z24" s="27">
        <v>780.6</v>
      </c>
      <c r="AA24" s="294" t="s">
        <v>725</v>
      </c>
      <c r="AB24" s="26"/>
      <c r="AC24" s="534" t="s">
        <v>5</v>
      </c>
      <c r="AD24" s="535"/>
      <c r="AE24" s="535"/>
      <c r="AF24" s="536"/>
      <c r="AG24" s="540">
        <v>915.2</v>
      </c>
      <c r="AH24" s="598"/>
      <c r="AI24" s="598"/>
      <c r="AJ24" s="541"/>
      <c r="AK24" s="27">
        <v>757.3</v>
      </c>
      <c r="AL24" s="540">
        <v>912.5</v>
      </c>
      <c r="AM24" s="598"/>
      <c r="AN24" s="598"/>
      <c r="AO24" s="541"/>
      <c r="AP24" s="27">
        <v>826.67790000000002</v>
      </c>
      <c r="AQ24" s="540">
        <f>697+154+5.8</f>
        <v>856.8</v>
      </c>
      <c r="AR24" s="598"/>
      <c r="AS24" s="598"/>
      <c r="AT24" s="541"/>
      <c r="AU24" s="27">
        <v>487</v>
      </c>
      <c r="AV24" s="540">
        <v>946.2</v>
      </c>
      <c r="AW24" s="598"/>
      <c r="AX24" s="598"/>
      <c r="AY24" s="541"/>
      <c r="AZ24" s="27">
        <f>709.1+3.8</f>
        <v>712.9</v>
      </c>
      <c r="BA24" s="294" t="s">
        <v>725</v>
      </c>
      <c r="BB24" s="26"/>
      <c r="BC24" s="534" t="s">
        <v>5</v>
      </c>
      <c r="BD24" s="535"/>
      <c r="BE24" s="535"/>
      <c r="BF24" s="536"/>
      <c r="BG24" s="540">
        <f>923.1-29</f>
        <v>894.1</v>
      </c>
      <c r="BH24" s="598"/>
      <c r="BI24" s="598"/>
      <c r="BJ24" s="541"/>
      <c r="BK24" s="27">
        <f>845+19.8+0.2</f>
        <v>865</v>
      </c>
      <c r="BL24" s="540">
        <f>763.1+154+18</f>
        <v>935.1</v>
      </c>
      <c r="BM24" s="598"/>
      <c r="BN24" s="598"/>
      <c r="BO24" s="541"/>
      <c r="BP24" s="27">
        <f>817.7+7.8</f>
        <v>825.5</v>
      </c>
      <c r="BQ24" s="540">
        <f>376.1+264+23.3</f>
        <v>663.4</v>
      </c>
      <c r="BR24" s="598"/>
      <c r="BS24" s="598"/>
      <c r="BT24" s="541"/>
      <c r="BU24" s="27">
        <v>279.39999999999998</v>
      </c>
      <c r="BV24" s="540">
        <v>814.2</v>
      </c>
      <c r="BW24" s="598"/>
      <c r="BX24" s="598"/>
      <c r="BY24" s="541"/>
      <c r="BZ24" s="27">
        <v>599.27449999999999</v>
      </c>
      <c r="CA24" s="294" t="s">
        <v>725</v>
      </c>
      <c r="CB24" s="26"/>
      <c r="CC24" s="534" t="s">
        <v>5</v>
      </c>
      <c r="CD24" s="535"/>
      <c r="CE24" s="535"/>
      <c r="CF24" s="536"/>
      <c r="CG24" s="540">
        <v>911.4</v>
      </c>
      <c r="CH24" s="598"/>
      <c r="CI24" s="598"/>
      <c r="CJ24" s="541"/>
      <c r="CK24" s="27">
        <v>847</v>
      </c>
      <c r="CL24" s="540">
        <v>682</v>
      </c>
      <c r="CM24" s="598"/>
      <c r="CN24" s="598"/>
      <c r="CO24" s="541"/>
      <c r="CP24" s="27">
        <f>218.2+9</f>
        <v>227.2</v>
      </c>
      <c r="CQ24" s="540">
        <f>483.7+260+22.5</f>
        <v>766.2</v>
      </c>
      <c r="CR24" s="598"/>
      <c r="CS24" s="598"/>
      <c r="CT24" s="541"/>
      <c r="CU24" s="27">
        <v>582.31489999999997</v>
      </c>
      <c r="CV24" s="540">
        <f>745.2+154+33.4</f>
        <v>932.6</v>
      </c>
      <c r="CW24" s="598"/>
      <c r="CX24" s="598"/>
      <c r="CY24" s="541"/>
      <c r="CZ24" s="27">
        <v>759.5</v>
      </c>
      <c r="DA24" s="294" t="s">
        <v>725</v>
      </c>
      <c r="DB24" s="26"/>
      <c r="DC24" s="534" t="s">
        <v>5</v>
      </c>
      <c r="DD24" s="535"/>
      <c r="DE24" s="535"/>
      <c r="DF24" s="536"/>
      <c r="DG24" s="540">
        <f>870.6+54.4+9.3</f>
        <v>934.3</v>
      </c>
      <c r="DH24" s="598"/>
      <c r="DI24" s="598"/>
      <c r="DJ24" s="541"/>
      <c r="DK24" s="27">
        <v>874.87959999999998</v>
      </c>
      <c r="DL24" s="540">
        <v>932.3</v>
      </c>
      <c r="DM24" s="598"/>
      <c r="DN24" s="598"/>
      <c r="DO24" s="541"/>
      <c r="DP24" s="27">
        <v>858</v>
      </c>
      <c r="DQ24" s="540">
        <f>717.3+154+11.4</f>
        <v>882.69999999999993</v>
      </c>
      <c r="DR24" s="598"/>
      <c r="DS24" s="598"/>
      <c r="DT24" s="541"/>
      <c r="DU24" s="27">
        <v>831.9</v>
      </c>
      <c r="DV24" s="540">
        <v>854.6</v>
      </c>
      <c r="DW24" s="598"/>
      <c r="DX24" s="598"/>
      <c r="DY24" s="541"/>
      <c r="DZ24" s="27">
        <v>824.8</v>
      </c>
      <c r="EA24" s="294" t="s">
        <v>725</v>
      </c>
      <c r="EB24" s="26"/>
      <c r="EC24" s="534" t="s">
        <v>5</v>
      </c>
      <c r="ED24" s="535"/>
      <c r="EE24" s="535"/>
      <c r="EF24" s="536"/>
      <c r="EG24" s="540">
        <v>662.8</v>
      </c>
      <c r="EH24" s="598"/>
      <c r="EI24" s="598"/>
      <c r="EJ24" s="541"/>
      <c r="EK24" s="27">
        <v>550</v>
      </c>
      <c r="EL24" s="540">
        <v>826.9</v>
      </c>
      <c r="EM24" s="598"/>
      <c r="EN24" s="598"/>
      <c r="EO24" s="541"/>
      <c r="EP24" s="27">
        <v>726.4</v>
      </c>
      <c r="EQ24" s="540">
        <v>941</v>
      </c>
      <c r="ER24" s="598"/>
      <c r="ES24" s="598"/>
      <c r="ET24" s="541"/>
      <c r="EU24" s="27">
        <v>829.7</v>
      </c>
      <c r="EV24" s="540">
        <f>867.7+57.3+22.4</f>
        <v>947.4</v>
      </c>
      <c r="EW24" s="598"/>
      <c r="EX24" s="598"/>
      <c r="EY24" s="541"/>
      <c r="EZ24" s="27">
        <v>873.8</v>
      </c>
      <c r="FA24" s="294" t="s">
        <v>725</v>
      </c>
      <c r="FB24" s="26"/>
      <c r="FC24" s="534" t="s">
        <v>5</v>
      </c>
      <c r="FD24" s="535"/>
      <c r="FE24" s="535"/>
      <c r="FF24" s="536"/>
      <c r="FG24" s="540">
        <v>845.5</v>
      </c>
      <c r="FH24" s="598"/>
      <c r="FI24" s="598"/>
      <c r="FJ24" s="541"/>
      <c r="FK24" s="27">
        <v>603.20000000000005</v>
      </c>
      <c r="FL24" s="540">
        <f>713.6+154+33.5</f>
        <v>901.1</v>
      </c>
      <c r="FM24" s="598"/>
      <c r="FN24" s="598"/>
      <c r="FO24" s="541"/>
      <c r="FP24" s="27">
        <v>789.4</v>
      </c>
      <c r="FQ24" s="540">
        <v>822.9</v>
      </c>
      <c r="FR24" s="598"/>
      <c r="FS24" s="598"/>
      <c r="FT24" s="541"/>
      <c r="FU24" s="27">
        <v>480.5</v>
      </c>
      <c r="FV24" s="540">
        <v>834.7</v>
      </c>
      <c r="FW24" s="598"/>
      <c r="FX24" s="598"/>
      <c r="FY24" s="541"/>
      <c r="FZ24" s="27">
        <v>538</v>
      </c>
      <c r="GA24" s="294" t="s">
        <v>725</v>
      </c>
      <c r="GB24" s="26"/>
      <c r="GC24" s="534" t="s">
        <v>5</v>
      </c>
      <c r="GD24" s="535"/>
      <c r="GE24" s="535"/>
      <c r="GF24" s="536"/>
      <c r="GG24" s="540">
        <v>893.9</v>
      </c>
      <c r="GH24" s="598"/>
      <c r="GI24" s="598"/>
      <c r="GJ24" s="541"/>
      <c r="GK24" s="27">
        <v>811.4</v>
      </c>
      <c r="GL24" s="540">
        <v>903.4</v>
      </c>
      <c r="GM24" s="598"/>
      <c r="GN24" s="598"/>
      <c r="GO24" s="541"/>
      <c r="GP24" s="27">
        <v>566.9</v>
      </c>
      <c r="GQ24" s="540">
        <f>239.9+330+28.6</f>
        <v>598.5</v>
      </c>
      <c r="GR24" s="598"/>
      <c r="GS24" s="598"/>
      <c r="GT24" s="541"/>
      <c r="GU24" s="27">
        <v>604.5</v>
      </c>
      <c r="GV24" s="540">
        <v>887.1</v>
      </c>
      <c r="GW24" s="598"/>
      <c r="GX24" s="598"/>
      <c r="GY24" s="541"/>
      <c r="GZ24" s="27">
        <v>839.14</v>
      </c>
      <c r="HA24" s="294" t="s">
        <v>725</v>
      </c>
      <c r="HB24" s="26"/>
      <c r="HC24" s="534" t="s">
        <v>5</v>
      </c>
      <c r="HD24" s="535"/>
      <c r="HE24" s="535"/>
      <c r="HF24" s="536"/>
      <c r="HG24" s="540">
        <v>768.2</v>
      </c>
      <c r="HH24" s="598"/>
      <c r="HI24" s="598"/>
      <c r="HJ24" s="541"/>
      <c r="HK24" s="27">
        <v>247.8</v>
      </c>
      <c r="HL24" s="540">
        <f>853.3+36.7+19.1</f>
        <v>909.1</v>
      </c>
      <c r="HM24" s="598"/>
      <c r="HN24" s="598"/>
      <c r="HO24" s="541"/>
      <c r="HP24" s="27">
        <v>810.40570000000002</v>
      </c>
      <c r="HQ24" s="540">
        <v>893.2</v>
      </c>
      <c r="HR24" s="598"/>
      <c r="HS24" s="598"/>
      <c r="HT24" s="541"/>
      <c r="HU24" s="27">
        <v>766.1</v>
      </c>
      <c r="HV24" s="540">
        <v>848.9</v>
      </c>
      <c r="HW24" s="598"/>
      <c r="HX24" s="598"/>
      <c r="HY24" s="541"/>
      <c r="HZ24" s="27">
        <v>243.4</v>
      </c>
      <c r="IA24" s="294" t="s">
        <v>725</v>
      </c>
      <c r="IB24" s="26"/>
      <c r="IC24" s="534" t="s">
        <v>5</v>
      </c>
      <c r="ID24" s="535"/>
      <c r="IE24" s="535"/>
      <c r="IF24" s="536"/>
      <c r="IG24" s="540">
        <v>720.1</v>
      </c>
      <c r="IH24" s="598"/>
      <c r="II24" s="598"/>
      <c r="IJ24" s="541"/>
      <c r="IK24" s="27">
        <v>424.2</v>
      </c>
      <c r="IL24" s="540">
        <v>710.5</v>
      </c>
      <c r="IM24" s="598"/>
      <c r="IN24" s="598"/>
      <c r="IO24" s="541"/>
      <c r="IP24" s="27">
        <f>463.2+3</f>
        <v>466.2</v>
      </c>
      <c r="IQ24" s="540">
        <v>766.2</v>
      </c>
      <c r="IR24" s="598"/>
      <c r="IS24" s="598"/>
      <c r="IT24" s="541"/>
      <c r="IU24" s="27">
        <v>628</v>
      </c>
      <c r="IV24" s="540">
        <v>579</v>
      </c>
      <c r="IW24" s="598"/>
      <c r="IX24" s="598"/>
      <c r="IY24" s="541"/>
      <c r="IZ24" s="27">
        <v>195.8</v>
      </c>
      <c r="JA24" s="294" t="s">
        <v>725</v>
      </c>
      <c r="JB24" s="26"/>
      <c r="JC24" s="534" t="s">
        <v>5</v>
      </c>
      <c r="JD24" s="535"/>
      <c r="JE24" s="535"/>
      <c r="JF24" s="536"/>
      <c r="JG24" s="540">
        <v>780.8</v>
      </c>
      <c r="JH24" s="598"/>
      <c r="JI24" s="598"/>
      <c r="JJ24" s="541"/>
      <c r="JK24" s="27">
        <v>479.5</v>
      </c>
      <c r="JL24" s="540">
        <v>890.5</v>
      </c>
      <c r="JM24" s="598"/>
      <c r="JN24" s="598"/>
      <c r="JO24" s="541"/>
      <c r="JP24" s="27">
        <f>823.6+3.5</f>
        <v>827.1</v>
      </c>
      <c r="JQ24" s="540">
        <f>766.1+123.9+21.4</f>
        <v>911.4</v>
      </c>
      <c r="JR24" s="598"/>
      <c r="JS24" s="598"/>
      <c r="JT24" s="541"/>
      <c r="JU24" s="27">
        <v>673</v>
      </c>
      <c r="JV24" s="540">
        <f>491+273+19.4</f>
        <v>783.4</v>
      </c>
      <c r="JW24" s="598"/>
      <c r="JX24" s="598"/>
      <c r="JY24" s="541"/>
      <c r="JZ24" s="27">
        <v>480</v>
      </c>
      <c r="KA24" s="294" t="s">
        <v>725</v>
      </c>
      <c r="KB24" s="26"/>
      <c r="KC24" s="534" t="s">
        <v>5</v>
      </c>
      <c r="KD24" s="535"/>
      <c r="KE24" s="535"/>
      <c r="KF24" s="536"/>
      <c r="KG24" s="540">
        <f>797.8+48+19.6</f>
        <v>865.4</v>
      </c>
      <c r="KH24" s="598"/>
      <c r="KI24" s="598"/>
      <c r="KJ24" s="541"/>
      <c r="KK24" s="27">
        <f>822.4+15.2+0.4</f>
        <v>838</v>
      </c>
      <c r="KL24" s="540">
        <f>825.7+47.9+10.9</f>
        <v>884.5</v>
      </c>
      <c r="KM24" s="598"/>
      <c r="KN24" s="598"/>
      <c r="KO24" s="541"/>
      <c r="KP24" s="27">
        <f>814.1+4.8</f>
        <v>818.9</v>
      </c>
      <c r="KQ24" s="540">
        <f>849.3+40.7+6.6</f>
        <v>896.6</v>
      </c>
      <c r="KR24" s="598"/>
      <c r="KS24" s="598"/>
      <c r="KT24" s="541"/>
      <c r="KU24" s="27">
        <v>815.5</v>
      </c>
      <c r="KV24" s="540">
        <f>837.6+40.4+18.6</f>
        <v>896.6</v>
      </c>
      <c r="KW24" s="598"/>
      <c r="KX24" s="598"/>
      <c r="KY24" s="541"/>
      <c r="KZ24" s="27">
        <v>826.2</v>
      </c>
      <c r="LA24" s="294" t="s">
        <v>725</v>
      </c>
      <c r="LB24" s="26"/>
      <c r="LC24" s="534" t="s">
        <v>5</v>
      </c>
      <c r="LD24" s="535"/>
      <c r="LE24" s="535"/>
      <c r="LF24" s="536"/>
      <c r="LG24" s="540">
        <v>735.5</v>
      </c>
      <c r="LH24" s="598"/>
      <c r="LI24" s="598"/>
      <c r="LJ24" s="541"/>
      <c r="LK24" s="27">
        <v>524</v>
      </c>
      <c r="LL24" s="540">
        <v>849.6</v>
      </c>
      <c r="LM24" s="598"/>
      <c r="LN24" s="598"/>
      <c r="LO24" s="541"/>
      <c r="LP24" s="27">
        <v>684.6</v>
      </c>
      <c r="LQ24" s="540">
        <v>844.2</v>
      </c>
      <c r="LR24" s="598"/>
      <c r="LS24" s="598"/>
      <c r="LT24" s="541"/>
      <c r="LU24" s="27">
        <v>807.4</v>
      </c>
      <c r="LV24" s="540">
        <v>674.7</v>
      </c>
      <c r="LW24" s="598"/>
      <c r="LX24" s="598"/>
      <c r="LY24" s="541"/>
      <c r="LZ24" s="27">
        <v>421.2</v>
      </c>
      <c r="MA24" s="294" t="s">
        <v>725</v>
      </c>
      <c r="MB24" s="26"/>
      <c r="MC24" s="534" t="s">
        <v>5</v>
      </c>
      <c r="MD24" s="535"/>
      <c r="ME24" s="535"/>
      <c r="MF24" s="536"/>
      <c r="MG24" s="540">
        <f>582.4+167+11.9</f>
        <v>761.3</v>
      </c>
      <c r="MH24" s="598"/>
      <c r="MI24" s="598"/>
      <c r="MJ24" s="541"/>
      <c r="MK24" s="27">
        <v>694.2</v>
      </c>
      <c r="ML24" s="540">
        <f>756.6+121.4+2.5</f>
        <v>880.5</v>
      </c>
      <c r="MM24" s="598"/>
      <c r="MN24" s="598"/>
      <c r="MO24" s="541"/>
      <c r="MP24" s="27">
        <v>722.95370000000003</v>
      </c>
      <c r="MQ24" s="540">
        <f>806.5+71.5+9.3</f>
        <v>887.3</v>
      </c>
      <c r="MR24" s="598"/>
      <c r="MS24" s="598"/>
      <c r="MT24" s="541"/>
      <c r="MU24" s="27">
        <f>0.2+766.6</f>
        <v>766.80000000000007</v>
      </c>
      <c r="MV24" s="540">
        <f>738.3+139.7+11.5</f>
        <v>889.5</v>
      </c>
      <c r="MW24" s="598"/>
      <c r="MX24" s="598"/>
      <c r="MY24" s="541"/>
      <c r="MZ24" s="27">
        <f>2.6+524.8</f>
        <v>527.4</v>
      </c>
      <c r="NA24" s="294" t="s">
        <v>725</v>
      </c>
      <c r="NB24" s="26"/>
      <c r="NC24" s="534" t="s">
        <v>5</v>
      </c>
      <c r="ND24" s="535"/>
      <c r="NE24" s="535"/>
      <c r="NF24" s="536"/>
      <c r="NG24" s="540">
        <f>824.5+53.5+7.4</f>
        <v>885.4</v>
      </c>
      <c r="NH24" s="598"/>
      <c r="NI24" s="598"/>
      <c r="NJ24" s="541"/>
      <c r="NK24" s="27">
        <v>733.8</v>
      </c>
      <c r="NL24" s="540">
        <f>711.9+166.1+4.5</f>
        <v>882.5</v>
      </c>
      <c r="NM24" s="598"/>
      <c r="NN24" s="598"/>
      <c r="NO24" s="541"/>
      <c r="NP24" s="27">
        <v>707.4</v>
      </c>
      <c r="NQ24" s="540">
        <f>460.9+226+14.6</f>
        <v>701.5</v>
      </c>
      <c r="NR24" s="598"/>
      <c r="NS24" s="598"/>
      <c r="NT24" s="541"/>
      <c r="NU24" s="27">
        <f>524.4+11.6</f>
        <v>536</v>
      </c>
      <c r="NV24" s="540">
        <f>691.4+167+9.9</f>
        <v>868.3</v>
      </c>
      <c r="NW24" s="598"/>
      <c r="NX24" s="598"/>
      <c r="NY24" s="541"/>
      <c r="NZ24" s="27">
        <v>739</v>
      </c>
      <c r="OA24" s="294" t="s">
        <v>725</v>
      </c>
      <c r="OB24" s="26"/>
      <c r="OC24" s="534" t="s">
        <v>5</v>
      </c>
      <c r="OD24" s="535"/>
      <c r="OE24" s="535"/>
      <c r="OF24" s="536"/>
      <c r="OG24" s="540">
        <v>721.1</v>
      </c>
      <c r="OH24" s="598"/>
      <c r="OI24" s="598"/>
      <c r="OJ24" s="541"/>
      <c r="OK24" s="27">
        <v>512</v>
      </c>
      <c r="OL24" s="540">
        <f>582.9-70+9.7</f>
        <v>522.6</v>
      </c>
      <c r="OM24" s="598"/>
      <c r="ON24" s="598"/>
      <c r="OO24" s="541"/>
      <c r="OP24" s="27">
        <v>506</v>
      </c>
      <c r="OQ24" s="540">
        <f>484.6+222+26.7</f>
        <v>733.30000000000007</v>
      </c>
      <c r="OR24" s="598"/>
      <c r="OS24" s="598"/>
      <c r="OT24" s="541"/>
      <c r="OU24" s="27">
        <v>483.6</v>
      </c>
      <c r="OV24" s="540">
        <f>535.7+192+29.5</f>
        <v>757.2</v>
      </c>
      <c r="OW24" s="598"/>
      <c r="OX24" s="598"/>
      <c r="OY24" s="541"/>
      <c r="OZ24" s="27">
        <v>625.20000000000005</v>
      </c>
      <c r="PA24" s="294" t="s">
        <v>725</v>
      </c>
      <c r="PB24" s="26"/>
      <c r="PC24" s="534" t="s">
        <v>5</v>
      </c>
      <c r="PD24" s="535"/>
      <c r="PE24" s="535"/>
      <c r="PF24" s="536"/>
      <c r="PG24" s="540">
        <v>302.7</v>
      </c>
      <c r="PH24" s="598"/>
      <c r="PI24" s="598"/>
      <c r="PJ24" s="541"/>
      <c r="PK24" s="27">
        <v>254.4</v>
      </c>
      <c r="PL24" s="540">
        <f>686.9+119+4.6</f>
        <v>810.5</v>
      </c>
      <c r="PM24" s="598"/>
      <c r="PN24" s="598"/>
      <c r="PO24" s="541"/>
      <c r="PP24" s="27">
        <v>667.2</v>
      </c>
      <c r="PQ24" s="540">
        <f>725.9+39+1.5</f>
        <v>766.4</v>
      </c>
      <c r="PR24" s="598"/>
      <c r="PS24" s="598"/>
      <c r="PT24" s="541"/>
      <c r="PU24" s="27">
        <v>687.2</v>
      </c>
      <c r="PV24" s="540">
        <f>443.6+219+8</f>
        <v>670.6</v>
      </c>
      <c r="PW24" s="598"/>
      <c r="PX24" s="598"/>
      <c r="PY24" s="541"/>
      <c r="PZ24" s="27">
        <v>421</v>
      </c>
      <c r="QA24" s="294" t="s">
        <v>725</v>
      </c>
      <c r="QB24" s="26"/>
      <c r="QC24" s="534" t="s">
        <v>5</v>
      </c>
      <c r="QD24" s="535"/>
      <c r="QE24" s="535"/>
      <c r="QF24" s="536"/>
      <c r="QG24" s="540">
        <v>737</v>
      </c>
      <c r="QH24" s="598"/>
      <c r="QI24" s="598"/>
      <c r="QJ24" s="541"/>
      <c r="QK24" s="27">
        <f>618.8+5</f>
        <v>623.79999999999995</v>
      </c>
      <c r="QL24" s="540">
        <v>787</v>
      </c>
      <c r="QM24" s="598"/>
      <c r="QN24" s="598"/>
      <c r="QO24" s="541"/>
      <c r="QP24" s="27">
        <f>0.6+692.4+7.2</f>
        <v>700.2</v>
      </c>
      <c r="QQ24" s="540">
        <f>617.9+121+6.1</f>
        <v>745</v>
      </c>
      <c r="QR24" s="598"/>
      <c r="QS24" s="598"/>
      <c r="QT24" s="541"/>
      <c r="QU24" s="27">
        <f>0.6+676.4+1.4</f>
        <v>678.4</v>
      </c>
      <c r="QV24" s="540">
        <f>691.2+108.8+12.9</f>
        <v>812.9</v>
      </c>
      <c r="QW24" s="598"/>
      <c r="QX24" s="598"/>
      <c r="QY24" s="541"/>
      <c r="QZ24" s="27">
        <f>3.6+663</f>
        <v>666.6</v>
      </c>
      <c r="RA24" s="294" t="s">
        <v>285</v>
      </c>
      <c r="RB24" s="26"/>
      <c r="RC24" s="534" t="s">
        <v>5</v>
      </c>
      <c r="RD24" s="535"/>
      <c r="RE24" s="535"/>
      <c r="RF24" s="536"/>
      <c r="RG24" s="540">
        <f>709.6+13+12.4</f>
        <v>735</v>
      </c>
      <c r="RH24" s="598"/>
      <c r="RI24" s="598"/>
      <c r="RJ24" s="541"/>
      <c r="RK24" s="27">
        <v>649.79999999999995</v>
      </c>
      <c r="RL24" s="540">
        <f>728.1+13+16.9</f>
        <v>758</v>
      </c>
      <c r="RM24" s="598"/>
      <c r="RN24" s="598"/>
      <c r="RO24" s="541"/>
      <c r="RP24" s="27">
        <v>641.20000000000005</v>
      </c>
      <c r="RQ24" s="540">
        <f>587.9+121+12.1</f>
        <v>721</v>
      </c>
      <c r="RR24" s="598"/>
      <c r="RS24" s="598"/>
      <c r="RT24" s="541"/>
      <c r="RU24" s="27">
        <v>681.2</v>
      </c>
      <c r="RV24" s="540">
        <f>703.7+110.3+21.3</f>
        <v>835.3</v>
      </c>
      <c r="RW24" s="598"/>
      <c r="RX24" s="598"/>
      <c r="RY24" s="541"/>
      <c r="RZ24" s="27">
        <v>712</v>
      </c>
      <c r="SA24" s="294" t="s">
        <v>285</v>
      </c>
      <c r="SB24" s="26"/>
      <c r="SC24" s="534" t="s">
        <v>5</v>
      </c>
      <c r="SD24" s="535"/>
      <c r="SE24" s="535"/>
      <c r="SF24" s="536"/>
      <c r="SG24" s="540">
        <f>821.4+8</f>
        <v>829.4</v>
      </c>
      <c r="SH24" s="598"/>
      <c r="SI24" s="598"/>
      <c r="SJ24" s="541"/>
      <c r="SK24" s="27">
        <v>788.7</v>
      </c>
      <c r="SL24" s="540">
        <f>782.9</f>
        <v>782.9</v>
      </c>
      <c r="SM24" s="598"/>
      <c r="SN24" s="598"/>
      <c r="SO24" s="541"/>
      <c r="SP24" s="27">
        <v>805.4</v>
      </c>
      <c r="SQ24" s="540">
        <f>767.2+10+13.5</f>
        <v>790.7</v>
      </c>
      <c r="SR24" s="598"/>
      <c r="SS24" s="598"/>
      <c r="ST24" s="541"/>
      <c r="SU24" s="27">
        <v>771.2</v>
      </c>
      <c r="SV24" s="540">
        <v>819.3</v>
      </c>
      <c r="SW24" s="598"/>
      <c r="SX24" s="598"/>
      <c r="SY24" s="541"/>
      <c r="SZ24" s="27">
        <v>757.4</v>
      </c>
      <c r="TA24" s="294" t="s">
        <v>285</v>
      </c>
      <c r="TB24" s="26"/>
      <c r="TC24" s="534" t="s">
        <v>5</v>
      </c>
      <c r="TD24" s="535"/>
      <c r="TE24" s="535"/>
      <c r="TF24" s="536"/>
      <c r="TG24" s="540">
        <v>821.5</v>
      </c>
      <c r="TH24" s="598"/>
      <c r="TI24" s="598"/>
      <c r="TJ24" s="541"/>
      <c r="TK24" s="27">
        <f>1.8+780.8</f>
        <v>782.59999999999991</v>
      </c>
      <c r="TL24" s="540">
        <v>749.2</v>
      </c>
      <c r="TM24" s="598"/>
      <c r="TN24" s="598"/>
      <c r="TO24" s="541"/>
      <c r="TP24" s="27"/>
      <c r="TQ24" s="27">
        <v>718.4</v>
      </c>
      <c r="TR24" s="540">
        <f>630+135+9.9</f>
        <v>774.9</v>
      </c>
      <c r="TS24" s="598"/>
      <c r="TT24" s="598"/>
      <c r="TU24" s="541"/>
      <c r="TV24" s="27">
        <f>4.2+589.2</f>
        <v>593.40000000000009</v>
      </c>
      <c r="TW24" s="540">
        <v>754.8</v>
      </c>
      <c r="TX24" s="598"/>
      <c r="TY24" s="598"/>
      <c r="TZ24" s="541"/>
      <c r="UA24" s="27">
        <f>9.6+672</f>
        <v>681.6</v>
      </c>
      <c r="UB24" s="294" t="s">
        <v>285</v>
      </c>
      <c r="UC24" s="26"/>
      <c r="UD24" s="534" t="s">
        <v>5</v>
      </c>
      <c r="UE24" s="535"/>
      <c r="UF24" s="535"/>
      <c r="UG24" s="536"/>
      <c r="UH24" s="540">
        <v>833.2</v>
      </c>
      <c r="UI24" s="598"/>
      <c r="UJ24" s="598"/>
      <c r="UK24" s="541"/>
      <c r="UL24" s="27">
        <f>11.8+633.9</f>
        <v>645.69999999999993</v>
      </c>
      <c r="UM24" s="540">
        <f>533.1+267+14.4</f>
        <v>814.5</v>
      </c>
      <c r="UN24" s="598"/>
      <c r="UO24" s="598"/>
      <c r="UP24" s="541"/>
      <c r="UQ24" s="27">
        <v>500.2</v>
      </c>
      <c r="UR24" s="540">
        <f>445.5+267+4</f>
        <v>716.5</v>
      </c>
      <c r="US24" s="598"/>
      <c r="UT24" s="598"/>
      <c r="UU24" s="541"/>
      <c r="UV24" s="27">
        <v>483</v>
      </c>
      <c r="UW24" s="540">
        <f>548.7+265.3+30.2</f>
        <v>844.2</v>
      </c>
      <c r="UX24" s="598"/>
      <c r="UY24" s="598"/>
      <c r="UZ24" s="541"/>
      <c r="VA24" s="27">
        <f>614.3+6.1+16.8</f>
        <v>637.19999999999993</v>
      </c>
      <c r="VB24" s="294" t="s">
        <v>285</v>
      </c>
      <c r="VC24" s="26"/>
      <c r="VD24" s="534" t="s">
        <v>5</v>
      </c>
      <c r="VE24" s="535"/>
      <c r="VF24" s="535"/>
      <c r="VG24" s="536"/>
      <c r="VH24" s="540">
        <f>587.9+135+8.3</f>
        <v>731.19999999999993</v>
      </c>
      <c r="VI24" s="598"/>
      <c r="VJ24" s="598"/>
      <c r="VK24" s="541"/>
      <c r="VL24" s="27">
        <v>649.79999999999995</v>
      </c>
      <c r="VM24" s="540">
        <f>431.9+267+12.2</f>
        <v>711.1</v>
      </c>
      <c r="VN24" s="598"/>
      <c r="VO24" s="598"/>
      <c r="VP24" s="541"/>
      <c r="VQ24" s="27">
        <f>4.4+448</f>
        <v>452.4</v>
      </c>
      <c r="VR24" s="540">
        <v>707.4</v>
      </c>
      <c r="VS24" s="598"/>
      <c r="VT24" s="598"/>
      <c r="VU24" s="541"/>
      <c r="VV24" s="27">
        <f>442+1.8</f>
        <v>443.8</v>
      </c>
      <c r="VW24" s="540">
        <f>559.2+26.2+135</f>
        <v>720.40000000000009</v>
      </c>
      <c r="VX24" s="598"/>
      <c r="VY24" s="598"/>
      <c r="VZ24" s="541"/>
      <c r="WA24" s="27">
        <f>454+8</f>
        <v>462</v>
      </c>
      <c r="WB24" s="294" t="s">
        <v>285</v>
      </c>
      <c r="WC24" s="26"/>
      <c r="WD24" s="534" t="s">
        <v>5</v>
      </c>
      <c r="WE24" s="535"/>
      <c r="WF24" s="535"/>
      <c r="WG24" s="536"/>
      <c r="WH24" s="540">
        <f>670.2+135+20.6</f>
        <v>825.80000000000007</v>
      </c>
      <c r="WI24" s="598"/>
      <c r="WJ24" s="598"/>
      <c r="WK24" s="541"/>
      <c r="WL24" s="27">
        <f>631.2+18.5+2.6</f>
        <v>652.30000000000007</v>
      </c>
      <c r="WM24" s="540">
        <f>527.1+267+11.9</f>
        <v>806</v>
      </c>
      <c r="WN24" s="598"/>
      <c r="WO24" s="598"/>
      <c r="WP24" s="541"/>
      <c r="WQ24" s="27">
        <f>453.1+0.6+14.6</f>
        <v>468.30000000000007</v>
      </c>
      <c r="WR24" s="540">
        <f>667.4+135+14.9</f>
        <v>817.3</v>
      </c>
      <c r="WS24" s="598"/>
      <c r="WT24" s="598"/>
      <c r="WU24" s="541"/>
      <c r="WV24" s="27">
        <f>668.6+1.9+1.8</f>
        <v>672.3</v>
      </c>
      <c r="WW24" s="540">
        <f>643.6+135+13.4</f>
        <v>792</v>
      </c>
      <c r="WX24" s="598"/>
      <c r="WY24" s="598"/>
      <c r="WZ24" s="541"/>
      <c r="XA24" s="27">
        <f>683.3+1.2</f>
        <v>684.5</v>
      </c>
      <c r="XB24" s="294" t="s">
        <v>285</v>
      </c>
      <c r="XC24" s="26"/>
      <c r="XD24" s="534" t="s">
        <v>5</v>
      </c>
      <c r="XE24" s="535"/>
      <c r="XF24" s="535"/>
      <c r="XG24" s="536"/>
      <c r="XH24" s="540">
        <v>826.6</v>
      </c>
      <c r="XI24" s="598"/>
      <c r="XJ24" s="598"/>
      <c r="XK24" s="541"/>
      <c r="XL24" s="27">
        <f>661.8+2.7+2.6</f>
        <v>667.1</v>
      </c>
      <c r="XM24" s="540">
        <f>717.5+10+14</f>
        <v>741.5</v>
      </c>
      <c r="XN24" s="598"/>
      <c r="XO24" s="598"/>
      <c r="XP24" s="541"/>
      <c r="XQ24" s="27">
        <v>663</v>
      </c>
      <c r="XR24" s="540">
        <v>711.7</v>
      </c>
      <c r="XS24" s="598"/>
      <c r="XT24" s="598"/>
      <c r="XU24" s="541"/>
      <c r="XV24" s="27">
        <v>395</v>
      </c>
      <c r="XW24" s="540">
        <v>781.6</v>
      </c>
      <c r="XX24" s="598"/>
      <c r="XY24" s="598"/>
      <c r="XZ24" s="541"/>
      <c r="YA24" s="27">
        <v>556</v>
      </c>
      <c r="YB24" s="294" t="s">
        <v>285</v>
      </c>
      <c r="YC24" s="26"/>
      <c r="YD24" s="534" t="s">
        <v>5</v>
      </c>
      <c r="YE24" s="535"/>
      <c r="YF24" s="535"/>
      <c r="YG24" s="536"/>
      <c r="YH24" s="540">
        <v>731</v>
      </c>
      <c r="YI24" s="598"/>
      <c r="YJ24" s="598"/>
      <c r="YK24" s="541"/>
      <c r="YL24" s="27">
        <f>553.2+3.2</f>
        <v>556.40000000000009</v>
      </c>
      <c r="YM24" s="540">
        <f>537.8+98+14</f>
        <v>649.79999999999995</v>
      </c>
      <c r="YN24" s="598"/>
      <c r="YO24" s="598"/>
      <c r="YP24" s="541"/>
      <c r="YQ24" s="27">
        <f>599.6+5.8</f>
        <v>605.4</v>
      </c>
      <c r="YR24" s="540">
        <f>552.7+98+13.1</f>
        <v>663.80000000000007</v>
      </c>
      <c r="YS24" s="598"/>
      <c r="YT24" s="598"/>
      <c r="YU24" s="541"/>
      <c r="YV24" s="27">
        <v>539.4</v>
      </c>
      <c r="YW24" s="540">
        <f>664.9+98+14.5</f>
        <v>777.4</v>
      </c>
      <c r="YX24" s="598"/>
      <c r="YY24" s="598"/>
      <c r="YZ24" s="541"/>
      <c r="ZA24" s="27">
        <v>646.1</v>
      </c>
      <c r="ZB24" s="294" t="s">
        <v>285</v>
      </c>
      <c r="ZC24" s="26"/>
      <c r="ZD24" s="534" t="s">
        <v>5</v>
      </c>
      <c r="ZE24" s="535"/>
      <c r="ZF24" s="535"/>
      <c r="ZG24" s="536"/>
      <c r="ZH24" s="540">
        <v>771.6</v>
      </c>
      <c r="ZI24" s="598"/>
      <c r="ZJ24" s="598"/>
      <c r="ZK24" s="541"/>
      <c r="ZL24" s="27">
        <v>646</v>
      </c>
      <c r="ZM24" s="540">
        <f>482.9+110+17.9</f>
        <v>610.79999999999995</v>
      </c>
      <c r="ZN24" s="598"/>
      <c r="ZO24" s="598"/>
      <c r="ZP24" s="541"/>
      <c r="ZQ24" s="27">
        <v>129</v>
      </c>
      <c r="ZR24" s="540">
        <f>683.2+90.8+19.6</f>
        <v>793.6</v>
      </c>
      <c r="ZS24" s="598"/>
      <c r="ZT24" s="598"/>
      <c r="ZU24" s="541"/>
      <c r="ZV24" s="27">
        <f>670.4+16.9</f>
        <v>687.3</v>
      </c>
      <c r="ZW24" s="540">
        <f>563+98+6.1</f>
        <v>667.1</v>
      </c>
      <c r="ZX24" s="598"/>
      <c r="ZY24" s="598"/>
      <c r="ZZ24" s="541"/>
      <c r="AAA24" s="27">
        <v>515.79999999999995</v>
      </c>
      <c r="AAB24" s="294" t="s">
        <v>285</v>
      </c>
      <c r="AAC24" s="26"/>
      <c r="AAD24" s="534" t="s">
        <v>5</v>
      </c>
      <c r="AAE24" s="535"/>
      <c r="AAF24" s="535"/>
      <c r="AAG24" s="536"/>
      <c r="AAH24" s="540">
        <f>615.7+98+2.1</f>
        <v>715.80000000000007</v>
      </c>
      <c r="AAI24" s="598"/>
      <c r="AAJ24" s="598"/>
      <c r="AAK24" s="541"/>
      <c r="AAL24" s="27">
        <f>587.8+1</f>
        <v>588.79999999999995</v>
      </c>
      <c r="AAM24" s="540">
        <f>551.4+94+5.1</f>
        <v>650.5</v>
      </c>
      <c r="AAN24" s="598"/>
      <c r="AAO24" s="598"/>
      <c r="AAP24" s="541"/>
      <c r="AAQ24" s="27">
        <f>485.8+1</f>
        <v>486.8</v>
      </c>
      <c r="AAR24" s="540">
        <f>669.2+32.8+5.7</f>
        <v>707.7</v>
      </c>
      <c r="AAS24" s="598"/>
      <c r="AAT24" s="598"/>
      <c r="AAU24" s="541"/>
      <c r="AAV24" s="27">
        <v>641</v>
      </c>
      <c r="AAW24" s="540">
        <f>563.4+94+0.6</f>
        <v>658</v>
      </c>
      <c r="AAX24" s="598"/>
      <c r="AAY24" s="598"/>
      <c r="AAZ24" s="541"/>
      <c r="ABA24" s="27">
        <v>390</v>
      </c>
      <c r="ABB24" s="294" t="s">
        <v>285</v>
      </c>
      <c r="ABC24" s="26"/>
      <c r="ABD24" s="534" t="s">
        <v>5</v>
      </c>
      <c r="ABE24" s="535"/>
      <c r="ABF24" s="535"/>
      <c r="ABG24" s="536"/>
      <c r="ABH24" s="540">
        <f>625.1+76.9+6.8</f>
        <v>708.8</v>
      </c>
      <c r="ABI24" s="598"/>
      <c r="ABJ24" s="598"/>
      <c r="ABK24" s="541"/>
      <c r="ABL24" s="27">
        <v>648.20000000000005</v>
      </c>
      <c r="ABM24" s="540">
        <f>675.8+26.2+4.3</f>
        <v>706.3</v>
      </c>
      <c r="ABN24" s="598"/>
      <c r="ABO24" s="598"/>
      <c r="ABP24" s="541"/>
      <c r="ABQ24" s="27">
        <v>642.29999999999995</v>
      </c>
      <c r="ABR24" s="540">
        <f>387.4+210+7.1</f>
        <v>604.5</v>
      </c>
      <c r="ABS24" s="598"/>
      <c r="ABT24" s="598"/>
      <c r="ABU24" s="541"/>
      <c r="ABV24" s="27">
        <f>395+6</f>
        <v>401</v>
      </c>
      <c r="ABW24" s="540">
        <f>644.5+56+16.1</f>
        <v>716.6</v>
      </c>
      <c r="ABX24" s="598"/>
      <c r="ABY24" s="598"/>
      <c r="ABZ24" s="541"/>
      <c r="ACA24" s="27">
        <f>604.4+7.6</f>
        <v>612</v>
      </c>
      <c r="ACB24" s="294" t="s">
        <v>285</v>
      </c>
      <c r="ACC24" s="26"/>
      <c r="ACD24" s="534" t="s">
        <v>5</v>
      </c>
      <c r="ACE24" s="535"/>
      <c r="ACF24" s="535"/>
      <c r="ACG24" s="536"/>
      <c r="ACH24" s="540">
        <f>657.5+44.5+13.5</f>
        <v>715.5</v>
      </c>
      <c r="ACI24" s="598"/>
      <c r="ACJ24" s="598"/>
      <c r="ACK24" s="541"/>
      <c r="ACL24" s="27">
        <v>628</v>
      </c>
      <c r="ACM24" s="540">
        <v>692</v>
      </c>
      <c r="ACN24" s="598"/>
      <c r="ACO24" s="598"/>
      <c r="ACP24" s="541"/>
      <c r="ACQ24" s="27">
        <f>2+615.8</f>
        <v>617.79999999999995</v>
      </c>
      <c r="ACR24" s="540">
        <f>477+142+21.8</f>
        <v>640.79999999999995</v>
      </c>
      <c r="ACS24" s="598"/>
      <c r="ACT24" s="598"/>
      <c r="ACU24" s="541"/>
      <c r="ACV24" s="27">
        <v>602.79999999999995</v>
      </c>
      <c r="ACW24" s="540">
        <v>717.7</v>
      </c>
      <c r="ACX24" s="598">
        <v>881.7</v>
      </c>
      <c r="ACY24" s="598">
        <v>920.1</v>
      </c>
      <c r="ACZ24" s="541">
        <v>717.7</v>
      </c>
      <c r="ADA24" s="27">
        <v>569.6</v>
      </c>
      <c r="ADB24" s="294" t="s">
        <v>285</v>
      </c>
      <c r="ADC24" s="26"/>
      <c r="ADD24" s="534" t="s">
        <v>5</v>
      </c>
      <c r="ADE24" s="535"/>
      <c r="ADF24" s="535"/>
      <c r="ADG24" s="536"/>
      <c r="ADH24" s="540">
        <f>540.7+142+17</f>
        <v>699.7</v>
      </c>
      <c r="ADI24" s="598">
        <v>881.7</v>
      </c>
      <c r="ADJ24" s="598">
        <v>920.1</v>
      </c>
      <c r="ADK24" s="541">
        <v>717.7</v>
      </c>
      <c r="ADL24" s="27">
        <v>473.8</v>
      </c>
      <c r="ADM24" s="540">
        <f>558.2+142+21.3</f>
        <v>721.5</v>
      </c>
      <c r="ADN24" s="598">
        <v>881.7</v>
      </c>
      <c r="ADO24" s="598">
        <v>920.1</v>
      </c>
      <c r="ADP24" s="541">
        <v>717.7</v>
      </c>
      <c r="ADQ24" s="27">
        <f>17+467.6</f>
        <v>484.6</v>
      </c>
      <c r="ADR24" s="540">
        <f>641.7+74.3+6.1</f>
        <v>722.1</v>
      </c>
      <c r="ADS24" s="598"/>
      <c r="ADT24" s="598"/>
      <c r="ADU24" s="541"/>
      <c r="ADV24" s="27">
        <v>630</v>
      </c>
      <c r="ADW24" s="540">
        <f>493.7+142+0.7</f>
        <v>636.40000000000009</v>
      </c>
      <c r="ADX24" s="598"/>
      <c r="ADY24" s="598"/>
      <c r="ADZ24" s="541"/>
      <c r="AEA24" s="27">
        <f>500.8</f>
        <v>500.8</v>
      </c>
      <c r="AEB24" s="294" t="s">
        <v>285</v>
      </c>
      <c r="AEC24" s="26"/>
      <c r="AED24" s="534" t="s">
        <v>5</v>
      </c>
      <c r="AEE24" s="535"/>
      <c r="AEF24" s="535"/>
      <c r="AEG24" s="536"/>
      <c r="AEH24" s="540">
        <f>354.9+158+22.3</f>
        <v>535.19999999999993</v>
      </c>
      <c r="AEI24" s="598">
        <v>881.7</v>
      </c>
      <c r="AEJ24" s="598">
        <v>920.1</v>
      </c>
      <c r="AEK24" s="541">
        <v>717.7</v>
      </c>
      <c r="AEL24" s="27">
        <f>10.2+399</f>
        <v>409.2</v>
      </c>
      <c r="AEM24" s="540">
        <f>635.1+49+5.8</f>
        <v>689.9</v>
      </c>
      <c r="AEN24" s="598">
        <v>881.7</v>
      </c>
      <c r="AEO24" s="598">
        <v>920.1</v>
      </c>
      <c r="AEP24" s="541">
        <v>717.7</v>
      </c>
      <c r="AEQ24" s="27"/>
      <c r="AER24" s="27">
        <f>(8+5874)/10</f>
        <v>588.20000000000005</v>
      </c>
      <c r="AES24" s="540">
        <f>639.5+49+4</f>
        <v>692.5</v>
      </c>
      <c r="AET24" s="598">
        <v>881.7</v>
      </c>
      <c r="AEU24" s="598">
        <v>920.1</v>
      </c>
      <c r="AEV24" s="541">
        <v>717.7</v>
      </c>
      <c r="AEW24" s="27">
        <f>0+606.2</f>
        <v>606.20000000000005</v>
      </c>
      <c r="AEX24" s="537">
        <v>730.4</v>
      </c>
      <c r="AEY24" s="538">
        <v>895.1</v>
      </c>
      <c r="AEZ24" s="538">
        <v>940.2</v>
      </c>
      <c r="AFA24" s="539">
        <v>730.4</v>
      </c>
      <c r="AFB24" s="27">
        <f>36.6+546.4</f>
        <v>583</v>
      </c>
      <c r="AFC24" s="294" t="s">
        <v>285</v>
      </c>
      <c r="AFD24" s="26"/>
      <c r="AFE24" s="534" t="s">
        <v>5</v>
      </c>
      <c r="AFF24" s="535"/>
      <c r="AFG24" s="535"/>
      <c r="AFH24" s="536"/>
      <c r="AFI24" s="537">
        <v>626.40000000000009</v>
      </c>
      <c r="AFJ24" s="538">
        <v>721.2</v>
      </c>
      <c r="AFK24" s="538">
        <v>824.2</v>
      </c>
      <c r="AFL24" s="539">
        <v>626.40000000000009</v>
      </c>
      <c r="AFM24" s="27">
        <f>31.8+403.6</f>
        <v>435.40000000000003</v>
      </c>
      <c r="AFN24" s="540">
        <v>693</v>
      </c>
      <c r="AFO24" s="598"/>
      <c r="AFP24" s="598"/>
      <c r="AFQ24" s="541"/>
      <c r="AFR24" s="27">
        <f>601.5+22.8+7.5</f>
        <v>631.79999999999995</v>
      </c>
      <c r="AFS24" s="540">
        <f>595+99+4.5</f>
        <v>698.5</v>
      </c>
      <c r="AFT24" s="598"/>
      <c r="AFU24" s="598"/>
      <c r="AFV24" s="541"/>
      <c r="AFW24" s="27">
        <v>648.20000000000005</v>
      </c>
      <c r="AFX24" s="540">
        <f>454.2+178+12.9</f>
        <v>645.1</v>
      </c>
      <c r="AFY24" s="598"/>
      <c r="AFZ24" s="598"/>
      <c r="AGA24" s="541"/>
      <c r="AGB24" s="27">
        <f>403.3+10.2</f>
        <v>413.5</v>
      </c>
      <c r="AGC24" s="294" t="s">
        <v>285</v>
      </c>
      <c r="AGD24" s="26"/>
      <c r="AGE24" s="534" t="s">
        <v>5</v>
      </c>
      <c r="AGF24" s="535"/>
      <c r="AGG24" s="535"/>
      <c r="AGH24" s="536"/>
      <c r="AGI24" s="540">
        <f>600.4+99+5.1</f>
        <v>704.5</v>
      </c>
      <c r="AGJ24" s="598">
        <v>881.7</v>
      </c>
      <c r="AGK24" s="598">
        <v>920.1</v>
      </c>
      <c r="AGL24" s="541">
        <v>717.7</v>
      </c>
      <c r="AGM24" s="27">
        <f>0.2+636.1+9.3</f>
        <v>645.6</v>
      </c>
      <c r="AGN24" s="540">
        <f>492.8+203+19.9</f>
        <v>715.69999999999993</v>
      </c>
      <c r="AGO24" s="598">
        <v>881.7</v>
      </c>
      <c r="AGP24" s="598">
        <v>920.1</v>
      </c>
      <c r="AGQ24" s="541">
        <v>717.7</v>
      </c>
      <c r="AGR24" s="27">
        <v>563.6</v>
      </c>
      <c r="AGS24" s="540">
        <v>752.6</v>
      </c>
      <c r="AGT24" s="598">
        <v>881.7</v>
      </c>
      <c r="AGU24" s="598">
        <v>920.1</v>
      </c>
      <c r="AGV24" s="541">
        <v>717.7</v>
      </c>
      <c r="AGW24" s="27">
        <f>1.2+578.6</f>
        <v>579.80000000000007</v>
      </c>
      <c r="AGX24" s="537">
        <v>687.6</v>
      </c>
      <c r="AGY24" s="538">
        <v>801.3</v>
      </c>
      <c r="AGZ24" s="538">
        <v>917.8</v>
      </c>
      <c r="AHA24" s="539">
        <v>687.6</v>
      </c>
      <c r="AHB24" s="27">
        <v>477.4</v>
      </c>
      <c r="AHC24" s="294" t="s">
        <v>285</v>
      </c>
      <c r="AHD24" s="26"/>
      <c r="AHE24" s="534" t="s">
        <v>5</v>
      </c>
      <c r="AHF24" s="535"/>
      <c r="AHG24" s="535"/>
      <c r="AHH24" s="536"/>
      <c r="AHI24" s="537">
        <f>625.1+157.9+2.7</f>
        <v>785.7</v>
      </c>
      <c r="AHJ24" s="538"/>
      <c r="AHK24" s="538"/>
      <c r="AHL24" s="539"/>
      <c r="AHM24" s="27">
        <f>0.2+632</f>
        <v>632.20000000000005</v>
      </c>
      <c r="AHN24" s="537">
        <f>470.7+203+4.6</f>
        <v>678.30000000000007</v>
      </c>
      <c r="AHO24" s="538"/>
      <c r="AHP24" s="538"/>
      <c r="AHQ24" s="539"/>
      <c r="AHR24" s="27">
        <f>0.2+323.8</f>
        <v>324</v>
      </c>
      <c r="AHS24" s="537">
        <v>773.30000000000007</v>
      </c>
      <c r="AHT24" s="538">
        <v>928.90000000000009</v>
      </c>
      <c r="AHU24" s="538">
        <v>1026.5999999999999</v>
      </c>
      <c r="AHV24" s="539">
        <v>773.30000000000007</v>
      </c>
      <c r="AHW24" s="27">
        <v>289</v>
      </c>
      <c r="AHX24" s="537">
        <f>663.5+200.4+16.8</f>
        <v>880.69999999999993</v>
      </c>
      <c r="AHY24" s="538">
        <v>928.90000000000009</v>
      </c>
      <c r="AHZ24" s="538">
        <v>1026.5999999999999</v>
      </c>
      <c r="AIA24" s="539">
        <v>773.30000000000007</v>
      </c>
      <c r="AIB24" s="27">
        <f>16.2+673.2</f>
        <v>689.40000000000009</v>
      </c>
      <c r="AIC24" s="294" t="s">
        <v>285</v>
      </c>
      <c r="AID24" s="26"/>
      <c r="AIE24" s="534" t="s">
        <v>5</v>
      </c>
      <c r="AIF24" s="535"/>
      <c r="AIG24" s="535"/>
      <c r="AIH24" s="536"/>
      <c r="AII24" s="537">
        <v>894.1</v>
      </c>
      <c r="AIJ24" s="538">
        <v>1125.5999999999999</v>
      </c>
      <c r="AIK24" s="538">
        <v>1174.5999999999999</v>
      </c>
      <c r="AIL24" s="539">
        <v>894.1</v>
      </c>
      <c r="AIM24" s="27">
        <f>543.6+3</f>
        <v>546.6</v>
      </c>
      <c r="AIN24" s="537">
        <f>631+222+8.7</f>
        <v>861.7</v>
      </c>
      <c r="AIO24" s="538"/>
      <c r="AIP24" s="538"/>
      <c r="AIQ24" s="539"/>
      <c r="AIR24" s="27">
        <f>5.4+581.8</f>
        <v>587.19999999999993</v>
      </c>
      <c r="AIS24" s="537">
        <f>533.5+102+5.4</f>
        <v>640.9</v>
      </c>
      <c r="AIT24" s="538"/>
      <c r="AIU24" s="538"/>
      <c r="AIV24" s="539"/>
      <c r="AIW24" s="27">
        <v>308</v>
      </c>
      <c r="AIX24" s="537">
        <f>108+508+7</f>
        <v>623</v>
      </c>
      <c r="AIY24" s="538"/>
      <c r="AIZ24" s="538"/>
      <c r="AJA24" s="539"/>
      <c r="AJB24" s="27">
        <v>233</v>
      </c>
      <c r="AJC24" s="294" t="s">
        <v>285</v>
      </c>
      <c r="AJD24" s="26"/>
      <c r="AJE24" s="534" t="s">
        <v>5</v>
      </c>
      <c r="AJF24" s="535"/>
      <c r="AJG24" s="535"/>
      <c r="AJH24" s="536"/>
      <c r="AJI24" s="537">
        <f>728.2+161.8+4.1</f>
        <v>894.1</v>
      </c>
      <c r="AJJ24" s="538"/>
      <c r="AJK24" s="538"/>
      <c r="AJL24" s="539"/>
      <c r="AJM24" s="27">
        <f>4.4+639.6</f>
        <v>644</v>
      </c>
      <c r="AJN24" s="537">
        <v>674.4</v>
      </c>
      <c r="AJO24" s="538">
        <v>903.2</v>
      </c>
      <c r="AJP24" s="538">
        <v>911.5</v>
      </c>
      <c r="AJQ24" s="539">
        <v>674.4</v>
      </c>
      <c r="AJR24" s="27">
        <v>557.4</v>
      </c>
      <c r="AJS24" s="537">
        <f>865.9+24.1+6.6</f>
        <v>896.6</v>
      </c>
      <c r="AJT24" s="538">
        <v>903.2</v>
      </c>
      <c r="AJU24" s="538">
        <v>911.5</v>
      </c>
      <c r="AJV24" s="539">
        <v>674.4</v>
      </c>
      <c r="AJW24" s="27">
        <v>824.31479999999999</v>
      </c>
      <c r="AJX24" s="537">
        <v>903.7</v>
      </c>
      <c r="AJY24" s="538">
        <v>1235.6999999999998</v>
      </c>
      <c r="AJZ24" s="538">
        <v>1157.1999999999998</v>
      </c>
      <c r="AKA24" s="539">
        <v>903.7</v>
      </c>
      <c r="AKB24" s="412">
        <v>875.32180000000017</v>
      </c>
      <c r="AKC24" s="294" t="s">
        <v>285</v>
      </c>
      <c r="AKD24" s="26"/>
      <c r="AKE24" s="534" t="s">
        <v>5</v>
      </c>
      <c r="AKF24" s="535"/>
      <c r="AKG24" s="535"/>
      <c r="AKH24" s="536"/>
      <c r="AKI24" s="537">
        <v>880.8</v>
      </c>
      <c r="AKJ24" s="538">
        <v>1188.3</v>
      </c>
      <c r="AKK24" s="538">
        <v>1145.2</v>
      </c>
      <c r="AKL24" s="539">
        <v>880.8</v>
      </c>
      <c r="AKM24" s="27">
        <v>756.2</v>
      </c>
      <c r="AKN24" s="537">
        <v>888.80000000000007</v>
      </c>
      <c r="AKO24" s="538">
        <v>1148.4000000000001</v>
      </c>
      <c r="AKP24" s="538">
        <v>1129.8000000000002</v>
      </c>
      <c r="AKQ24" s="539">
        <v>888.80000000000007</v>
      </c>
      <c r="AKR24" s="27">
        <f>23.4+679.4</f>
        <v>702.8</v>
      </c>
      <c r="AKS24" s="537">
        <v>930.5</v>
      </c>
      <c r="AKT24" s="538">
        <v>1148.4000000000001</v>
      </c>
      <c r="AKU24" s="538">
        <v>1129.8000000000002</v>
      </c>
      <c r="AKV24" s="539">
        <v>888.80000000000007</v>
      </c>
      <c r="AKW24" s="27">
        <f>9+769.4</f>
        <v>778.4</v>
      </c>
      <c r="AKX24" s="537">
        <v>963.9</v>
      </c>
      <c r="AKY24" s="538">
        <v>1183.2</v>
      </c>
      <c r="AKZ24" s="538">
        <v>1188.9000000000001</v>
      </c>
      <c r="ALA24" s="539">
        <v>963.9</v>
      </c>
      <c r="ALB24" s="27">
        <f>3.8+720.2+16.7</f>
        <v>740.7</v>
      </c>
      <c r="ALC24" s="294" t="s">
        <v>285</v>
      </c>
      <c r="ALD24" s="26"/>
      <c r="ALE24" s="534" t="s">
        <v>5</v>
      </c>
      <c r="ALF24" s="535"/>
      <c r="ALG24" s="535"/>
      <c r="ALH24" s="536"/>
      <c r="ALI24" s="537">
        <f>826.6+98+22</f>
        <v>946.6</v>
      </c>
      <c r="ALJ24" s="538">
        <v>1183.2</v>
      </c>
      <c r="ALK24" s="538">
        <v>1188.9000000000001</v>
      </c>
      <c r="ALL24" s="539">
        <v>963.9</v>
      </c>
      <c r="ALM24" s="27">
        <v>884</v>
      </c>
      <c r="ALN24" s="537">
        <f>854.4+98+2.2</f>
        <v>954.6</v>
      </c>
      <c r="ALO24" s="538"/>
      <c r="ALP24" s="538"/>
      <c r="ALQ24" s="539"/>
      <c r="ALR24" s="27">
        <v>822.3</v>
      </c>
      <c r="ALS24" s="537">
        <v>944.3</v>
      </c>
      <c r="ALT24" s="538">
        <v>1216</v>
      </c>
      <c r="ALU24" s="538">
        <v>1219.9000000000001</v>
      </c>
      <c r="ALV24" s="539">
        <v>944.3</v>
      </c>
      <c r="ALW24" s="27">
        <f>4.6+784.2</f>
        <v>788.80000000000007</v>
      </c>
      <c r="ALX24" s="537">
        <v>914.7</v>
      </c>
      <c r="ALY24" s="538">
        <v>1210.5</v>
      </c>
      <c r="ALZ24" s="538">
        <v>1214.5999999999999</v>
      </c>
      <c r="AMA24" s="539">
        <v>914.7</v>
      </c>
      <c r="AMB24" s="27">
        <v>788</v>
      </c>
      <c r="AMC24" s="294" t="s">
        <v>285</v>
      </c>
      <c r="AMD24" s="26"/>
      <c r="AME24" s="534" t="s">
        <v>5</v>
      </c>
      <c r="AMF24" s="535"/>
      <c r="AMG24" s="535"/>
      <c r="AMH24" s="536"/>
      <c r="AMI24" s="537">
        <v>741</v>
      </c>
      <c r="AMJ24" s="538">
        <v>942.3</v>
      </c>
      <c r="AMK24" s="538">
        <v>1056.3</v>
      </c>
      <c r="AML24" s="539">
        <v>741</v>
      </c>
      <c r="AMM24" s="27">
        <v>610</v>
      </c>
      <c r="AMN24" s="537">
        <v>836.5</v>
      </c>
      <c r="AMO24" s="538">
        <v>1092.8</v>
      </c>
      <c r="AMP24" s="538">
        <v>1119.7</v>
      </c>
      <c r="AMQ24" s="539">
        <v>836.5</v>
      </c>
      <c r="AMR24" s="27">
        <f>0.4+651.1+0.7</f>
        <v>652.20000000000005</v>
      </c>
      <c r="AMS24" s="27"/>
      <c r="AMT24" s="537">
        <v>921.2</v>
      </c>
      <c r="AMU24" s="538">
        <v>1245.7</v>
      </c>
      <c r="AMV24" s="538">
        <v>1190</v>
      </c>
      <c r="AMW24" s="539">
        <v>921.2</v>
      </c>
      <c r="AMX24" s="27">
        <v>857.1</v>
      </c>
      <c r="AMY24" s="537">
        <v>911.2</v>
      </c>
      <c r="AMZ24" s="538">
        <v>1245.9000000000001</v>
      </c>
      <c r="ANA24" s="538">
        <v>1178.3</v>
      </c>
      <c r="ANB24" s="539">
        <v>911.2</v>
      </c>
      <c r="ANC24" s="27">
        <v>851.7</v>
      </c>
      <c r="AND24" s="294" t="s">
        <v>285</v>
      </c>
      <c r="ANE24" s="26"/>
      <c r="ANF24" s="534" t="s">
        <v>5</v>
      </c>
      <c r="ANG24" s="535"/>
      <c r="ANH24" s="535"/>
      <c r="ANI24" s="536"/>
      <c r="ANJ24" s="537">
        <v>791.1</v>
      </c>
      <c r="ANK24" s="538">
        <v>932.6</v>
      </c>
      <c r="ANL24" s="538">
        <v>1054.9000000000001</v>
      </c>
      <c r="ANM24" s="539">
        <v>791.1</v>
      </c>
      <c r="ANN24" s="27">
        <v>497</v>
      </c>
      <c r="ANO24" s="537">
        <v>832.2</v>
      </c>
      <c r="ANP24" s="538">
        <v>932.6</v>
      </c>
      <c r="ANQ24" s="538">
        <v>1054.9000000000001</v>
      </c>
      <c r="ANR24" s="539">
        <v>791.1</v>
      </c>
      <c r="ANS24" s="27">
        <f>2.4+598.5</f>
        <v>600.9</v>
      </c>
      <c r="ANT24" s="27"/>
      <c r="ANU24" s="537">
        <v>923.69999999999993</v>
      </c>
      <c r="ANV24" s="538">
        <v>1254.5999999999999</v>
      </c>
      <c r="ANW24" s="538">
        <v>1167.4000000000001</v>
      </c>
      <c r="ANX24" s="539">
        <v>923.69999999999993</v>
      </c>
      <c r="ANY24" s="27">
        <v>862</v>
      </c>
      <c r="ANZ24" s="537">
        <v>939.1</v>
      </c>
      <c r="AOA24" s="538">
        <v>1254.5999999999999</v>
      </c>
      <c r="AOB24" s="538">
        <v>1167.4000000000001</v>
      </c>
      <c r="AOC24" s="539">
        <v>923.69999999999993</v>
      </c>
      <c r="AOD24" s="27">
        <v>765</v>
      </c>
      <c r="AOE24" s="294" t="s">
        <v>285</v>
      </c>
      <c r="AOF24" s="26"/>
      <c r="AOG24" s="534" t="s">
        <v>5</v>
      </c>
      <c r="AOH24" s="535"/>
      <c r="AOI24" s="535"/>
      <c r="AOJ24" s="536"/>
      <c r="AOK24" s="537">
        <v>931.00000000000011</v>
      </c>
      <c r="AOL24" s="538">
        <v>1052.3</v>
      </c>
      <c r="AOM24" s="538">
        <v>1159.4000000000001</v>
      </c>
      <c r="AON24" s="539">
        <v>931.00000000000011</v>
      </c>
      <c r="AOO24" s="27">
        <v>896</v>
      </c>
      <c r="AOP24" s="537">
        <f>567.9+215+7.8</f>
        <v>790.69999999999993</v>
      </c>
      <c r="AOQ24" s="538"/>
      <c r="AOR24" s="538"/>
      <c r="AOS24" s="539"/>
      <c r="AOT24" s="27">
        <v>398</v>
      </c>
      <c r="AOU24" s="27"/>
      <c r="AOV24" s="537">
        <v>733.6</v>
      </c>
      <c r="AOW24" s="538">
        <v>905.6</v>
      </c>
      <c r="AOX24" s="538">
        <v>1048.7</v>
      </c>
      <c r="AOY24" s="539">
        <v>733.6</v>
      </c>
      <c r="AOZ24" s="27">
        <v>544.79999999999995</v>
      </c>
      <c r="APA24" s="537"/>
      <c r="APB24" s="538"/>
      <c r="APC24" s="538"/>
      <c r="APD24" s="539"/>
      <c r="APE24" s="27"/>
    </row>
    <row r="25" spans="1:1097" ht="69" customHeight="1" x14ac:dyDescent="0.4">
      <c r="A25" s="53"/>
      <c r="B25" s="542" t="s">
        <v>17</v>
      </c>
      <c r="C25" s="543"/>
      <c r="D25" s="543"/>
      <c r="E25" s="543"/>
      <c r="F25" s="397" t="s">
        <v>7</v>
      </c>
      <c r="G25" s="526">
        <f>G23-G22</f>
        <v>201.09999999999991</v>
      </c>
      <c r="H25" s="593"/>
      <c r="I25" s="593"/>
      <c r="J25" s="527"/>
      <c r="K25" s="343">
        <f>IF(K19="","",K23-K22)</f>
        <v>133.80950000000007</v>
      </c>
      <c r="L25" s="526">
        <f>L23-L22</f>
        <v>226.29999999999995</v>
      </c>
      <c r="M25" s="593"/>
      <c r="N25" s="593"/>
      <c r="O25" s="527"/>
      <c r="P25" s="343">
        <f>IF(P19="","",P23-P22)</f>
        <v>0</v>
      </c>
      <c r="Q25" s="526">
        <f>Q23-Q22</f>
        <v>136.09999999999991</v>
      </c>
      <c r="R25" s="593"/>
      <c r="S25" s="593"/>
      <c r="T25" s="527"/>
      <c r="U25" s="343">
        <f>IF(U19="","",U23-U22)</f>
        <v>0</v>
      </c>
      <c r="V25" s="526">
        <f>V23-V22</f>
        <v>367</v>
      </c>
      <c r="W25" s="593"/>
      <c r="X25" s="593"/>
      <c r="Y25" s="527"/>
      <c r="Z25" s="343">
        <f>IF(Z19="","",Z23-Z22)</f>
        <v>286.79999999999995</v>
      </c>
      <c r="AA25" s="53"/>
      <c r="AB25" s="542" t="s">
        <v>17</v>
      </c>
      <c r="AC25" s="543"/>
      <c r="AD25" s="543"/>
      <c r="AE25" s="543"/>
      <c r="AF25" s="397" t="s">
        <v>7</v>
      </c>
      <c r="AG25" s="526">
        <f>AG23-AG22</f>
        <v>357.40000000000009</v>
      </c>
      <c r="AH25" s="593"/>
      <c r="AI25" s="593"/>
      <c r="AJ25" s="527"/>
      <c r="AK25" s="343">
        <f>IF(AK19="","",AK23-AK22)</f>
        <v>224.10000000000014</v>
      </c>
      <c r="AL25" s="526">
        <f>AL23-AL22</f>
        <v>372.09999999999991</v>
      </c>
      <c r="AM25" s="593"/>
      <c r="AN25" s="593"/>
      <c r="AO25" s="527"/>
      <c r="AP25" s="343">
        <f>IF(AP19="","",AP23-AP22)</f>
        <v>273.27790000000005</v>
      </c>
      <c r="AQ25" s="526">
        <f>AQ23-AQ22</f>
        <v>283.09999999999991</v>
      </c>
      <c r="AR25" s="593"/>
      <c r="AS25" s="593"/>
      <c r="AT25" s="527"/>
      <c r="AU25" s="343">
        <f>IF(AU19="","",AU23-AU22)</f>
        <v>-2.2737367544323206E-13</v>
      </c>
      <c r="AV25" s="526">
        <f>AV23-AV22</f>
        <v>356.79999999999995</v>
      </c>
      <c r="AW25" s="593"/>
      <c r="AX25" s="593"/>
      <c r="AY25" s="527"/>
      <c r="AZ25" s="343">
        <f>IF(AZ19="","",AZ23-AZ22)</f>
        <v>170.70000000000005</v>
      </c>
      <c r="BA25" s="53"/>
      <c r="BB25" s="542" t="s">
        <v>17</v>
      </c>
      <c r="BC25" s="543"/>
      <c r="BD25" s="543"/>
      <c r="BE25" s="543"/>
      <c r="BF25" s="397" t="s">
        <v>7</v>
      </c>
      <c r="BG25" s="526">
        <f>BG23-BG22</f>
        <v>362.20000000000005</v>
      </c>
      <c r="BH25" s="593"/>
      <c r="BI25" s="593"/>
      <c r="BJ25" s="527"/>
      <c r="BK25" s="343">
        <f>IF(BK19="","",BK23-BK22)</f>
        <v>287.90000000000009</v>
      </c>
      <c r="BL25" s="526">
        <f>BL23-BL22</f>
        <v>441.19999999999982</v>
      </c>
      <c r="BM25" s="593"/>
      <c r="BN25" s="593"/>
      <c r="BO25" s="527"/>
      <c r="BP25" s="343">
        <f>IF(BP19="","",BP23-BP22)</f>
        <v>334.5</v>
      </c>
      <c r="BQ25" s="526">
        <f>BQ23-BQ22</f>
        <v>162.83539999999994</v>
      </c>
      <c r="BR25" s="593"/>
      <c r="BS25" s="593"/>
      <c r="BT25" s="527"/>
      <c r="BU25" s="343">
        <f>IF(BU19="","",BU23-BU22)</f>
        <v>0</v>
      </c>
      <c r="BV25" s="526">
        <f>BV23-BV22</f>
        <v>308</v>
      </c>
      <c r="BW25" s="593"/>
      <c r="BX25" s="593"/>
      <c r="BY25" s="527"/>
      <c r="BZ25" s="343">
        <f>IF(BZ19="","",BZ23-BZ22)</f>
        <v>116.67449999999985</v>
      </c>
      <c r="CA25" s="53"/>
      <c r="CB25" s="542" t="s">
        <v>17</v>
      </c>
      <c r="CC25" s="543"/>
      <c r="CD25" s="543"/>
      <c r="CE25" s="543"/>
      <c r="CF25" s="397" t="s">
        <v>7</v>
      </c>
      <c r="CG25" s="526">
        <f>CG23-CG22</f>
        <v>360.79999999999995</v>
      </c>
      <c r="CH25" s="593"/>
      <c r="CI25" s="593"/>
      <c r="CJ25" s="527"/>
      <c r="CK25" s="343">
        <f>IF(CK19="","",CK23-CK22)</f>
        <v>313</v>
      </c>
      <c r="CL25" s="526">
        <f>CL23-CL22</f>
        <v>96.799999999999955</v>
      </c>
      <c r="CM25" s="593"/>
      <c r="CN25" s="593"/>
      <c r="CO25" s="527"/>
      <c r="CP25" s="343">
        <f>IF(CP19="","",CP23-CP22)</f>
        <v>0</v>
      </c>
      <c r="CQ25" s="526">
        <f>CQ23-CQ22</f>
        <v>256.79999999999995</v>
      </c>
      <c r="CR25" s="593"/>
      <c r="CS25" s="593"/>
      <c r="CT25" s="527"/>
      <c r="CU25" s="343">
        <f>IF(CU19="","",CU23-CU22)</f>
        <v>127.11490000000003</v>
      </c>
      <c r="CV25" s="526">
        <f>CV23-CV22</f>
        <v>462.90000000000009</v>
      </c>
      <c r="CW25" s="593"/>
      <c r="CX25" s="593"/>
      <c r="CY25" s="527"/>
      <c r="CZ25" s="343">
        <f>IF(CZ19="","",CZ23-CZ22)</f>
        <v>381.90000000000009</v>
      </c>
      <c r="DA25" s="53"/>
      <c r="DB25" s="542" t="s">
        <v>17</v>
      </c>
      <c r="DC25" s="543"/>
      <c r="DD25" s="543"/>
      <c r="DE25" s="543"/>
      <c r="DF25" s="397" t="s">
        <v>7</v>
      </c>
      <c r="DG25" s="526">
        <f>DG23-DG22</f>
        <v>374.79999999999995</v>
      </c>
      <c r="DH25" s="593"/>
      <c r="DI25" s="593"/>
      <c r="DJ25" s="527"/>
      <c r="DK25" s="343">
        <f>IF(DK19="","",DK23-DK22)</f>
        <v>278.87959999999998</v>
      </c>
      <c r="DL25" s="526">
        <f>DL23-DL22</f>
        <v>365.09999999999991</v>
      </c>
      <c r="DM25" s="593"/>
      <c r="DN25" s="593"/>
      <c r="DO25" s="527"/>
      <c r="DP25" s="343">
        <f>IF(DP19="","",DP23-DP22)</f>
        <v>285</v>
      </c>
      <c r="DQ25" s="526">
        <f>DQ23-DQ22</f>
        <v>271.89999999999986</v>
      </c>
      <c r="DR25" s="593"/>
      <c r="DS25" s="593"/>
      <c r="DT25" s="527"/>
      <c r="DU25" s="343">
        <f>IF(DU19="","",DU23-DU22)</f>
        <v>205.39999999999986</v>
      </c>
      <c r="DV25" s="526">
        <f>DV23-DV22</f>
        <v>255.79999999999995</v>
      </c>
      <c r="DW25" s="593"/>
      <c r="DX25" s="593"/>
      <c r="DY25" s="527"/>
      <c r="DZ25" s="343">
        <f>IF(DZ19="","",DZ23-DZ22)</f>
        <v>167.20000000000005</v>
      </c>
      <c r="EA25" s="53"/>
      <c r="EB25" s="542" t="s">
        <v>17</v>
      </c>
      <c r="EC25" s="543"/>
      <c r="ED25" s="543"/>
      <c r="EE25" s="543"/>
      <c r="EF25" s="397" t="s">
        <v>7</v>
      </c>
      <c r="EG25" s="526">
        <f>EG23-EG22</f>
        <v>64.799999999999955</v>
      </c>
      <c r="EH25" s="593"/>
      <c r="EI25" s="593"/>
      <c r="EJ25" s="527"/>
      <c r="EK25" s="343">
        <f>IF(EK19="","",EK23-EK22)</f>
        <v>79.599999999999909</v>
      </c>
      <c r="EL25" s="526">
        <f>EL23-EL22</f>
        <v>331.09999999999991</v>
      </c>
      <c r="EM25" s="593"/>
      <c r="EN25" s="593"/>
      <c r="EO25" s="527"/>
      <c r="EP25" s="343">
        <f>IF(EP19="","",EP23-EP22)</f>
        <v>192.89999999999986</v>
      </c>
      <c r="EQ25" s="526">
        <f>EQ23-EQ22</f>
        <v>434.20000000000005</v>
      </c>
      <c r="ER25" s="593"/>
      <c r="ES25" s="593"/>
      <c r="ET25" s="527"/>
      <c r="EU25" s="343">
        <f>IF(EU19="","",EU23-EU22)</f>
        <v>331.90000000000009</v>
      </c>
      <c r="EV25" s="526">
        <f>EV23-EV22</f>
        <v>316.70000000000005</v>
      </c>
      <c r="EW25" s="593"/>
      <c r="EX25" s="593"/>
      <c r="EY25" s="527"/>
      <c r="EZ25" s="343">
        <f>IF(EZ19="","",EZ23-EZ22)</f>
        <v>274.40000000000009</v>
      </c>
      <c r="FA25" s="53"/>
      <c r="FB25" s="542" t="s">
        <v>17</v>
      </c>
      <c r="FC25" s="543"/>
      <c r="FD25" s="543"/>
      <c r="FE25" s="543"/>
      <c r="FF25" s="397" t="s">
        <v>7</v>
      </c>
      <c r="FG25" s="526">
        <f>FG23-FG22</f>
        <v>242.70000000000005</v>
      </c>
      <c r="FH25" s="593"/>
      <c r="FI25" s="593"/>
      <c r="FJ25" s="527"/>
      <c r="FK25" s="343">
        <f>IF(FK19="","",FK23-FK22)</f>
        <v>30.299999999999955</v>
      </c>
      <c r="FL25" s="526">
        <f>FL23-FL22</f>
        <v>254.70000000000005</v>
      </c>
      <c r="FM25" s="593"/>
      <c r="FN25" s="593"/>
      <c r="FO25" s="527"/>
      <c r="FP25" s="343">
        <f>IF(FP19="","",FP23-FP22)</f>
        <v>87.799999999999955</v>
      </c>
      <c r="FQ25" s="526">
        <f>FQ23-FQ22</f>
        <v>234.20000000000005</v>
      </c>
      <c r="FR25" s="593"/>
      <c r="FS25" s="593"/>
      <c r="FT25" s="527"/>
      <c r="FU25" s="343">
        <f>IF(FU19="","",FU23-FU22)</f>
        <v>39.699999999999818</v>
      </c>
      <c r="FV25" s="526">
        <f>FV23-FV22</f>
        <v>298.09999999999991</v>
      </c>
      <c r="FW25" s="593"/>
      <c r="FX25" s="593"/>
      <c r="FY25" s="527"/>
      <c r="FZ25" s="343">
        <f>IF(FZ19="","",FZ23-FZ22)</f>
        <v>100.60000000000002</v>
      </c>
      <c r="GA25" s="53"/>
      <c r="GB25" s="542" t="s">
        <v>17</v>
      </c>
      <c r="GC25" s="543"/>
      <c r="GD25" s="543"/>
      <c r="GE25" s="543"/>
      <c r="GF25" s="397" t="s">
        <v>7</v>
      </c>
      <c r="GG25" s="526">
        <f>GG23-GG22</f>
        <v>363.09999999999991</v>
      </c>
      <c r="GH25" s="593"/>
      <c r="GI25" s="593"/>
      <c r="GJ25" s="527"/>
      <c r="GK25" s="343">
        <f>IF(GK19="","",GK23-GK22)</f>
        <v>357.20000000000005</v>
      </c>
      <c r="GL25" s="526">
        <f>GL23-GL22</f>
        <v>384.90000000000009</v>
      </c>
      <c r="GM25" s="593"/>
      <c r="GN25" s="593"/>
      <c r="GO25" s="527"/>
      <c r="GP25" s="343">
        <f>IF(GP19="","",GP23-GP22)</f>
        <v>151.00000000000011</v>
      </c>
      <c r="GQ25" s="526">
        <f>GQ23-GQ22+1</f>
        <v>54.499999999999773</v>
      </c>
      <c r="GR25" s="593"/>
      <c r="GS25" s="593"/>
      <c r="GT25" s="527"/>
      <c r="GU25" s="343">
        <f>IF(GU19="","",GU23-GU22)</f>
        <v>107.5</v>
      </c>
      <c r="GV25" s="526">
        <f>GV23-GV22</f>
        <v>259.79999999999995</v>
      </c>
      <c r="GW25" s="593"/>
      <c r="GX25" s="593"/>
      <c r="GY25" s="527"/>
      <c r="GZ25" s="343">
        <f>IF(GZ19="","",GZ23-GZ22)</f>
        <v>243.94000000000005</v>
      </c>
      <c r="HA25" s="53"/>
      <c r="HB25" s="542" t="s">
        <v>17</v>
      </c>
      <c r="HC25" s="543"/>
      <c r="HD25" s="543"/>
      <c r="HE25" s="543"/>
      <c r="HF25" s="397" t="s">
        <v>7</v>
      </c>
      <c r="HG25" s="526">
        <f>HG23-HG22</f>
        <v>224.20000000000005</v>
      </c>
      <c r="HH25" s="593"/>
      <c r="HI25" s="593"/>
      <c r="HJ25" s="527"/>
      <c r="HK25" s="343">
        <f>IF(HK19="","",HK23-HK22)</f>
        <v>0.39999999999997726</v>
      </c>
      <c r="HL25" s="526">
        <f>HL23-HL22</f>
        <v>373.79999999999995</v>
      </c>
      <c r="HM25" s="593"/>
      <c r="HN25" s="593"/>
      <c r="HO25" s="527"/>
      <c r="HP25" s="343">
        <f>IF(HP19="","",HP23-HP22)</f>
        <v>289</v>
      </c>
      <c r="HQ25" s="526">
        <f>HQ23-HQ22</f>
        <v>259.59999999999991</v>
      </c>
      <c r="HR25" s="593"/>
      <c r="HS25" s="593"/>
      <c r="HT25" s="527"/>
      <c r="HU25" s="343">
        <f>HU23-HU22</f>
        <v>107.89999999999986</v>
      </c>
      <c r="HV25" s="526">
        <f>HV23-HV22</f>
        <v>244.5</v>
      </c>
      <c r="HW25" s="593"/>
      <c r="HX25" s="593"/>
      <c r="HY25" s="527"/>
      <c r="HZ25" s="343">
        <f>IF(HZ19="","",HZ23-HZ22)</f>
        <v>0</v>
      </c>
      <c r="IA25" s="53"/>
      <c r="IB25" s="542" t="s">
        <v>17</v>
      </c>
      <c r="IC25" s="543"/>
      <c r="ID25" s="543"/>
      <c r="IE25" s="543"/>
      <c r="IF25" s="397" t="s">
        <v>7</v>
      </c>
      <c r="IG25" s="526">
        <f>IG23-IG22</f>
        <v>88.599999999999909</v>
      </c>
      <c r="IH25" s="593"/>
      <c r="II25" s="593"/>
      <c r="IJ25" s="527"/>
      <c r="IK25" s="343">
        <f>IF(IK19="","",IK23-IK22)</f>
        <v>0</v>
      </c>
      <c r="IL25" s="526">
        <f>IL23-IL22</f>
        <v>84.200000000000045</v>
      </c>
      <c r="IM25" s="593"/>
      <c r="IN25" s="593"/>
      <c r="IO25" s="527"/>
      <c r="IP25" s="343">
        <f>IF(IP19="","",IP23-IP22)</f>
        <v>-2.2737367544323206E-13</v>
      </c>
      <c r="IQ25" s="526">
        <f t="shared" ref="IQ25:IV25" si="26">IQ23-IQ22</f>
        <v>197</v>
      </c>
      <c r="IR25" s="593"/>
      <c r="IS25" s="593"/>
      <c r="IT25" s="527"/>
      <c r="IU25" s="343">
        <f t="shared" si="26"/>
        <v>102</v>
      </c>
      <c r="IV25" s="526">
        <f t="shared" si="26"/>
        <v>24.200000000000045</v>
      </c>
      <c r="IW25" s="593"/>
      <c r="IX25" s="593"/>
      <c r="IY25" s="527"/>
      <c r="IZ25" s="343">
        <f>IF(IZ19="","",IZ23-IZ22)</f>
        <v>0</v>
      </c>
      <c r="JA25" s="53"/>
      <c r="JB25" s="542" t="s">
        <v>17</v>
      </c>
      <c r="JC25" s="543"/>
      <c r="JD25" s="543"/>
      <c r="JE25" s="543"/>
      <c r="JF25" s="397" t="s">
        <v>7</v>
      </c>
      <c r="JG25" s="526">
        <f t="shared" ref="JG25" si="27">JG23-JG22</f>
        <v>266.59999999999991</v>
      </c>
      <c r="JH25" s="593"/>
      <c r="JI25" s="593"/>
      <c r="JJ25" s="527"/>
      <c r="JK25" s="343">
        <f>JK23-JK22</f>
        <v>63</v>
      </c>
      <c r="JL25" s="526">
        <f>JL23-JL22</f>
        <v>332.89999999999986</v>
      </c>
      <c r="JM25" s="593"/>
      <c r="JN25" s="593"/>
      <c r="JO25" s="527"/>
      <c r="JP25" s="343">
        <f>JP23-JP22</f>
        <v>348.5</v>
      </c>
      <c r="JQ25" s="526">
        <f>JQ23-JQ22+1</f>
        <v>267.30000000000041</v>
      </c>
      <c r="JR25" s="593"/>
      <c r="JS25" s="593"/>
      <c r="JT25" s="527"/>
      <c r="JU25" s="343">
        <f>JU23-JU22</f>
        <v>51</v>
      </c>
      <c r="JV25" s="526">
        <f>JV23-JV22</f>
        <v>298.09999999999991</v>
      </c>
      <c r="JW25" s="593"/>
      <c r="JX25" s="593"/>
      <c r="JY25" s="527"/>
      <c r="JZ25" s="343">
        <f>JZ23-JZ22</f>
        <v>0</v>
      </c>
      <c r="KA25" s="53"/>
      <c r="KB25" s="542" t="s">
        <v>17</v>
      </c>
      <c r="KC25" s="543"/>
      <c r="KD25" s="543"/>
      <c r="KE25" s="543"/>
      <c r="KF25" s="397" t="s">
        <v>7</v>
      </c>
      <c r="KG25" s="526">
        <f>KG23-KG22</f>
        <v>339.09999999999991</v>
      </c>
      <c r="KH25" s="593"/>
      <c r="KI25" s="593"/>
      <c r="KJ25" s="527"/>
      <c r="KK25" s="343">
        <f>KK23-KK22</f>
        <v>301.79999999999973</v>
      </c>
      <c r="KL25" s="526">
        <f>KL23-KL22</f>
        <v>342.50000000000023</v>
      </c>
      <c r="KM25" s="593"/>
      <c r="KN25" s="593"/>
      <c r="KO25" s="527"/>
      <c r="KP25" s="343">
        <f>KP23-KP22</f>
        <v>341.40000000000032</v>
      </c>
      <c r="KQ25" s="526">
        <f>KQ23-KQ22</f>
        <v>284.70000000000005</v>
      </c>
      <c r="KR25" s="593"/>
      <c r="KS25" s="593"/>
      <c r="KT25" s="527"/>
      <c r="KU25" s="343">
        <f>KU23-KU22</f>
        <v>205.09999999999991</v>
      </c>
      <c r="KV25" s="526">
        <f>KV23-KV22</f>
        <v>157.5</v>
      </c>
      <c r="KW25" s="593"/>
      <c r="KX25" s="593"/>
      <c r="KY25" s="527"/>
      <c r="KZ25" s="343">
        <f>KZ23-KZ22</f>
        <v>132.59999999999991</v>
      </c>
      <c r="LA25" s="53"/>
      <c r="LB25" s="542" t="s">
        <v>17</v>
      </c>
      <c r="LC25" s="543"/>
      <c r="LD25" s="543"/>
      <c r="LE25" s="543"/>
      <c r="LF25" s="397" t="s">
        <v>7</v>
      </c>
      <c r="LG25" s="526">
        <f>LG23-LG22</f>
        <v>174.29999999999995</v>
      </c>
      <c r="LH25" s="593"/>
      <c r="LI25" s="593"/>
      <c r="LJ25" s="527"/>
      <c r="LK25" s="343">
        <f>LK23-LK22</f>
        <v>84.400000000000091</v>
      </c>
      <c r="LL25" s="526">
        <f>LL23-LL22</f>
        <v>119.90000000000009</v>
      </c>
      <c r="LM25" s="593"/>
      <c r="LN25" s="593"/>
      <c r="LO25" s="527"/>
      <c r="LP25" s="343">
        <f>IF(LP19="","",LP23-LP22)</f>
        <v>0.40000000000009095</v>
      </c>
      <c r="LQ25" s="526">
        <f>LQ23-LQ22</f>
        <v>61.599999999999909</v>
      </c>
      <c r="LR25" s="593"/>
      <c r="LS25" s="593"/>
      <c r="LT25" s="527"/>
      <c r="LU25" s="343">
        <f>IF(LU19="","",LU23-LU22)</f>
        <v>0</v>
      </c>
      <c r="LV25" s="526">
        <f>LV23-LV22</f>
        <v>21.599999999999909</v>
      </c>
      <c r="LW25" s="593"/>
      <c r="LX25" s="593"/>
      <c r="LY25" s="527"/>
      <c r="LZ25" s="343">
        <f>IF(LZ19="","",LZ23-LZ22)</f>
        <v>0</v>
      </c>
      <c r="MA25" s="53"/>
      <c r="MB25" s="542" t="s">
        <v>17</v>
      </c>
      <c r="MC25" s="543"/>
      <c r="MD25" s="543"/>
      <c r="ME25" s="543"/>
      <c r="MF25" s="397" t="s">
        <v>7</v>
      </c>
      <c r="MG25" s="526">
        <f>MG23-MG22</f>
        <v>25.700000000000045</v>
      </c>
      <c r="MH25" s="593"/>
      <c r="MI25" s="593"/>
      <c r="MJ25" s="527"/>
      <c r="MK25" s="343">
        <f>IF(MK19="","",MK23-MK22)</f>
        <v>0</v>
      </c>
      <c r="ML25" s="526">
        <f>ML23-ML22</f>
        <v>166.89999999999986</v>
      </c>
      <c r="MM25" s="593"/>
      <c r="MN25" s="593"/>
      <c r="MO25" s="527"/>
      <c r="MP25" s="343">
        <f>MP23-MP22</f>
        <v>136.79999999999995</v>
      </c>
      <c r="MQ25" s="526">
        <f>MQ23-MQ22</f>
        <v>27.099999999999909</v>
      </c>
      <c r="MR25" s="593"/>
      <c r="MS25" s="593"/>
      <c r="MT25" s="527"/>
      <c r="MU25" s="343">
        <f>MU23-MU22</f>
        <v>0</v>
      </c>
      <c r="MV25" s="526">
        <f>MV23-MV22</f>
        <v>32.099999999999909</v>
      </c>
      <c r="MW25" s="593"/>
      <c r="MX25" s="593"/>
      <c r="MY25" s="527"/>
      <c r="MZ25" s="343">
        <f>MZ23-MZ22</f>
        <v>0</v>
      </c>
      <c r="NA25" s="53"/>
      <c r="NB25" s="542" t="s">
        <v>17</v>
      </c>
      <c r="NC25" s="543"/>
      <c r="ND25" s="543"/>
      <c r="NE25" s="543"/>
      <c r="NF25" s="397" t="s">
        <v>7</v>
      </c>
      <c r="NG25" s="526">
        <f>NG23-NG22</f>
        <v>46.899999999999864</v>
      </c>
      <c r="NH25" s="593"/>
      <c r="NI25" s="593"/>
      <c r="NJ25" s="527"/>
      <c r="NK25" s="343">
        <f>IF(NK19="","",NK23-NK22)</f>
        <v>0</v>
      </c>
      <c r="NL25" s="526">
        <f>NL23-NL22</f>
        <v>21.799999999999955</v>
      </c>
      <c r="NM25" s="593"/>
      <c r="NN25" s="593"/>
      <c r="NO25" s="527"/>
      <c r="NP25" s="343">
        <f>NP23-NP22</f>
        <v>0</v>
      </c>
      <c r="NQ25" s="526">
        <f>NQ23-NQ22</f>
        <v>36</v>
      </c>
      <c r="NR25" s="593"/>
      <c r="NS25" s="593"/>
      <c r="NT25" s="527"/>
      <c r="NU25" s="343">
        <f>NU23-NU22</f>
        <v>0</v>
      </c>
      <c r="NV25" s="526">
        <f>NV23-NV22</f>
        <v>58</v>
      </c>
      <c r="NW25" s="593"/>
      <c r="NX25" s="593"/>
      <c r="NY25" s="527"/>
      <c r="NZ25" s="343">
        <f>NZ23-NZ22</f>
        <v>0</v>
      </c>
      <c r="OA25" s="53"/>
      <c r="OB25" s="542" t="s">
        <v>17</v>
      </c>
      <c r="OC25" s="543"/>
      <c r="OD25" s="543"/>
      <c r="OE25" s="543"/>
      <c r="OF25" s="397" t="s">
        <v>7</v>
      </c>
      <c r="OG25" s="526">
        <f>OG23-OG22</f>
        <v>68</v>
      </c>
      <c r="OH25" s="593"/>
      <c r="OI25" s="593"/>
      <c r="OJ25" s="527"/>
      <c r="OK25" s="343">
        <f>IF(OK19="","",OK23-OK22)</f>
        <v>0</v>
      </c>
      <c r="OL25" s="526">
        <f>OL23-OL22-1</f>
        <v>38.600000000000136</v>
      </c>
      <c r="OM25" s="593"/>
      <c r="ON25" s="593"/>
      <c r="OO25" s="527"/>
      <c r="OP25" s="343">
        <f>OP23-OP22</f>
        <v>38.899999999999864</v>
      </c>
      <c r="OQ25" s="526">
        <f>OQ23-OQ22</f>
        <v>10.299999999999955</v>
      </c>
      <c r="OR25" s="593"/>
      <c r="OS25" s="593"/>
      <c r="OT25" s="527"/>
      <c r="OU25" s="343">
        <f>OU23-OU22</f>
        <v>0.40000000000009095</v>
      </c>
      <c r="OV25" s="526">
        <f>OV23-OV22</f>
        <v>9.7000000000000455</v>
      </c>
      <c r="OW25" s="593"/>
      <c r="OX25" s="593"/>
      <c r="OY25" s="527"/>
      <c r="OZ25" s="343">
        <v>0</v>
      </c>
      <c r="PA25" s="53"/>
      <c r="PB25" s="542" t="s">
        <v>17</v>
      </c>
      <c r="PC25" s="543"/>
      <c r="PD25" s="543"/>
      <c r="PE25" s="543"/>
      <c r="PF25" s="397" t="s">
        <v>7</v>
      </c>
      <c r="PG25" s="526">
        <f>PG23-PG22</f>
        <v>19</v>
      </c>
      <c r="PH25" s="593"/>
      <c r="PI25" s="593"/>
      <c r="PJ25" s="527"/>
      <c r="PK25" s="343">
        <f>IF(PK19="","",PK23-PK22)</f>
        <v>-2.2737367544323206E-13</v>
      </c>
      <c r="PL25" s="526">
        <f>PL23-PL22</f>
        <v>28.5</v>
      </c>
      <c r="PM25" s="593"/>
      <c r="PN25" s="593"/>
      <c r="PO25" s="527"/>
      <c r="PP25" s="343">
        <f>IF(PP19="","",PP23-PP22)</f>
        <v>0</v>
      </c>
      <c r="PQ25" s="526">
        <f>PQ23-PQ22</f>
        <v>81.699999999999818</v>
      </c>
      <c r="PR25" s="593"/>
      <c r="PS25" s="593"/>
      <c r="PT25" s="527"/>
      <c r="PU25" s="343">
        <f>IF(PU19="","",PU23-PU22)</f>
        <v>0</v>
      </c>
      <c r="PV25" s="526">
        <f>PV23-PV22</f>
        <v>23.700000000000045</v>
      </c>
      <c r="PW25" s="593"/>
      <c r="PX25" s="593"/>
      <c r="PY25" s="527"/>
      <c r="PZ25" s="343">
        <f>IF(PZ19="","",PZ23-PZ22)</f>
        <v>0</v>
      </c>
      <c r="QA25" s="53"/>
      <c r="QB25" s="542" t="s">
        <v>17</v>
      </c>
      <c r="QC25" s="543"/>
      <c r="QD25" s="543"/>
      <c r="QE25" s="543"/>
      <c r="QF25" s="397" t="s">
        <v>7</v>
      </c>
      <c r="QG25" s="526">
        <f t="shared" ref="QG25" si="28">QG23-QG22</f>
        <v>148.90000000000009</v>
      </c>
      <c r="QH25" s="593"/>
      <c r="QI25" s="593"/>
      <c r="QJ25" s="527"/>
      <c r="QK25" s="343">
        <f>IF(QK19="","",QK23-QK22)</f>
        <v>-2.2737367544323206E-13</v>
      </c>
      <c r="QL25" s="526">
        <f t="shared" ref="QL25" si="29">QL23-QL22</f>
        <v>311</v>
      </c>
      <c r="QM25" s="593"/>
      <c r="QN25" s="593"/>
      <c r="QO25" s="527"/>
      <c r="QP25" s="343">
        <f>IF(QP19="","",QP23-QP22)</f>
        <v>193.80000000000018</v>
      </c>
      <c r="QQ25" s="526">
        <f t="shared" ref="QQ25" si="30">QQ23-QQ22</f>
        <v>115.90000000000009</v>
      </c>
      <c r="QR25" s="593"/>
      <c r="QS25" s="593"/>
      <c r="QT25" s="527"/>
      <c r="QU25" s="343">
        <f>IF(QU19="","",QU23-QU22)</f>
        <v>55.800000000000182</v>
      </c>
      <c r="QV25" s="526">
        <f t="shared" ref="QV25" si="31">QV23-QV22</f>
        <v>119</v>
      </c>
      <c r="QW25" s="593"/>
      <c r="QX25" s="593"/>
      <c r="QY25" s="527"/>
      <c r="QZ25" s="343">
        <f>IF(QZ19="","",QZ23-QZ22)</f>
        <v>-2.2737367544323206E-13</v>
      </c>
      <c r="RA25" s="53"/>
      <c r="RB25" s="542" t="s">
        <v>17</v>
      </c>
      <c r="RC25" s="543"/>
      <c r="RD25" s="543"/>
      <c r="RE25" s="543"/>
      <c r="RF25" s="397" t="s">
        <v>7</v>
      </c>
      <c r="RG25" s="526">
        <f t="shared" ref="RG25" si="32">RG23-RG22</f>
        <v>62.100000000000136</v>
      </c>
      <c r="RH25" s="593"/>
      <c r="RI25" s="593"/>
      <c r="RJ25" s="527"/>
      <c r="RK25" s="343">
        <f>IF(RK19="","",RK23-RK22)</f>
        <v>-0.3000000000001819</v>
      </c>
      <c r="RL25" s="526">
        <f t="shared" ref="RL25" si="33">RL23-RL22</f>
        <v>173.90000000000009</v>
      </c>
      <c r="RM25" s="593"/>
      <c r="RN25" s="593"/>
      <c r="RO25" s="527"/>
      <c r="RP25" s="343">
        <f>IF(RP19="","",RP23-RP22)</f>
        <v>76</v>
      </c>
      <c r="RQ25" s="526">
        <f t="shared" ref="RQ25" si="34">RQ23-RQ22</f>
        <v>233.69999999999982</v>
      </c>
      <c r="RR25" s="593"/>
      <c r="RS25" s="593"/>
      <c r="RT25" s="527"/>
      <c r="RU25" s="343">
        <f>IF(RU19="","",RU23-RU22)</f>
        <v>148.20000000000005</v>
      </c>
      <c r="RV25" s="526">
        <f t="shared" ref="RV25" si="35">RV23-RV22</f>
        <v>87.899999999999864</v>
      </c>
      <c r="RW25" s="593"/>
      <c r="RX25" s="593"/>
      <c r="RY25" s="527"/>
      <c r="RZ25" s="343">
        <f>IF(RZ19="","",RZ23-RZ22)</f>
        <v>0</v>
      </c>
      <c r="SA25" s="53"/>
      <c r="SB25" s="542" t="s">
        <v>17</v>
      </c>
      <c r="SC25" s="543"/>
      <c r="SD25" s="543"/>
      <c r="SE25" s="543"/>
      <c r="SF25" s="397" t="s">
        <v>7</v>
      </c>
      <c r="SG25" s="526">
        <f>SG23-SG22</f>
        <v>237.29999999999995</v>
      </c>
      <c r="SH25" s="593"/>
      <c r="SI25" s="593"/>
      <c r="SJ25" s="527"/>
      <c r="SK25" s="343">
        <f>IF(SK19="","",SK23-SK22)</f>
        <v>165.09999999999991</v>
      </c>
      <c r="SL25" s="526">
        <f>SL23-SL22</f>
        <v>282.09999999999991</v>
      </c>
      <c r="SM25" s="593"/>
      <c r="SN25" s="593"/>
      <c r="SO25" s="527"/>
      <c r="SP25" s="343">
        <f>IF(SP19="","",SP23-SP22)</f>
        <v>245.90000000000009</v>
      </c>
      <c r="SQ25" s="526">
        <f t="shared" ref="SQ25" si="36">SQ23-SQ22</f>
        <v>8.1000000000001364</v>
      </c>
      <c r="SR25" s="593"/>
      <c r="SS25" s="593"/>
      <c r="ST25" s="527"/>
      <c r="SU25" s="343">
        <f>IF(SU19="","",SU23-SU22)</f>
        <v>0</v>
      </c>
      <c r="SV25" s="526">
        <f t="shared" ref="SV25" si="37">SV23-SV22</f>
        <v>77.299999999999955</v>
      </c>
      <c r="SW25" s="593"/>
      <c r="SX25" s="593"/>
      <c r="SY25" s="527"/>
      <c r="SZ25" s="343">
        <f>IF(SZ19="","",SZ23-SZ22)</f>
        <v>0</v>
      </c>
      <c r="TA25" s="53"/>
      <c r="TB25" s="542" t="s">
        <v>17</v>
      </c>
      <c r="TC25" s="543"/>
      <c r="TD25" s="543"/>
      <c r="TE25" s="543"/>
      <c r="TF25" s="397" t="s">
        <v>7</v>
      </c>
      <c r="TG25" s="526">
        <v>111.30000000000018</v>
      </c>
      <c r="TH25" s="593"/>
      <c r="TI25" s="593"/>
      <c r="TJ25" s="527"/>
      <c r="TK25" s="343">
        <f>IF(TK19="","",TK23-TK22)</f>
        <v>-2.2737367544323206E-13</v>
      </c>
      <c r="TL25" s="526">
        <v>38.900000000000091</v>
      </c>
      <c r="TM25" s="593"/>
      <c r="TN25" s="593"/>
      <c r="TO25" s="527"/>
      <c r="TP25" s="343"/>
      <c r="TQ25" s="343">
        <f>IF(TQ19="","",TQ23-TQ22)</f>
        <v>0</v>
      </c>
      <c r="TR25" s="526">
        <f>TR23-TR22</f>
        <v>50.900000000000091</v>
      </c>
      <c r="TS25" s="593"/>
      <c r="TT25" s="593"/>
      <c r="TU25" s="527"/>
      <c r="TV25" s="343">
        <f>IF(TV19="","",TV23-TV22)</f>
        <v>2.2737367544323206E-13</v>
      </c>
      <c r="TW25" s="526">
        <f>TW23-TW22</f>
        <v>122.59999999999991</v>
      </c>
      <c r="TX25" s="593"/>
      <c r="TY25" s="593"/>
      <c r="TZ25" s="527"/>
      <c r="UA25" s="343">
        <f>IF(UA19="","",UA23-UA22)</f>
        <v>0</v>
      </c>
      <c r="UB25" s="53"/>
      <c r="UC25" s="542" t="s">
        <v>17</v>
      </c>
      <c r="UD25" s="543"/>
      <c r="UE25" s="543"/>
      <c r="UF25" s="543"/>
      <c r="UG25" s="397" t="s">
        <v>7</v>
      </c>
      <c r="UH25" s="526">
        <f>UH23-UH22</f>
        <v>240.40000000000009</v>
      </c>
      <c r="UI25" s="593"/>
      <c r="UJ25" s="593"/>
      <c r="UK25" s="527"/>
      <c r="UL25" s="343">
        <f>IF(UL19="","",UL23-UL22)</f>
        <v>36.299999999999955</v>
      </c>
      <c r="UM25" s="526">
        <f>UM23-UM22</f>
        <v>10.099999999999909</v>
      </c>
      <c r="UN25" s="593"/>
      <c r="UO25" s="593"/>
      <c r="UP25" s="527"/>
      <c r="UQ25" s="343">
        <f>IF(UQ19="","",UQ23-UQ22)</f>
        <v>0</v>
      </c>
      <c r="UR25" s="526">
        <f>UR23-UR22</f>
        <v>163.09999999999991</v>
      </c>
      <c r="US25" s="593"/>
      <c r="UT25" s="593"/>
      <c r="UU25" s="527"/>
      <c r="UV25" s="343">
        <f>IF(UV19="","",UV23-UV22)</f>
        <v>0</v>
      </c>
      <c r="UW25" s="526">
        <f>UW23-UW22</f>
        <v>274.79999999999995</v>
      </c>
      <c r="UX25" s="593"/>
      <c r="UY25" s="593"/>
      <c r="UZ25" s="527"/>
      <c r="VA25" s="343">
        <f>IF(VA19="","",VA23-VA22)</f>
        <v>107.29999999999973</v>
      </c>
      <c r="VB25" s="53"/>
      <c r="VC25" s="542" t="s">
        <v>17</v>
      </c>
      <c r="VD25" s="543"/>
      <c r="VE25" s="543"/>
      <c r="VF25" s="543"/>
      <c r="VG25" s="397" t="s">
        <v>7</v>
      </c>
      <c r="VH25" s="526">
        <f>VH23-VH22</f>
        <v>86.900000000000091</v>
      </c>
      <c r="VI25" s="593"/>
      <c r="VJ25" s="593"/>
      <c r="VK25" s="527"/>
      <c r="VL25" s="343">
        <f>IF(VL19="","",VL23-VL22)</f>
        <v>0.29999999999995453</v>
      </c>
      <c r="VM25" s="526">
        <f>VM23-VM22</f>
        <v>30</v>
      </c>
      <c r="VN25" s="593"/>
      <c r="VO25" s="593"/>
      <c r="VP25" s="527"/>
      <c r="VQ25" s="343">
        <f>IF(VQ19="","",VQ23-VQ22)</f>
        <v>-0.10000000000013642</v>
      </c>
      <c r="VR25" s="526">
        <f>VR23-VR22</f>
        <v>30</v>
      </c>
      <c r="VS25" s="593"/>
      <c r="VT25" s="593"/>
      <c r="VU25" s="527"/>
      <c r="VV25" s="343">
        <f>IF(VV19="","",VV23-VV22)</f>
        <v>-0.39999999999986358</v>
      </c>
      <c r="VW25" s="526">
        <f>VW23-VW22</f>
        <v>185.80000000000018</v>
      </c>
      <c r="VX25" s="593"/>
      <c r="VY25" s="593"/>
      <c r="VZ25" s="527"/>
      <c r="WA25" s="343">
        <f>IF(WA19="","",WA23-WA22)</f>
        <v>0</v>
      </c>
      <c r="WB25" s="53"/>
      <c r="WC25" s="542" t="s">
        <v>17</v>
      </c>
      <c r="WD25" s="543"/>
      <c r="WE25" s="543"/>
      <c r="WF25" s="543"/>
      <c r="WG25" s="397" t="s">
        <v>7</v>
      </c>
      <c r="WH25" s="526">
        <f>WH23-WH22</f>
        <v>377.99999999999977</v>
      </c>
      <c r="WI25" s="593"/>
      <c r="WJ25" s="593"/>
      <c r="WK25" s="527"/>
      <c r="WL25" s="343">
        <f>IF(WL19="","",WL23-WL22)</f>
        <v>168.70000000000005</v>
      </c>
      <c r="WM25" s="526">
        <f>WM23-WM22</f>
        <v>371.89999999999986</v>
      </c>
      <c r="WN25" s="593"/>
      <c r="WO25" s="593"/>
      <c r="WP25" s="527"/>
      <c r="WQ25" s="343">
        <f>IF(WQ19="","",WQ23-WQ22)</f>
        <v>47.700000000000045</v>
      </c>
      <c r="WR25" s="526">
        <f>WR23-WR22</f>
        <v>303.89999999999986</v>
      </c>
      <c r="WS25" s="593"/>
      <c r="WT25" s="593"/>
      <c r="WU25" s="527"/>
      <c r="WV25" s="343">
        <f>IF(WV19="","",WV23-WV22)</f>
        <v>104.30000000000018</v>
      </c>
      <c r="WW25" s="526">
        <f>WW23-WW22</f>
        <v>149.10000000000014</v>
      </c>
      <c r="WX25" s="593"/>
      <c r="WY25" s="593"/>
      <c r="WZ25" s="527"/>
      <c r="XA25" s="343">
        <f>IF(XA19="","",XA23-XA22)</f>
        <v>51.099999999999909</v>
      </c>
      <c r="XB25" s="53"/>
      <c r="XC25" s="542" t="s">
        <v>17</v>
      </c>
      <c r="XD25" s="543"/>
      <c r="XE25" s="543"/>
      <c r="XF25" s="543"/>
      <c r="XG25" s="397" t="s">
        <v>7</v>
      </c>
      <c r="XH25" s="526">
        <f>XH23-XH22</f>
        <v>201.20000000000005</v>
      </c>
      <c r="XI25" s="593"/>
      <c r="XJ25" s="593"/>
      <c r="XK25" s="527"/>
      <c r="XL25" s="343">
        <f>IF(XL19="","",XL23-XL22)</f>
        <v>38.799999999999727</v>
      </c>
      <c r="XM25" s="526">
        <f>XM23-XM22</f>
        <v>128.09999999999991</v>
      </c>
      <c r="XN25" s="593"/>
      <c r="XO25" s="593"/>
      <c r="XP25" s="527"/>
      <c r="XQ25" s="343">
        <f>IF(XQ19="","",XQ23-XQ22)</f>
        <v>73</v>
      </c>
      <c r="XR25" s="526">
        <f>XR23-XR22</f>
        <v>150.79999999999995</v>
      </c>
      <c r="XS25" s="593"/>
      <c r="XT25" s="593"/>
      <c r="XU25" s="527"/>
      <c r="XV25" s="343">
        <f>IF(XV19="","",XV23-XV22)</f>
        <v>0</v>
      </c>
      <c r="XW25" s="526" t="s">
        <v>719</v>
      </c>
      <c r="XX25" s="593"/>
      <c r="XY25" s="593"/>
      <c r="XZ25" s="527"/>
      <c r="YA25" s="343">
        <f>IF(YA19="","",YA23-YA22)</f>
        <v>80</v>
      </c>
      <c r="YB25" s="53"/>
      <c r="YC25" s="542" t="s">
        <v>17</v>
      </c>
      <c r="YD25" s="543"/>
      <c r="YE25" s="543"/>
      <c r="YF25" s="543"/>
      <c r="YG25" s="397" t="s">
        <v>7</v>
      </c>
      <c r="YH25" s="526">
        <f>YH23-YH22</f>
        <v>112</v>
      </c>
      <c r="YI25" s="593"/>
      <c r="YJ25" s="593"/>
      <c r="YK25" s="527"/>
      <c r="YL25" s="343">
        <f>IF(YL19="","",YL23-YL22)</f>
        <v>-0.1999999999998181</v>
      </c>
      <c r="YM25" s="526">
        <f>YM23-YM22</f>
        <v>56</v>
      </c>
      <c r="YN25" s="593"/>
      <c r="YO25" s="593"/>
      <c r="YP25" s="527"/>
      <c r="YQ25" s="343">
        <f>IF(YQ19="","",YQ23-YQ22)</f>
        <v>0</v>
      </c>
      <c r="YR25" s="526">
        <f>YR23-YR22</f>
        <v>65.799999999999955</v>
      </c>
      <c r="YS25" s="593"/>
      <c r="YT25" s="593"/>
      <c r="YU25" s="527"/>
      <c r="YV25" s="343">
        <f>IF(YV19="","",YV23-YV22)</f>
        <v>0</v>
      </c>
      <c r="YW25" s="526">
        <f>YW23-YW22</f>
        <v>186.5</v>
      </c>
      <c r="YX25" s="593"/>
      <c r="YY25" s="593"/>
      <c r="YZ25" s="527"/>
      <c r="ZA25" s="343">
        <f>IF(ZA19="","",ZA23-ZA22)</f>
        <v>14.900000000000091</v>
      </c>
      <c r="ZB25" s="53"/>
      <c r="ZC25" s="542" t="s">
        <v>17</v>
      </c>
      <c r="ZD25" s="543"/>
      <c r="ZE25" s="543"/>
      <c r="ZF25" s="543"/>
      <c r="ZG25" s="397" t="s">
        <v>7</v>
      </c>
      <c r="ZH25" s="526">
        <f t="shared" ref="ZH25:ZM25" si="38">ZH23-ZH22</f>
        <v>130.39999999999986</v>
      </c>
      <c r="ZI25" s="593"/>
      <c r="ZJ25" s="593"/>
      <c r="ZK25" s="527"/>
      <c r="ZL25" s="343">
        <f t="shared" si="38"/>
        <v>23.399999999999864</v>
      </c>
      <c r="ZM25" s="526">
        <f t="shared" si="38"/>
        <v>62.000000000000227</v>
      </c>
      <c r="ZN25" s="593"/>
      <c r="ZO25" s="593"/>
      <c r="ZP25" s="527"/>
      <c r="ZQ25" s="343">
        <v>0</v>
      </c>
      <c r="ZR25" s="526">
        <f t="shared" ref="ZR25" si="39">ZR23-ZR22</f>
        <v>309.89999999999986</v>
      </c>
      <c r="ZS25" s="593"/>
      <c r="ZT25" s="593"/>
      <c r="ZU25" s="527"/>
      <c r="ZV25" s="343">
        <f>ZV23-ZV22</f>
        <v>214.70000000000027</v>
      </c>
      <c r="ZW25" s="526">
        <f t="shared" ref="ZW25" si="40">ZW23-ZW22</f>
        <v>134.39999999999986</v>
      </c>
      <c r="ZX25" s="593"/>
      <c r="ZY25" s="593"/>
      <c r="ZZ25" s="527"/>
      <c r="AAA25" s="343">
        <f>AAA23-AAA22</f>
        <v>0</v>
      </c>
      <c r="AAB25" s="53"/>
      <c r="AAC25" s="542" t="s">
        <v>17</v>
      </c>
      <c r="AAD25" s="543"/>
      <c r="AAE25" s="543"/>
      <c r="AAF25" s="543"/>
      <c r="AAG25" s="397" t="s">
        <v>7</v>
      </c>
      <c r="AAH25" s="526">
        <f t="shared" ref="AAH25" si="41">AAH23-AAH22</f>
        <v>86.899999999999864</v>
      </c>
      <c r="AAI25" s="593"/>
      <c r="AAJ25" s="593"/>
      <c r="AAK25" s="527"/>
      <c r="AAL25" s="343">
        <f>IF(AAL19="","",AAL23-AAL22)</f>
        <v>0</v>
      </c>
      <c r="AAM25" s="526">
        <f t="shared" ref="AAM25" si="42">AAM23-AAM22</f>
        <v>55.299999999999727</v>
      </c>
      <c r="AAN25" s="593"/>
      <c r="AAO25" s="593"/>
      <c r="AAP25" s="527"/>
      <c r="AAQ25" s="343">
        <v>0</v>
      </c>
      <c r="AAR25" s="526">
        <f t="shared" ref="AAR25" si="43">AAR23-AAR22</f>
        <v>89.200000000000045</v>
      </c>
      <c r="AAS25" s="593"/>
      <c r="AAT25" s="593"/>
      <c r="AAU25" s="527"/>
      <c r="AAV25" s="343">
        <f t="shared" ref="AAV25:AAW25" si="44">AAV23-AAV22</f>
        <v>33</v>
      </c>
      <c r="AAW25" s="526">
        <f t="shared" si="44"/>
        <v>205.79999999999995</v>
      </c>
      <c r="AAX25" s="593"/>
      <c r="AAY25" s="593"/>
      <c r="AAZ25" s="527"/>
      <c r="ABA25" s="343">
        <v>0</v>
      </c>
      <c r="ABB25" s="53"/>
      <c r="ABC25" s="542" t="s">
        <v>17</v>
      </c>
      <c r="ABD25" s="543"/>
      <c r="ABE25" s="543"/>
      <c r="ABF25" s="543"/>
      <c r="ABG25" s="397" t="s">
        <v>7</v>
      </c>
      <c r="ABH25" s="526">
        <f>ABH23-ABH22</f>
        <v>153.80000000000018</v>
      </c>
      <c r="ABI25" s="593"/>
      <c r="ABJ25" s="593"/>
      <c r="ABK25" s="527"/>
      <c r="ABL25" s="343">
        <f>IF(ABL19="","",ABL23-ABL22)</f>
        <v>36.099999999999909</v>
      </c>
      <c r="ABM25" s="526">
        <f t="shared" ref="ABM25" si="45">ABM23-ABM22</f>
        <v>151.79999999999995</v>
      </c>
      <c r="ABN25" s="593"/>
      <c r="ABO25" s="593"/>
      <c r="ABP25" s="527"/>
      <c r="ABQ25" s="343">
        <f>IF(ABQ19="","",ABQ23-ABQ22)</f>
        <v>90.5</v>
      </c>
      <c r="ABR25" s="526">
        <f t="shared" ref="ABR25" si="46">ABR23-ABR22</f>
        <v>76.999999999999773</v>
      </c>
      <c r="ABS25" s="593"/>
      <c r="ABT25" s="593"/>
      <c r="ABU25" s="527"/>
      <c r="ABV25" s="343">
        <v>0</v>
      </c>
      <c r="ABW25" s="526">
        <f>ABW23-ABW22</f>
        <v>35.899999999999864</v>
      </c>
      <c r="ABX25" s="593"/>
      <c r="ABY25" s="593"/>
      <c r="ABZ25" s="527"/>
      <c r="ACA25" s="343">
        <f>ACA23-ACA22</f>
        <v>0</v>
      </c>
      <c r="ACB25" s="53"/>
      <c r="ACC25" s="542" t="s">
        <v>17</v>
      </c>
      <c r="ACD25" s="543"/>
      <c r="ACE25" s="543"/>
      <c r="ACF25" s="543"/>
      <c r="ACG25" s="397" t="s">
        <v>7</v>
      </c>
      <c r="ACH25" s="526">
        <f>ACH23-ACH22</f>
        <v>103.70000000000005</v>
      </c>
      <c r="ACI25" s="593"/>
      <c r="ACJ25" s="593"/>
      <c r="ACK25" s="527"/>
      <c r="ACL25" s="343">
        <f>IF(ACL19="","",ACL23-ACL22)</f>
        <v>115</v>
      </c>
      <c r="ACM25" s="595">
        <v>8</v>
      </c>
      <c r="ACN25" s="596"/>
      <c r="ACO25" s="596"/>
      <c r="ACP25" s="597"/>
      <c r="ACQ25" s="343">
        <v>0</v>
      </c>
      <c r="ACR25" s="526">
        <f>ACR23-ACR22</f>
        <v>45.399999999999864</v>
      </c>
      <c r="ACS25" s="593"/>
      <c r="ACT25" s="593"/>
      <c r="ACU25" s="527"/>
      <c r="ACV25" s="343">
        <v>0</v>
      </c>
      <c r="ACW25" s="595">
        <v>186</v>
      </c>
      <c r="ACX25" s="596"/>
      <c r="ACY25" s="596"/>
      <c r="ACZ25" s="597"/>
      <c r="ADA25" s="343">
        <v>-2.2737367544323206E-13</v>
      </c>
      <c r="ADB25" s="53"/>
      <c r="ADC25" s="542" t="s">
        <v>17</v>
      </c>
      <c r="ADD25" s="543"/>
      <c r="ADE25" s="543"/>
      <c r="ADF25" s="543"/>
      <c r="ADG25" s="397" t="s">
        <v>7</v>
      </c>
      <c r="ADH25" s="595">
        <f>ADH23-ADH22</f>
        <v>42.599999999999909</v>
      </c>
      <c r="ADI25" s="596"/>
      <c r="ADJ25" s="596"/>
      <c r="ADK25" s="597"/>
      <c r="ADL25" s="343">
        <f>ADL23-ADL22</f>
        <v>-0.39999999999986358</v>
      </c>
      <c r="ADM25" s="595">
        <f>ADM23-ADM22</f>
        <v>127.59999999999991</v>
      </c>
      <c r="ADN25" s="596"/>
      <c r="ADO25" s="596"/>
      <c r="ADP25" s="597"/>
      <c r="ADQ25" s="343">
        <f>ADQ23-ADQ22</f>
        <v>-9.9999999999909051E-2</v>
      </c>
      <c r="ADR25" s="595">
        <f>ADR23-ADR22</f>
        <v>74.699999999999818</v>
      </c>
      <c r="ADS25" s="596"/>
      <c r="ADT25" s="596"/>
      <c r="ADU25" s="597"/>
      <c r="ADV25" s="343">
        <f>ADV23-ADV22</f>
        <v>0</v>
      </c>
      <c r="ADW25" s="526">
        <f>ADW23-ADW22</f>
        <v>108.00000000000023</v>
      </c>
      <c r="ADX25" s="593"/>
      <c r="ADY25" s="593"/>
      <c r="ADZ25" s="527"/>
      <c r="AEA25" s="343">
        <f>AEA23-AEA22</f>
        <v>-9.9999999999909051E-2</v>
      </c>
      <c r="AEB25" s="53"/>
      <c r="AEC25" s="542" t="s">
        <v>17</v>
      </c>
      <c r="AED25" s="543"/>
      <c r="AEE25" s="543"/>
      <c r="AEF25" s="543"/>
      <c r="AEG25" s="397" t="s">
        <v>7</v>
      </c>
      <c r="AEH25" s="595">
        <f>AEH23-AEH22</f>
        <v>26.899999999999864</v>
      </c>
      <c r="AEI25" s="596"/>
      <c r="AEJ25" s="596"/>
      <c r="AEK25" s="597"/>
      <c r="AEL25" s="343">
        <f>AEL23-AEL22</f>
        <v>0</v>
      </c>
      <c r="AEM25" s="595">
        <f>AEM23-AEM22</f>
        <v>66.200000000000045</v>
      </c>
      <c r="AEN25" s="596"/>
      <c r="AEO25" s="596"/>
      <c r="AEP25" s="597"/>
      <c r="AEQ25" s="343"/>
      <c r="AER25" s="343">
        <v>0</v>
      </c>
      <c r="AES25" s="595">
        <f>AES23-AES22</f>
        <v>14.200000000000045</v>
      </c>
      <c r="AET25" s="596"/>
      <c r="AEU25" s="596"/>
      <c r="AEV25" s="597"/>
      <c r="AEW25" s="343">
        <f>AEW23-AEW22</f>
        <v>0</v>
      </c>
      <c r="AEX25" s="501">
        <v>32</v>
      </c>
      <c r="AEY25" s="502"/>
      <c r="AEZ25" s="502"/>
      <c r="AFA25" s="503"/>
      <c r="AFB25" s="343">
        <f>AFB23-AFB22</f>
        <v>0</v>
      </c>
      <c r="AFC25" s="53"/>
      <c r="AFD25" s="542" t="s">
        <v>17</v>
      </c>
      <c r="AFE25" s="543"/>
      <c r="AFF25" s="543"/>
      <c r="AFG25" s="543"/>
      <c r="AFH25" s="397" t="s">
        <v>7</v>
      </c>
      <c r="AFI25" s="501">
        <v>105</v>
      </c>
      <c r="AFJ25" s="502"/>
      <c r="AFK25" s="502"/>
      <c r="AFL25" s="503"/>
      <c r="AFM25" s="343">
        <f>AFM23-AFM22</f>
        <v>0</v>
      </c>
      <c r="AFN25" s="595">
        <v>179</v>
      </c>
      <c r="AFO25" s="596"/>
      <c r="AFP25" s="596"/>
      <c r="AFQ25" s="597"/>
      <c r="AFR25" s="343">
        <f>IF(AFR19="","",AFR23-AFR22)</f>
        <v>149.60000000000014</v>
      </c>
      <c r="AFS25" s="595">
        <f>AFS23-AFS22</f>
        <v>250.99999999999977</v>
      </c>
      <c r="AFT25" s="596"/>
      <c r="AFU25" s="596"/>
      <c r="AFV25" s="597"/>
      <c r="AFW25" s="343">
        <f t="shared" ref="AFW25" si="47">AFW23-AFW22</f>
        <v>218.20000000000005</v>
      </c>
      <c r="AFX25" s="595">
        <f>AFX23-AFX22</f>
        <v>177.70000000000005</v>
      </c>
      <c r="AFY25" s="596"/>
      <c r="AFZ25" s="596"/>
      <c r="AGA25" s="597"/>
      <c r="AGB25" s="343">
        <f>AGB23-AGB22</f>
        <v>46.200000000000273</v>
      </c>
      <c r="AGC25" s="53"/>
      <c r="AGD25" s="542" t="s">
        <v>17</v>
      </c>
      <c r="AGE25" s="543"/>
      <c r="AGF25" s="543"/>
      <c r="AGG25" s="543"/>
      <c r="AGH25" s="397" t="s">
        <v>7</v>
      </c>
      <c r="AGI25" s="595">
        <f>AGI23-AGI22</f>
        <v>230.49999999999977</v>
      </c>
      <c r="AGJ25" s="596"/>
      <c r="AGK25" s="596"/>
      <c r="AGL25" s="597"/>
      <c r="AGM25" s="343">
        <f>AGM23-AGM22</f>
        <v>183</v>
      </c>
      <c r="AGN25" s="595">
        <f>AGN23-AGN22</f>
        <v>190.70000000000005</v>
      </c>
      <c r="AGO25" s="596"/>
      <c r="AGP25" s="596"/>
      <c r="AGQ25" s="597"/>
      <c r="AGR25" s="343">
        <f>AGR23-AGR22</f>
        <v>0</v>
      </c>
      <c r="AGS25" s="595">
        <f>AGS23-AGS22</f>
        <v>68.200000000000045</v>
      </c>
      <c r="AGT25" s="596"/>
      <c r="AGU25" s="596"/>
      <c r="AGV25" s="597"/>
      <c r="AGW25" s="343">
        <f>AGW23-AGW22</f>
        <v>0</v>
      </c>
      <c r="AGX25" s="501">
        <v>73</v>
      </c>
      <c r="AGY25" s="502"/>
      <c r="AGZ25" s="502"/>
      <c r="AHA25" s="503"/>
      <c r="AHB25" s="343">
        <v>0</v>
      </c>
      <c r="AHC25" s="53"/>
      <c r="AHD25" s="542" t="s">
        <v>17</v>
      </c>
      <c r="AHE25" s="543"/>
      <c r="AHF25" s="543"/>
      <c r="AHG25" s="543"/>
      <c r="AHH25" s="397" t="s">
        <v>7</v>
      </c>
      <c r="AHI25" s="501">
        <f>AHI23-AHI22</f>
        <v>207.60000000000014</v>
      </c>
      <c r="AHJ25" s="502"/>
      <c r="AHK25" s="502"/>
      <c r="AHL25" s="503"/>
      <c r="AHM25" s="343">
        <f>AHM23-AHM22</f>
        <v>35.599999999999909</v>
      </c>
      <c r="AHN25" s="501">
        <f>AHN23-AHN22</f>
        <v>28.199999999999818</v>
      </c>
      <c r="AHO25" s="502"/>
      <c r="AHP25" s="502"/>
      <c r="AHQ25" s="503"/>
      <c r="AHR25" s="343">
        <f>AHR23-AHR22</f>
        <v>-0.40000000000009095</v>
      </c>
      <c r="AHS25" s="501">
        <v>69</v>
      </c>
      <c r="AHT25" s="502"/>
      <c r="AHU25" s="502"/>
      <c r="AHV25" s="503"/>
      <c r="AHW25" s="343">
        <v>0</v>
      </c>
      <c r="AHX25" s="501">
        <f>AHX23-AHX22</f>
        <v>47.599999999999909</v>
      </c>
      <c r="AHY25" s="502"/>
      <c r="AHZ25" s="502"/>
      <c r="AIA25" s="503"/>
      <c r="AIB25" s="343">
        <f>AIB23-AIB22</f>
        <v>0</v>
      </c>
      <c r="AIC25" s="53"/>
      <c r="AID25" s="542" t="s">
        <v>17</v>
      </c>
      <c r="AIE25" s="543"/>
      <c r="AIF25" s="543"/>
      <c r="AIG25" s="543"/>
      <c r="AIH25" s="397" t="s">
        <v>7</v>
      </c>
      <c r="AII25" s="501">
        <v>79</v>
      </c>
      <c r="AIJ25" s="502"/>
      <c r="AIK25" s="502"/>
      <c r="AIL25" s="503"/>
      <c r="AIM25" s="343">
        <f>AIM23-AIM22</f>
        <v>-0.40000000000009095</v>
      </c>
      <c r="AIN25" s="501">
        <f>AIN23-AIN22</f>
        <v>167.5</v>
      </c>
      <c r="AIO25" s="502"/>
      <c r="AIP25" s="502"/>
      <c r="AIQ25" s="503"/>
      <c r="AIR25" s="343">
        <f>AIR23-AIR22</f>
        <v>0</v>
      </c>
      <c r="AIS25" s="501">
        <f>AIS23-AIS22</f>
        <v>110</v>
      </c>
      <c r="AIT25" s="502"/>
      <c r="AIU25" s="502"/>
      <c r="AIV25" s="503"/>
      <c r="AIW25" s="343">
        <f>AIW23-AIW22</f>
        <v>0</v>
      </c>
      <c r="AIX25" s="501">
        <f>AIX23-AIX22</f>
        <v>14</v>
      </c>
      <c r="AIY25" s="502"/>
      <c r="AIZ25" s="502"/>
      <c r="AJA25" s="503"/>
      <c r="AJB25" s="343">
        <v>0</v>
      </c>
      <c r="AJC25" s="53"/>
      <c r="AJD25" s="542" t="s">
        <v>17</v>
      </c>
      <c r="AJE25" s="543"/>
      <c r="AJF25" s="543"/>
      <c r="AJG25" s="543"/>
      <c r="AJH25" s="397" t="s">
        <v>7</v>
      </c>
      <c r="AJI25" s="501">
        <f>AJI23-AJI22</f>
        <v>68.599999999999909</v>
      </c>
      <c r="AJJ25" s="502"/>
      <c r="AJK25" s="502"/>
      <c r="AJL25" s="503"/>
      <c r="AJM25" s="343">
        <f>AJM23-AJM22</f>
        <v>0</v>
      </c>
      <c r="AJN25" s="501">
        <f>AJN23-AJN22</f>
        <v>73</v>
      </c>
      <c r="AJO25" s="502"/>
      <c r="AJP25" s="502"/>
      <c r="AJQ25" s="503"/>
      <c r="AJR25" s="343">
        <f>AJR23-AJR22</f>
        <v>0</v>
      </c>
      <c r="AJS25" s="501">
        <f>AJS23-AJS22</f>
        <v>135.19999999999959</v>
      </c>
      <c r="AJT25" s="502"/>
      <c r="AJU25" s="502"/>
      <c r="AJV25" s="503"/>
      <c r="AJW25" s="343">
        <v>24.7148</v>
      </c>
      <c r="AJX25" s="501">
        <v>219</v>
      </c>
      <c r="AJY25" s="502"/>
      <c r="AJZ25" s="502"/>
      <c r="AKA25" s="503"/>
      <c r="AKB25" s="343">
        <f>AKB23-AKB22</f>
        <v>174.10000000000014</v>
      </c>
      <c r="AKC25" s="53"/>
      <c r="AKD25" s="542" t="s">
        <v>17</v>
      </c>
      <c r="AKE25" s="543"/>
      <c r="AKF25" s="543"/>
      <c r="AKG25" s="543"/>
      <c r="AKH25" s="397" t="s">
        <v>7</v>
      </c>
      <c r="AKI25" s="501">
        <v>76</v>
      </c>
      <c r="AKJ25" s="502"/>
      <c r="AKK25" s="502"/>
      <c r="AKL25" s="503"/>
      <c r="AKM25" s="343">
        <f>AKM23-AKM22</f>
        <v>0</v>
      </c>
      <c r="AKN25" s="501">
        <f>AKN23-AKN22</f>
        <v>208</v>
      </c>
      <c r="AKO25" s="502"/>
      <c r="AKP25" s="502"/>
      <c r="AKQ25" s="503"/>
      <c r="AKR25" s="343">
        <f>AKR23-AKR22</f>
        <v>24.200000000000045</v>
      </c>
      <c r="AKS25" s="501">
        <f>AKS23-AKS22</f>
        <v>225.29999999999995</v>
      </c>
      <c r="AKT25" s="502"/>
      <c r="AKU25" s="502"/>
      <c r="AKV25" s="503"/>
      <c r="AKW25" s="343">
        <f>AKW23-AKW22</f>
        <v>37.799999999999955</v>
      </c>
      <c r="AKX25" s="501">
        <v>354</v>
      </c>
      <c r="AKY25" s="502"/>
      <c r="AKZ25" s="502"/>
      <c r="ALA25" s="503"/>
      <c r="ALB25" s="343">
        <f>ALB23-ALB22</f>
        <v>117.5</v>
      </c>
      <c r="ALC25" s="53"/>
      <c r="ALD25" s="542" t="s">
        <v>17</v>
      </c>
      <c r="ALE25" s="543"/>
      <c r="ALF25" s="543"/>
      <c r="ALG25" s="543"/>
      <c r="ALH25" s="397" t="s">
        <v>7</v>
      </c>
      <c r="ALI25" s="501">
        <f>ALI23-ALI22</f>
        <v>420.30000000000018</v>
      </c>
      <c r="ALJ25" s="502"/>
      <c r="ALK25" s="502"/>
      <c r="ALL25" s="503"/>
      <c r="ALM25" s="343">
        <f>ALM23-ALM22</f>
        <v>237</v>
      </c>
      <c r="ALN25" s="501">
        <f>ALN23-ALN22</f>
        <v>252.90000000000009</v>
      </c>
      <c r="ALO25" s="502"/>
      <c r="ALP25" s="502"/>
      <c r="ALQ25" s="503"/>
      <c r="ALR25" s="343">
        <f>ALR23-ALR22</f>
        <v>60</v>
      </c>
      <c r="ALS25" s="501">
        <v>234</v>
      </c>
      <c r="ALT25" s="502"/>
      <c r="ALU25" s="502"/>
      <c r="ALV25" s="503"/>
      <c r="ALW25" s="343">
        <f>ALW23-ALW22</f>
        <v>29</v>
      </c>
      <c r="ALX25" s="501">
        <v>231</v>
      </c>
      <c r="ALY25" s="502"/>
      <c r="ALZ25" s="502"/>
      <c r="AMA25" s="503"/>
      <c r="AMB25" s="343">
        <f>AMB23-AMB22</f>
        <v>42.200000000000045</v>
      </c>
      <c r="AMC25" s="53"/>
      <c r="AMD25" s="542" t="s">
        <v>17</v>
      </c>
      <c r="AME25" s="543"/>
      <c r="AMF25" s="543"/>
      <c r="AMG25" s="543"/>
      <c r="AMH25" s="397" t="s">
        <v>7</v>
      </c>
      <c r="AMI25" s="501">
        <f>AMI23-AMI22</f>
        <v>69</v>
      </c>
      <c r="AMJ25" s="502"/>
      <c r="AMK25" s="502"/>
      <c r="AML25" s="503"/>
      <c r="AMM25" s="343">
        <f>AMM23-AMM22</f>
        <v>-0.20000000000004547</v>
      </c>
      <c r="AMN25" s="501">
        <v>287</v>
      </c>
      <c r="AMO25" s="502"/>
      <c r="AMP25" s="502"/>
      <c r="AMQ25" s="503"/>
      <c r="AMR25" s="343">
        <f>AMR23-AMR22</f>
        <v>101.5</v>
      </c>
      <c r="AMS25" s="343"/>
      <c r="AMT25" s="501">
        <f>AMT23-AMT22</f>
        <v>267</v>
      </c>
      <c r="AMU25" s="502"/>
      <c r="AMV25" s="502"/>
      <c r="AMW25" s="503"/>
      <c r="AMX25" s="343">
        <f>AMX23-AMX22</f>
        <v>132.5</v>
      </c>
      <c r="AMY25" s="501">
        <v>287</v>
      </c>
      <c r="AMZ25" s="502"/>
      <c r="ANA25" s="502"/>
      <c r="ANB25" s="503"/>
      <c r="ANC25" s="343">
        <f>ANC23-ANC22</f>
        <v>129.40000000000009</v>
      </c>
      <c r="AND25" s="53"/>
      <c r="ANE25" s="542" t="s">
        <v>17</v>
      </c>
      <c r="ANF25" s="543"/>
      <c r="ANG25" s="543"/>
      <c r="ANH25" s="543"/>
      <c r="ANI25" s="397" t="s">
        <v>7</v>
      </c>
      <c r="ANJ25" s="501">
        <v>93</v>
      </c>
      <c r="ANK25" s="502"/>
      <c r="ANL25" s="502"/>
      <c r="ANM25" s="503"/>
      <c r="ANN25" s="343">
        <v>0</v>
      </c>
      <c r="ANO25" s="501">
        <v>226</v>
      </c>
      <c r="ANP25" s="502"/>
      <c r="ANQ25" s="502"/>
      <c r="ANR25" s="503"/>
      <c r="ANS25" s="343">
        <f>ANS23-ANS22</f>
        <v>25.299999999999955</v>
      </c>
      <c r="ANT25" s="343"/>
      <c r="ANU25" s="501">
        <v>227</v>
      </c>
      <c r="ANV25" s="502"/>
      <c r="ANW25" s="502"/>
      <c r="ANX25" s="503"/>
      <c r="ANY25" s="343">
        <v>0</v>
      </c>
      <c r="ANZ25" s="501">
        <v>172.7</v>
      </c>
      <c r="AOA25" s="502"/>
      <c r="AOB25" s="502"/>
      <c r="AOC25" s="503"/>
      <c r="AOD25" s="343">
        <v>12</v>
      </c>
      <c r="AOE25" s="53"/>
      <c r="AOF25" s="542" t="s">
        <v>17</v>
      </c>
      <c r="AOG25" s="543"/>
      <c r="AOH25" s="543"/>
      <c r="AOI25" s="543"/>
      <c r="AOJ25" s="397" t="s">
        <v>7</v>
      </c>
      <c r="AOK25" s="501">
        <v>320</v>
      </c>
      <c r="AOL25" s="502"/>
      <c r="AOM25" s="502"/>
      <c r="AON25" s="503"/>
      <c r="AOO25" s="343">
        <v>295</v>
      </c>
      <c r="AOP25" s="501">
        <f>AOP23-AOP22</f>
        <v>50.400000000000091</v>
      </c>
      <c r="AOQ25" s="502"/>
      <c r="AOR25" s="502"/>
      <c r="AOS25" s="503"/>
      <c r="AOT25" s="343">
        <v>0</v>
      </c>
      <c r="AOU25" s="343"/>
      <c r="AOV25" s="501">
        <v>55</v>
      </c>
      <c r="AOW25" s="502"/>
      <c r="AOX25" s="502"/>
      <c r="AOY25" s="503"/>
      <c r="AOZ25" s="343">
        <v>0</v>
      </c>
      <c r="APA25" s="501"/>
      <c r="APB25" s="502"/>
      <c r="APC25" s="502"/>
      <c r="APD25" s="503"/>
      <c r="APE25" s="343"/>
    </row>
    <row r="26" spans="1:1097" ht="28.35" customHeight="1" x14ac:dyDescent="0.4">
      <c r="A26" s="85"/>
      <c r="G26" s="1" t="s">
        <v>726</v>
      </c>
      <c r="H26" s="3"/>
      <c r="I26" s="3"/>
      <c r="J26" s="3"/>
      <c r="K26" s="413"/>
      <c r="L26" s="1"/>
      <c r="M26" s="3"/>
      <c r="N26" s="3"/>
      <c r="O26" s="3"/>
      <c r="P26" s="1"/>
      <c r="Q26" s="1" t="s">
        <v>286</v>
      </c>
      <c r="R26" s="3"/>
      <c r="S26" s="3"/>
      <c r="T26" s="3"/>
      <c r="W26" s="3"/>
      <c r="X26" s="3"/>
      <c r="Y26" s="3"/>
      <c r="Z26" s="413"/>
      <c r="AA26" s="85"/>
      <c r="AG26" s="1" t="s">
        <v>726</v>
      </c>
      <c r="AH26" s="3"/>
      <c r="AI26" s="3"/>
      <c r="AJ26" s="3"/>
      <c r="AK26" s="413"/>
      <c r="AL26" s="1"/>
      <c r="AM26" s="3"/>
      <c r="AN26" s="3"/>
      <c r="AO26" s="3"/>
      <c r="AP26" s="1"/>
      <c r="AQ26" s="1" t="s">
        <v>286</v>
      </c>
      <c r="AR26" s="3"/>
      <c r="AS26" s="3"/>
      <c r="AT26" s="3"/>
      <c r="AU26" s="1"/>
      <c r="AV26" s="1"/>
      <c r="AW26" s="3"/>
      <c r="AX26" s="3"/>
      <c r="AY26" s="3"/>
      <c r="BA26" s="85"/>
      <c r="BG26" s="1" t="s">
        <v>726</v>
      </c>
      <c r="BH26" s="3"/>
      <c r="BI26" s="3"/>
      <c r="BJ26" s="3"/>
      <c r="BK26" s="413"/>
      <c r="BL26" s="1"/>
      <c r="BM26" s="3"/>
      <c r="BN26" s="3"/>
      <c r="BO26" s="3"/>
      <c r="BP26" s="1"/>
      <c r="BQ26" s="1" t="s">
        <v>286</v>
      </c>
      <c r="BR26" s="3"/>
      <c r="BS26" s="3"/>
      <c r="BT26" s="3"/>
      <c r="BW26" s="3"/>
      <c r="BX26" s="3"/>
      <c r="BY26" s="3"/>
      <c r="BZ26" s="413"/>
      <c r="CA26" s="85"/>
      <c r="CG26" s="1" t="s">
        <v>726</v>
      </c>
      <c r="CH26" s="3"/>
      <c r="CI26" s="3"/>
      <c r="CJ26" s="3"/>
      <c r="CK26" s="413"/>
      <c r="CL26" s="1"/>
      <c r="CM26" s="3"/>
      <c r="CN26" s="3"/>
      <c r="CO26" s="3"/>
      <c r="CP26" s="413"/>
      <c r="CQ26" s="1" t="s">
        <v>286</v>
      </c>
      <c r="CR26" s="3"/>
      <c r="CS26" s="3"/>
      <c r="CT26" s="3"/>
      <c r="CU26" s="1"/>
      <c r="CV26" s="1"/>
      <c r="CW26" s="3"/>
      <c r="CX26" s="3"/>
      <c r="CY26" s="3"/>
      <c r="CZ26" s="413"/>
      <c r="DA26" s="85"/>
      <c r="DG26" s="1" t="s">
        <v>726</v>
      </c>
      <c r="DH26" s="3"/>
      <c r="DI26" s="3"/>
      <c r="DJ26" s="3"/>
      <c r="DK26" s="413"/>
      <c r="DL26" s="1"/>
      <c r="DM26" s="3"/>
      <c r="DN26" s="3"/>
      <c r="DO26" s="3"/>
      <c r="DP26" s="413"/>
      <c r="DQ26" s="1" t="s">
        <v>286</v>
      </c>
      <c r="DR26" s="3"/>
      <c r="DS26" s="3"/>
      <c r="DT26" s="3"/>
      <c r="DU26" s="1"/>
      <c r="DW26" s="3"/>
      <c r="DX26" s="3"/>
      <c r="DY26" s="3"/>
      <c r="DZ26" s="413"/>
      <c r="EA26" s="85"/>
      <c r="EG26" s="1" t="s">
        <v>726</v>
      </c>
      <c r="EH26" s="3"/>
      <c r="EI26" s="3"/>
      <c r="EJ26" s="3"/>
      <c r="EK26" s="413"/>
      <c r="EL26" s="1"/>
      <c r="EM26" s="3"/>
      <c r="EN26" s="3"/>
      <c r="EO26" s="3"/>
      <c r="EP26" s="413"/>
      <c r="EQ26" s="1" t="s">
        <v>286</v>
      </c>
      <c r="ER26" s="3"/>
      <c r="ES26" s="3"/>
      <c r="ET26" s="3"/>
      <c r="EU26" s="1"/>
      <c r="EW26" s="3"/>
      <c r="EX26" s="3"/>
      <c r="EY26" s="3"/>
      <c r="EZ26" s="1"/>
      <c r="FA26" s="85"/>
      <c r="FG26" s="1" t="s">
        <v>726</v>
      </c>
      <c r="FH26" s="3"/>
      <c r="FI26" s="3"/>
      <c r="FJ26" s="3"/>
      <c r="FK26" s="413"/>
      <c r="FL26" s="1"/>
      <c r="FM26" s="3"/>
      <c r="FN26" s="3"/>
      <c r="FO26" s="3"/>
      <c r="FP26" s="413"/>
      <c r="FQ26" s="1" t="s">
        <v>286</v>
      </c>
      <c r="FR26" s="3"/>
      <c r="FS26" s="3"/>
      <c r="FT26" s="3"/>
      <c r="FU26" s="1"/>
      <c r="FV26" s="1"/>
      <c r="FW26" s="3"/>
      <c r="FX26" s="3"/>
      <c r="FY26" s="3"/>
      <c r="GA26" s="85"/>
      <c r="GG26" s="1" t="s">
        <v>726</v>
      </c>
      <c r="GH26" s="3"/>
      <c r="GI26" s="3"/>
      <c r="GJ26" s="3"/>
      <c r="GK26" s="413"/>
      <c r="GL26" s="1"/>
      <c r="GM26" s="3"/>
      <c r="GN26" s="3"/>
      <c r="GO26" s="3"/>
      <c r="GP26" s="413"/>
      <c r="GQ26" s="1" t="s">
        <v>286</v>
      </c>
      <c r="GR26" s="3"/>
      <c r="GS26" s="3"/>
      <c r="GT26" s="3"/>
      <c r="GU26" s="1"/>
      <c r="GV26" s="1"/>
      <c r="GW26" s="3"/>
      <c r="GX26" s="3"/>
      <c r="GY26" s="3"/>
      <c r="HA26" s="85"/>
      <c r="HG26" s="1" t="s">
        <v>726</v>
      </c>
      <c r="HH26" s="3"/>
      <c r="HI26" s="3"/>
      <c r="HJ26" s="3"/>
      <c r="HK26" s="413"/>
      <c r="HL26" s="1"/>
      <c r="HM26" s="3"/>
      <c r="HN26" s="3"/>
      <c r="HO26" s="3"/>
      <c r="HP26" s="413"/>
      <c r="HQ26" s="1" t="s">
        <v>286</v>
      </c>
      <c r="HR26" s="3"/>
      <c r="HS26" s="3"/>
      <c r="HT26" s="3"/>
      <c r="HU26" s="1"/>
      <c r="HV26" s="1"/>
      <c r="HW26" s="3"/>
      <c r="HX26" s="3"/>
      <c r="HY26" s="3"/>
      <c r="IA26" s="85"/>
      <c r="IG26" s="1" t="s">
        <v>726</v>
      </c>
      <c r="IH26" s="3"/>
      <c r="II26" s="3"/>
      <c r="IJ26" s="3"/>
      <c r="IK26" s="413"/>
      <c r="IL26" s="1"/>
      <c r="IM26" s="3"/>
      <c r="IN26" s="3"/>
      <c r="IO26" s="3"/>
      <c r="IP26" s="413"/>
      <c r="IQ26" s="1" t="s">
        <v>286</v>
      </c>
      <c r="IR26" s="3"/>
      <c r="IS26" s="3"/>
      <c r="IT26" s="3"/>
      <c r="IV26" s="1"/>
      <c r="IW26" s="3"/>
      <c r="IX26" s="3"/>
      <c r="IY26" s="3"/>
      <c r="IZ26" s="1"/>
      <c r="JA26" s="85"/>
      <c r="JG26" s="1" t="s">
        <v>726</v>
      </c>
      <c r="JH26" s="3"/>
      <c r="JI26" s="3"/>
      <c r="JJ26" s="3"/>
      <c r="JK26" s="413"/>
      <c r="JL26" s="1"/>
      <c r="JM26" s="3"/>
      <c r="JN26" s="3"/>
      <c r="JO26" s="3"/>
      <c r="JP26" s="413"/>
      <c r="JQ26" s="1" t="s">
        <v>286</v>
      </c>
      <c r="JR26" s="3"/>
      <c r="JS26" s="3"/>
      <c r="JT26" s="3"/>
      <c r="JU26" s="1"/>
      <c r="JV26" s="1"/>
      <c r="JW26" s="3"/>
      <c r="JX26" s="3"/>
      <c r="JY26" s="3"/>
      <c r="JZ26" s="1"/>
      <c r="KA26" s="85"/>
      <c r="KG26" s="1" t="s">
        <v>726</v>
      </c>
      <c r="KH26" s="3"/>
      <c r="KI26" s="3"/>
      <c r="KJ26" s="3"/>
      <c r="KK26" s="413"/>
      <c r="KL26" s="1"/>
      <c r="KM26" s="3"/>
      <c r="KN26" s="3"/>
      <c r="KO26" s="3"/>
      <c r="KP26" s="413"/>
      <c r="KQ26" s="1" t="s">
        <v>286</v>
      </c>
      <c r="KR26" s="3"/>
      <c r="KS26" s="3"/>
      <c r="KT26" s="3"/>
      <c r="KU26" s="1"/>
      <c r="KV26" s="1"/>
      <c r="KW26" s="3"/>
      <c r="KX26" s="3"/>
      <c r="KY26" s="3"/>
      <c r="KZ26" s="1"/>
      <c r="LA26" s="85"/>
      <c r="LG26" s="1" t="s">
        <v>726</v>
      </c>
      <c r="LH26" s="3"/>
      <c r="LI26" s="3"/>
      <c r="LJ26" s="3"/>
      <c r="LK26" s="413"/>
      <c r="LL26" s="1"/>
      <c r="LM26" s="3"/>
      <c r="LN26" s="3"/>
      <c r="LO26" s="3"/>
      <c r="LP26" s="413"/>
      <c r="LQ26" s="1" t="s">
        <v>286</v>
      </c>
      <c r="LR26" s="3"/>
      <c r="LS26" s="3"/>
      <c r="LT26" s="3"/>
      <c r="LU26" s="1"/>
      <c r="LV26" s="1"/>
      <c r="LW26" s="3"/>
      <c r="LX26" s="3"/>
      <c r="LY26" s="3"/>
      <c r="LZ26" s="1"/>
      <c r="MA26" s="85"/>
      <c r="MG26" s="1" t="s">
        <v>726</v>
      </c>
      <c r="MH26" s="3"/>
      <c r="MI26" s="3"/>
      <c r="MJ26" s="3"/>
      <c r="MK26" s="413"/>
      <c r="ML26" s="1"/>
      <c r="MM26" s="3"/>
      <c r="MN26" s="3"/>
      <c r="MO26" s="3"/>
      <c r="MP26" s="413"/>
      <c r="MQ26" s="1" t="s">
        <v>286</v>
      </c>
      <c r="MR26" s="3"/>
      <c r="MS26" s="3"/>
      <c r="MT26" s="3"/>
      <c r="MU26" s="413"/>
      <c r="MV26" s="1"/>
      <c r="MW26" s="3"/>
      <c r="MX26" s="3"/>
      <c r="MY26" s="3"/>
      <c r="MZ26" s="1"/>
      <c r="NA26" s="85"/>
      <c r="NG26" s="1" t="s">
        <v>726</v>
      </c>
      <c r="NH26" s="3"/>
      <c r="NI26" s="3"/>
      <c r="NJ26" s="3"/>
      <c r="NK26" s="413"/>
      <c r="NL26" s="1"/>
      <c r="NM26" s="3"/>
      <c r="NN26" s="3"/>
      <c r="NO26" s="3"/>
      <c r="NP26" s="413"/>
      <c r="NQ26" s="1" t="s">
        <v>286</v>
      </c>
      <c r="NR26" s="3"/>
      <c r="NS26" s="3"/>
      <c r="NT26" s="3"/>
      <c r="NU26" s="413"/>
      <c r="NV26" s="1"/>
      <c r="NW26" s="3"/>
      <c r="NX26" s="3"/>
      <c r="NY26" s="3"/>
      <c r="NZ26" s="1"/>
      <c r="OA26" s="85"/>
      <c r="OG26" s="1" t="s">
        <v>726</v>
      </c>
      <c r="OH26" s="3"/>
      <c r="OI26" s="3"/>
      <c r="OJ26" s="3"/>
      <c r="OK26" s="413"/>
      <c r="OL26" s="1"/>
      <c r="OM26" s="3"/>
      <c r="ON26" s="3"/>
      <c r="OO26" s="3"/>
      <c r="OP26" s="413"/>
      <c r="OQ26" s="1" t="s">
        <v>286</v>
      </c>
      <c r="OR26" s="3"/>
      <c r="OS26" s="3"/>
      <c r="OT26" s="3"/>
      <c r="OU26" s="413"/>
      <c r="OV26" s="1"/>
      <c r="OW26" s="3"/>
      <c r="OX26" s="3"/>
      <c r="OY26" s="3"/>
      <c r="OZ26" s="1"/>
      <c r="PA26" s="85"/>
      <c r="PG26" s="1" t="s">
        <v>726</v>
      </c>
      <c r="PH26" s="3"/>
      <c r="PI26" s="3"/>
      <c r="PJ26" s="3"/>
      <c r="PK26" s="413"/>
      <c r="PL26" s="1"/>
      <c r="PM26" s="3"/>
      <c r="PN26" s="3"/>
      <c r="PO26" s="3"/>
      <c r="PP26" s="413"/>
      <c r="PQ26" s="1" t="s">
        <v>286</v>
      </c>
      <c r="PR26" s="3"/>
      <c r="PS26" s="3"/>
      <c r="PT26" s="3"/>
      <c r="PU26" s="1"/>
      <c r="PV26" s="1"/>
      <c r="PW26" s="3"/>
      <c r="PX26" s="3"/>
      <c r="PY26" s="3"/>
      <c r="PZ26" s="1"/>
      <c r="QA26" s="85"/>
      <c r="QG26" s="1" t="s">
        <v>726</v>
      </c>
      <c r="QH26" s="3"/>
      <c r="QI26" s="3"/>
      <c r="QJ26" s="3"/>
      <c r="QK26" s="413"/>
      <c r="QL26" s="1"/>
      <c r="QM26" s="3"/>
      <c r="QN26" s="3"/>
      <c r="QO26" s="3"/>
      <c r="QP26" s="413"/>
      <c r="QQ26" s="1" t="s">
        <v>286</v>
      </c>
      <c r="QR26" s="3"/>
      <c r="QS26" s="3"/>
      <c r="QT26" s="3"/>
      <c r="QU26" s="1"/>
      <c r="QV26" s="1"/>
      <c r="QW26" s="3"/>
      <c r="QX26" s="3"/>
      <c r="QY26" s="3"/>
      <c r="QZ26" s="1"/>
      <c r="RA26" s="85"/>
      <c r="RG26" s="1" t="s">
        <v>727</v>
      </c>
      <c r="RH26" s="3"/>
      <c r="RI26" s="3"/>
      <c r="RJ26" s="3"/>
      <c r="RK26" s="1"/>
      <c r="RL26" s="1"/>
      <c r="RM26" s="3"/>
      <c r="RN26" s="3"/>
      <c r="RO26" s="3"/>
      <c r="RP26" s="1"/>
      <c r="RQ26" s="1" t="s">
        <v>286</v>
      </c>
      <c r="RR26" s="3"/>
      <c r="RS26" s="3"/>
      <c r="RT26" s="3"/>
      <c r="RU26" s="413"/>
      <c r="RV26" s="1"/>
      <c r="RW26" s="3"/>
      <c r="RX26" s="3"/>
      <c r="RY26" s="3"/>
      <c r="RZ26" s="1"/>
      <c r="SA26" s="85"/>
      <c r="SG26" s="1" t="s">
        <v>727</v>
      </c>
      <c r="SH26" s="3"/>
      <c r="SI26" s="3"/>
      <c r="SJ26" s="3"/>
      <c r="SK26" s="1"/>
      <c r="SL26" s="1"/>
      <c r="SM26" s="3"/>
      <c r="SN26" s="3"/>
      <c r="SO26" s="3"/>
      <c r="SP26" s="1"/>
      <c r="SQ26" s="1" t="s">
        <v>286</v>
      </c>
      <c r="SR26" s="3"/>
      <c r="SS26" s="3"/>
      <c r="ST26" s="3"/>
      <c r="SU26" s="413"/>
      <c r="SV26" s="1"/>
      <c r="SW26" s="3"/>
      <c r="SX26" s="3"/>
      <c r="SY26" s="3"/>
      <c r="SZ26" s="413"/>
      <c r="TA26" s="85"/>
      <c r="TG26" s="1" t="s">
        <v>727</v>
      </c>
      <c r="TH26" s="3"/>
      <c r="TI26" s="3"/>
      <c r="TJ26" s="3"/>
      <c r="TK26" s="1"/>
      <c r="TL26" s="1"/>
      <c r="TM26" s="3"/>
      <c r="TN26" s="3"/>
      <c r="TO26" s="3"/>
      <c r="TP26" s="1"/>
      <c r="TQ26" s="1"/>
      <c r="TR26" s="1" t="s">
        <v>286</v>
      </c>
      <c r="TS26" s="3"/>
      <c r="TT26" s="3"/>
      <c r="TU26" s="3"/>
      <c r="TV26" s="1"/>
      <c r="TW26" s="1"/>
      <c r="TX26" s="3"/>
      <c r="TY26" s="3"/>
      <c r="TZ26" s="3"/>
      <c r="UA26" s="1"/>
      <c r="UB26" s="85"/>
      <c r="UH26" s="1" t="s">
        <v>727</v>
      </c>
      <c r="UI26" s="3"/>
      <c r="UJ26" s="3"/>
      <c r="UK26" s="3"/>
      <c r="UL26" s="1"/>
      <c r="UM26" s="1"/>
      <c r="UN26" s="3"/>
      <c r="UO26" s="3"/>
      <c r="UP26" s="3"/>
      <c r="UQ26" s="1"/>
      <c r="UR26" s="1" t="s">
        <v>286</v>
      </c>
      <c r="US26" s="3"/>
      <c r="UT26" s="3"/>
      <c r="UU26" s="3"/>
      <c r="UV26" s="1"/>
      <c r="UW26" s="1"/>
      <c r="UX26" s="3"/>
      <c r="UY26" s="3"/>
      <c r="UZ26" s="3"/>
      <c r="VA26" s="1"/>
      <c r="VB26" s="85"/>
      <c r="VH26" s="1" t="s">
        <v>727</v>
      </c>
      <c r="VI26" s="3"/>
      <c r="VJ26" s="3"/>
      <c r="VK26" s="3"/>
      <c r="VL26" s="1"/>
      <c r="VM26" s="1"/>
      <c r="VN26" s="3"/>
      <c r="VO26" s="3"/>
      <c r="VP26" s="3"/>
      <c r="VQ26" s="1"/>
      <c r="VR26" s="1" t="s">
        <v>286</v>
      </c>
      <c r="VS26" s="3"/>
      <c r="VT26" s="3"/>
      <c r="VU26" s="3"/>
      <c r="VV26" s="1"/>
      <c r="VW26" s="1"/>
      <c r="VX26" s="3"/>
      <c r="VY26" s="3"/>
      <c r="VZ26" s="3"/>
      <c r="WA26" s="1"/>
      <c r="WB26" s="85"/>
      <c r="WH26" s="1" t="s">
        <v>727</v>
      </c>
      <c r="WI26" s="3"/>
      <c r="WJ26" s="3"/>
      <c r="WK26" s="3"/>
      <c r="WL26" s="1"/>
      <c r="WM26" s="1"/>
      <c r="WN26" s="3"/>
      <c r="WO26" s="3"/>
      <c r="WP26" s="3"/>
      <c r="WQ26" s="1"/>
      <c r="WR26" s="1" t="s">
        <v>286</v>
      </c>
      <c r="WS26" s="3"/>
      <c r="WT26" s="3"/>
      <c r="WU26" s="3"/>
      <c r="WV26" s="1"/>
      <c r="WW26" s="1"/>
      <c r="WX26" s="3"/>
      <c r="WY26" s="3"/>
      <c r="WZ26" s="3"/>
      <c r="XA26" s="1"/>
      <c r="XB26" s="85"/>
      <c r="XH26" s="1" t="s">
        <v>727</v>
      </c>
      <c r="XI26" s="3"/>
      <c r="XJ26" s="3"/>
      <c r="XK26" s="3"/>
      <c r="XL26" s="1"/>
      <c r="XM26" s="1"/>
      <c r="XN26" s="3"/>
      <c r="XO26" s="3"/>
      <c r="XP26" s="3"/>
      <c r="XQ26" s="1"/>
      <c r="XR26" s="1" t="s">
        <v>286</v>
      </c>
      <c r="XS26" s="3"/>
      <c r="XT26" s="3"/>
      <c r="XU26" s="3"/>
      <c r="XV26" s="1"/>
      <c r="XW26" s="1"/>
      <c r="XX26" s="3"/>
      <c r="XY26" s="3"/>
      <c r="XZ26" s="3"/>
      <c r="YA26" s="1"/>
      <c r="YB26" s="85"/>
      <c r="YH26" s="1" t="s">
        <v>727</v>
      </c>
      <c r="YI26" s="3"/>
      <c r="YJ26" s="3"/>
      <c r="YK26" s="3"/>
      <c r="YL26" s="1"/>
      <c r="YM26" s="1"/>
      <c r="YN26" s="3"/>
      <c r="YO26" s="3"/>
      <c r="YP26" s="3"/>
      <c r="YQ26" s="1"/>
      <c r="YR26" s="1" t="s">
        <v>286</v>
      </c>
      <c r="YS26" s="3"/>
      <c r="YT26" s="3"/>
      <c r="YU26" s="3"/>
      <c r="YV26" s="1"/>
      <c r="YW26" s="1"/>
      <c r="YX26" s="3"/>
      <c r="YY26" s="3"/>
      <c r="YZ26" s="3"/>
      <c r="ZA26" s="1"/>
      <c r="ZB26" s="85"/>
      <c r="ZH26" s="1" t="s">
        <v>727</v>
      </c>
      <c r="ZI26" s="3"/>
      <c r="ZJ26" s="3"/>
      <c r="ZK26" s="3"/>
      <c r="ZL26" s="1"/>
      <c r="ZM26" s="1"/>
      <c r="ZN26" s="3"/>
      <c r="ZO26" s="3"/>
      <c r="ZP26" s="3"/>
      <c r="ZQ26" s="1"/>
      <c r="ZR26" s="1" t="s">
        <v>286</v>
      </c>
      <c r="ZS26" s="3"/>
      <c r="ZT26" s="3"/>
      <c r="ZU26" s="3"/>
      <c r="ZV26" s="1"/>
      <c r="ZW26" s="1"/>
      <c r="ZX26" s="3"/>
      <c r="ZY26" s="3"/>
      <c r="ZZ26" s="3"/>
      <c r="AAA26" s="1"/>
      <c r="AAB26" s="85"/>
      <c r="AAH26" s="1" t="s">
        <v>727</v>
      </c>
      <c r="AAI26" s="3"/>
      <c r="AAJ26" s="3"/>
      <c r="AAK26" s="3"/>
      <c r="AAL26" s="1"/>
      <c r="AAM26" s="1"/>
      <c r="AAN26" s="3"/>
      <c r="AAO26" s="3"/>
      <c r="AAP26" s="3"/>
      <c r="AAQ26" s="1"/>
      <c r="AAR26" s="1" t="s">
        <v>286</v>
      </c>
      <c r="AAS26" s="3"/>
      <c r="AAT26" s="3"/>
      <c r="AAU26" s="3"/>
      <c r="AAV26" s="1"/>
      <c r="AAW26" s="1"/>
      <c r="AAX26" s="3"/>
      <c r="AAY26" s="3"/>
      <c r="AAZ26" s="3"/>
      <c r="ABA26" s="1"/>
      <c r="ABB26" s="85"/>
      <c r="ABH26" s="1" t="s">
        <v>727</v>
      </c>
      <c r="ABI26" s="3"/>
      <c r="ABJ26" s="3"/>
      <c r="ABK26" s="3"/>
      <c r="ABL26" s="1"/>
      <c r="ABM26" s="1"/>
      <c r="ABN26" s="3"/>
      <c r="ABO26" s="3"/>
      <c r="ABP26" s="3"/>
      <c r="ABQ26" s="1"/>
      <c r="ABR26" s="1" t="s">
        <v>286</v>
      </c>
      <c r="ABS26" s="3"/>
      <c r="ABT26" s="3"/>
      <c r="ABU26" s="3"/>
      <c r="ABV26" s="1"/>
      <c r="ABW26" s="1"/>
      <c r="ABX26" s="3"/>
      <c r="ABY26" s="3"/>
      <c r="ABZ26" s="3"/>
      <c r="ACA26" s="1"/>
      <c r="ACB26" s="85"/>
      <c r="ACH26" s="1" t="s">
        <v>727</v>
      </c>
      <c r="ACI26" s="3"/>
      <c r="ACJ26" s="3"/>
      <c r="ACK26" s="3"/>
      <c r="ACL26" s="1"/>
      <c r="ACM26" s="1"/>
      <c r="ACN26" s="3"/>
      <c r="ACO26" s="3"/>
      <c r="ACP26" s="3"/>
      <c r="ACQ26" s="1"/>
      <c r="ACR26" s="1" t="s">
        <v>286</v>
      </c>
      <c r="ACS26" s="3"/>
      <c r="ACT26" s="3"/>
      <c r="ACU26" s="3"/>
      <c r="ACV26" s="1"/>
      <c r="ACW26" s="1"/>
      <c r="ACX26" s="3"/>
      <c r="ACY26" s="3"/>
      <c r="ACZ26" s="3"/>
      <c r="ADA26" s="1"/>
      <c r="ADB26" s="85"/>
      <c r="ADH26" s="1" t="s">
        <v>727</v>
      </c>
      <c r="ADI26" s="3"/>
      <c r="ADJ26" s="3"/>
      <c r="ADK26" s="3"/>
      <c r="ADL26" s="1"/>
      <c r="ADM26" s="1"/>
      <c r="ADN26" s="3"/>
      <c r="ADO26" s="3"/>
      <c r="ADP26" s="3"/>
      <c r="ADQ26" s="1"/>
      <c r="ADR26" s="1" t="s">
        <v>286</v>
      </c>
      <c r="ADS26" s="3"/>
      <c r="ADT26" s="3"/>
      <c r="ADU26" s="3"/>
      <c r="ADV26" s="1"/>
      <c r="ADW26" s="1"/>
      <c r="ADX26" s="3"/>
      <c r="ADY26" s="3"/>
      <c r="ADZ26" s="3"/>
      <c r="AEA26" s="1"/>
      <c r="AEB26" s="85"/>
      <c r="AEH26" s="1" t="s">
        <v>727</v>
      </c>
      <c r="AEI26" s="3"/>
      <c r="AEJ26" s="3"/>
      <c r="AEK26" s="3"/>
      <c r="AEL26" s="1"/>
      <c r="AEM26" s="1"/>
      <c r="AEN26" s="3"/>
      <c r="AEO26" s="3"/>
      <c r="AEP26" s="3"/>
      <c r="AEQ26" s="1"/>
      <c r="AER26" s="1"/>
      <c r="AES26" s="1" t="s">
        <v>286</v>
      </c>
      <c r="AET26" s="3"/>
      <c r="AEU26" s="3"/>
      <c r="AEV26" s="3"/>
      <c r="AEW26" s="1"/>
      <c r="AEX26" s="1"/>
      <c r="AEY26" s="3"/>
      <c r="AEZ26" s="3"/>
      <c r="AFA26" s="3"/>
      <c r="AFB26" s="1"/>
      <c r="AFC26" s="85"/>
      <c r="AFI26" s="1" t="s">
        <v>727</v>
      </c>
      <c r="AFJ26" s="3"/>
      <c r="AFK26" s="3"/>
      <c r="AFL26" s="3"/>
      <c r="AFM26" s="1"/>
      <c r="AFN26" s="1"/>
      <c r="AFO26" s="3"/>
      <c r="AFP26" s="3"/>
      <c r="AFQ26" s="3"/>
      <c r="AFR26" s="1"/>
      <c r="AFS26" s="1" t="s">
        <v>286</v>
      </c>
      <c r="AFT26" s="3"/>
      <c r="AFU26" s="3"/>
      <c r="AFV26" s="3"/>
      <c r="AFW26" s="1"/>
      <c r="AFX26" s="1"/>
      <c r="AFY26" s="3"/>
      <c r="AFZ26" s="3"/>
      <c r="AGA26" s="3"/>
      <c r="AGB26" s="1"/>
      <c r="AGC26" s="85"/>
      <c r="AGI26" s="1" t="s">
        <v>727</v>
      </c>
      <c r="AGJ26" s="3"/>
      <c r="AGK26" s="3"/>
      <c r="AGL26" s="3"/>
      <c r="AGM26" s="1"/>
      <c r="AGN26" s="1"/>
      <c r="AGO26" s="3"/>
      <c r="AGP26" s="3"/>
      <c r="AGQ26" s="3"/>
      <c r="AGR26" s="1"/>
      <c r="AGS26" s="1" t="s">
        <v>286</v>
      </c>
      <c r="AGT26" s="3"/>
      <c r="AGU26" s="3"/>
      <c r="AGV26" s="3"/>
      <c r="AGW26" s="1"/>
      <c r="AGX26" s="1"/>
      <c r="AGY26" s="3"/>
      <c r="AGZ26" s="3"/>
      <c r="AHA26" s="3"/>
      <c r="AHB26" s="1"/>
      <c r="AHC26" s="85"/>
      <c r="AHI26" s="1" t="s">
        <v>727</v>
      </c>
      <c r="AHJ26" s="3"/>
      <c r="AHK26" s="3"/>
      <c r="AHL26" s="3"/>
      <c r="AHM26" s="1"/>
      <c r="AHN26" s="1"/>
      <c r="AHO26" s="3"/>
      <c r="AHP26" s="3"/>
      <c r="AHQ26" s="3"/>
      <c r="AHR26" s="1"/>
      <c r="AHS26" s="1" t="s">
        <v>286</v>
      </c>
      <c r="AHT26" s="3"/>
      <c r="AHU26" s="3"/>
      <c r="AHV26" s="3"/>
      <c r="AHW26" s="1"/>
      <c r="AHX26" s="1"/>
      <c r="AHY26" s="3"/>
      <c r="AHZ26" s="3"/>
      <c r="AIA26" s="3"/>
      <c r="AIB26" s="1"/>
      <c r="AIC26" s="85"/>
      <c r="AII26" s="1" t="s">
        <v>727</v>
      </c>
      <c r="AIJ26" s="3"/>
      <c r="AIK26" s="3"/>
      <c r="AIL26" s="3"/>
      <c r="AIM26" s="1"/>
      <c r="AIN26" s="1"/>
      <c r="AIO26" s="3"/>
      <c r="AIP26" s="3"/>
      <c r="AIQ26" s="3"/>
      <c r="AIR26" s="1"/>
      <c r="AIS26" s="1" t="s">
        <v>286</v>
      </c>
      <c r="AIT26" s="3"/>
      <c r="AIU26" s="3"/>
      <c r="AIV26" s="3"/>
      <c r="AIW26" s="1"/>
      <c r="AIX26" s="1"/>
      <c r="AIY26" s="3"/>
      <c r="AIZ26" s="3"/>
      <c r="AJA26" s="3"/>
      <c r="AJB26" s="1"/>
      <c r="AJC26" s="85"/>
      <c r="AJI26" s="1" t="s">
        <v>727</v>
      </c>
      <c r="AJJ26" s="3"/>
      <c r="AJK26" s="3"/>
      <c r="AJL26" s="3"/>
      <c r="AJM26" s="1"/>
      <c r="AJN26" s="1"/>
      <c r="AJO26" s="3"/>
      <c r="AJP26" s="3"/>
      <c r="AJQ26" s="3"/>
      <c r="AJR26" s="1"/>
      <c r="AJS26" s="1" t="s">
        <v>286</v>
      </c>
      <c r="AJT26" s="3"/>
      <c r="AJU26" s="3"/>
      <c r="AJV26" s="3"/>
      <c r="AJW26" s="1"/>
      <c r="AJX26" s="1"/>
      <c r="AJY26" s="3"/>
      <c r="AJZ26" s="3"/>
      <c r="AKA26" s="3"/>
      <c r="AKB26" s="3"/>
      <c r="AKC26" s="85"/>
      <c r="AKI26" s="1" t="s">
        <v>727</v>
      </c>
      <c r="AKJ26" s="3"/>
      <c r="AKK26" s="3"/>
      <c r="AKL26" s="3"/>
      <c r="AKM26" s="1"/>
      <c r="AKN26" s="1"/>
      <c r="AKO26" s="3"/>
      <c r="AKP26" s="3"/>
      <c r="AKQ26" s="3"/>
      <c r="AKR26" s="1"/>
      <c r="AKS26" s="1" t="s">
        <v>286</v>
      </c>
      <c r="AKT26" s="3"/>
      <c r="AKU26" s="3"/>
      <c r="AKV26" s="3"/>
      <c r="AKW26" s="3"/>
      <c r="AKX26" s="3"/>
      <c r="AKY26" s="3"/>
      <c r="AKZ26" s="1"/>
      <c r="ALA26" s="3"/>
      <c r="ALB26" s="3"/>
      <c r="ALC26" s="85"/>
      <c r="ALI26" s="1" t="s">
        <v>727</v>
      </c>
      <c r="ALJ26" s="3"/>
      <c r="ALK26" s="3"/>
      <c r="ALL26" s="3"/>
      <c r="ALM26" s="1"/>
      <c r="ALN26" s="1"/>
      <c r="ALO26" s="3"/>
      <c r="ALP26" s="3"/>
      <c r="ALQ26" s="3"/>
      <c r="ALR26" s="1"/>
      <c r="ALS26" s="1" t="s">
        <v>286</v>
      </c>
      <c r="ALT26" s="3"/>
      <c r="ALU26" s="3"/>
      <c r="ALV26" s="3"/>
      <c r="ALW26" s="1"/>
      <c r="ALX26" s="3"/>
      <c r="ALY26" s="3"/>
      <c r="ALZ26" s="1"/>
      <c r="AMA26" s="3"/>
      <c r="AMB26" s="3"/>
      <c r="AMC26" s="85"/>
      <c r="AMI26" s="1" t="s">
        <v>727</v>
      </c>
      <c r="AMJ26" s="3"/>
      <c r="AMK26" s="3"/>
      <c r="AML26" s="3"/>
      <c r="AMM26" s="1"/>
      <c r="AMN26" s="1"/>
      <c r="AMO26" s="3"/>
      <c r="AMP26" s="3"/>
      <c r="AMQ26" s="3"/>
      <c r="AMR26" s="1"/>
      <c r="AMS26" s="1"/>
      <c r="AMT26" s="1" t="s">
        <v>286</v>
      </c>
      <c r="AMU26" s="3"/>
      <c r="AMV26" s="3"/>
      <c r="AMW26" s="3"/>
      <c r="AMX26" s="1"/>
      <c r="AMY26" s="3"/>
      <c r="AMZ26" s="3"/>
      <c r="ANA26" s="1"/>
      <c r="ANB26" s="3"/>
      <c r="ANC26" s="1"/>
      <c r="AND26" s="85"/>
      <c r="ANJ26" s="1" t="s">
        <v>727</v>
      </c>
      <c r="ANK26" s="3"/>
      <c r="ANL26" s="3"/>
      <c r="ANM26" s="3"/>
      <c r="ANN26" s="1"/>
      <c r="ANO26" s="1"/>
      <c r="ANP26" s="3"/>
      <c r="ANQ26" s="3"/>
      <c r="ANR26" s="3"/>
      <c r="ANS26" s="1"/>
      <c r="ANT26" s="1"/>
      <c r="ANU26" s="1" t="s">
        <v>286</v>
      </c>
      <c r="ANV26" s="3"/>
      <c r="ANW26" s="3"/>
      <c r="ANX26" s="3"/>
      <c r="ANY26" s="1"/>
      <c r="ANZ26" s="3"/>
      <c r="AOA26" s="3"/>
      <c r="AOB26" s="1"/>
      <c r="AOC26" s="3"/>
      <c r="AOD26" s="1"/>
      <c r="AOE26" s="85"/>
      <c r="AOK26" s="1" t="s">
        <v>727</v>
      </c>
      <c r="AOL26" s="3"/>
      <c r="AOM26" s="3"/>
      <c r="AON26" s="3"/>
      <c r="AOO26" s="1"/>
      <c r="AOP26" s="1"/>
      <c r="AOQ26" s="3"/>
      <c r="AOR26" s="3"/>
      <c r="AOS26" s="3"/>
      <c r="AOT26" s="1"/>
      <c r="AOU26" s="1"/>
      <c r="AOV26" s="1" t="s">
        <v>286</v>
      </c>
      <c r="AOW26" s="3"/>
      <c r="AOX26" s="3"/>
      <c r="AOY26" s="3"/>
      <c r="AOZ26" s="1"/>
      <c r="APA26" s="3"/>
      <c r="APB26" s="3"/>
      <c r="APC26" s="1"/>
      <c r="APD26" s="3"/>
      <c r="APE26" s="1"/>
    </row>
    <row r="27" spans="1:1097" ht="28.35" customHeight="1" x14ac:dyDescent="0.4">
      <c r="G27" s="1" t="s">
        <v>728</v>
      </c>
      <c r="H27" s="3"/>
      <c r="I27" s="3"/>
      <c r="J27" s="3"/>
      <c r="K27" s="1"/>
      <c r="L27" s="1"/>
      <c r="M27" s="3"/>
      <c r="N27" s="3"/>
      <c r="O27" s="3"/>
      <c r="P27" s="1"/>
      <c r="Q27" s="1" t="s">
        <v>303</v>
      </c>
      <c r="R27" s="3"/>
      <c r="S27" s="3"/>
      <c r="T27" s="3"/>
      <c r="W27" s="3"/>
      <c r="X27" s="3"/>
      <c r="Y27" s="3"/>
      <c r="Z27" s="1"/>
      <c r="AG27" s="1" t="s">
        <v>728</v>
      </c>
      <c r="AH27" s="3"/>
      <c r="AI27" s="3"/>
      <c r="AJ27" s="3"/>
      <c r="AK27" s="1"/>
      <c r="AL27" s="1"/>
      <c r="AM27" s="3"/>
      <c r="AN27" s="3"/>
      <c r="AO27" s="3"/>
      <c r="AP27" s="1"/>
      <c r="AQ27" s="1" t="s">
        <v>303</v>
      </c>
      <c r="AR27" s="3"/>
      <c r="AS27" s="3"/>
      <c r="AT27" s="3"/>
      <c r="AU27" s="1"/>
      <c r="AV27" s="1"/>
      <c r="AW27" s="3"/>
      <c r="AX27" s="3"/>
      <c r="AY27" s="3"/>
      <c r="BG27" s="1" t="s">
        <v>728</v>
      </c>
      <c r="BH27" s="3"/>
      <c r="BI27" s="3"/>
      <c r="BJ27" s="3"/>
      <c r="BK27" s="1"/>
      <c r="BL27" s="1"/>
      <c r="BM27" s="3"/>
      <c r="BN27" s="3"/>
      <c r="BO27" s="3"/>
      <c r="BP27" s="1"/>
      <c r="BQ27" s="1" t="s">
        <v>303</v>
      </c>
      <c r="BR27" s="3"/>
      <c r="BS27" s="3"/>
      <c r="BT27" s="3"/>
      <c r="BW27" s="3"/>
      <c r="BX27" s="3"/>
      <c r="BY27" s="3"/>
      <c r="BZ27" s="1"/>
      <c r="CG27" s="1" t="s">
        <v>728</v>
      </c>
      <c r="CH27" s="3"/>
      <c r="CI27" s="3"/>
      <c r="CJ27" s="3"/>
      <c r="CK27" s="1"/>
      <c r="CL27" s="1"/>
      <c r="CM27" s="3"/>
      <c r="CN27" s="3"/>
      <c r="CO27" s="3"/>
      <c r="CP27" s="1"/>
      <c r="CQ27" s="1" t="s">
        <v>303</v>
      </c>
      <c r="CR27" s="3"/>
      <c r="CS27" s="3"/>
      <c r="CT27" s="3"/>
      <c r="CU27" s="1"/>
      <c r="CV27" s="1"/>
      <c r="CW27" s="3"/>
      <c r="CX27" s="3"/>
      <c r="CY27" s="3"/>
      <c r="CZ27" s="1"/>
      <c r="DG27" s="1" t="s">
        <v>728</v>
      </c>
      <c r="DH27" s="3"/>
      <c r="DI27" s="3"/>
      <c r="DJ27" s="3"/>
      <c r="DK27" s="1"/>
      <c r="DL27" s="1"/>
      <c r="DM27" s="3"/>
      <c r="DN27" s="3"/>
      <c r="DO27" s="3"/>
      <c r="DP27" s="1"/>
      <c r="DQ27" s="1" t="s">
        <v>303</v>
      </c>
      <c r="DR27" s="3"/>
      <c r="DS27" s="3"/>
      <c r="DT27" s="3"/>
      <c r="DU27" s="1"/>
      <c r="DW27" s="3"/>
      <c r="DX27" s="3"/>
      <c r="DY27" s="3"/>
      <c r="DZ27" s="1"/>
      <c r="EG27" s="1" t="s">
        <v>728</v>
      </c>
      <c r="EH27" s="3"/>
      <c r="EI27" s="3"/>
      <c r="EJ27" s="3"/>
      <c r="EK27" s="1"/>
      <c r="EL27" s="1"/>
      <c r="EM27" s="3"/>
      <c r="EN27" s="3"/>
      <c r="EO27" s="3"/>
      <c r="EP27" s="1"/>
      <c r="EQ27" s="1" t="s">
        <v>303</v>
      </c>
      <c r="ER27" s="3"/>
      <c r="ES27" s="3"/>
      <c r="ET27" s="3"/>
      <c r="EU27" s="1"/>
      <c r="EW27" s="3"/>
      <c r="EX27" s="3"/>
      <c r="EY27" s="3"/>
      <c r="EZ27" s="1"/>
      <c r="FG27" s="1" t="s">
        <v>728</v>
      </c>
      <c r="FH27" s="3"/>
      <c r="FI27" s="3"/>
      <c r="FJ27" s="3"/>
      <c r="FK27" s="1"/>
      <c r="FL27" s="1"/>
      <c r="FM27" s="3"/>
      <c r="FN27" s="3"/>
      <c r="FO27" s="3"/>
      <c r="FP27" s="1"/>
      <c r="FQ27" s="1" t="s">
        <v>303</v>
      </c>
      <c r="FR27" s="3"/>
      <c r="FS27" s="3"/>
      <c r="FT27" s="3"/>
      <c r="FU27" s="1"/>
      <c r="FV27" s="1"/>
      <c r="FW27" s="3"/>
      <c r="FX27" s="3"/>
      <c r="FY27" s="3"/>
      <c r="GG27" s="1" t="s">
        <v>728</v>
      </c>
      <c r="GH27" s="3"/>
      <c r="GI27" s="3"/>
      <c r="GJ27" s="3"/>
      <c r="GK27" s="1"/>
      <c r="GL27" s="1"/>
      <c r="GM27" s="3"/>
      <c r="GN27" s="3"/>
      <c r="GO27" s="3"/>
      <c r="GP27" s="1"/>
      <c r="GQ27" s="1" t="s">
        <v>303</v>
      </c>
      <c r="GR27" s="3"/>
      <c r="GS27" s="3"/>
      <c r="GT27" s="3"/>
      <c r="GU27" s="1"/>
      <c r="GV27" s="1"/>
      <c r="GW27" s="3"/>
      <c r="GX27" s="3"/>
      <c r="GY27" s="3"/>
      <c r="HG27" s="1" t="s">
        <v>728</v>
      </c>
      <c r="HH27" s="3"/>
      <c r="HI27" s="3"/>
      <c r="HJ27" s="3"/>
      <c r="HK27" s="1"/>
      <c r="HL27" s="1"/>
      <c r="HM27" s="3"/>
      <c r="HN27" s="3"/>
      <c r="HO27" s="3"/>
      <c r="HP27" s="1"/>
      <c r="HQ27" s="1" t="s">
        <v>303</v>
      </c>
      <c r="HR27" s="3"/>
      <c r="HS27" s="3"/>
      <c r="HT27" s="3"/>
      <c r="HU27" s="1"/>
      <c r="HV27" s="1"/>
      <c r="HW27" s="3"/>
      <c r="HX27" s="3"/>
      <c r="HY27" s="3"/>
      <c r="IG27" s="1" t="s">
        <v>728</v>
      </c>
      <c r="IH27" s="3"/>
      <c r="II27" s="3"/>
      <c r="IJ27" s="3"/>
      <c r="IK27" s="1"/>
      <c r="IL27" s="1"/>
      <c r="IM27" s="3"/>
      <c r="IN27" s="3"/>
      <c r="IO27" s="3"/>
      <c r="IP27" s="1"/>
      <c r="IQ27" s="1" t="s">
        <v>303</v>
      </c>
      <c r="IR27" s="3"/>
      <c r="IS27" s="3"/>
      <c r="IT27" s="3"/>
      <c r="IV27" s="1"/>
      <c r="IW27" s="3"/>
      <c r="IX27" s="3"/>
      <c r="IY27" s="3"/>
      <c r="IZ27" s="1"/>
      <c r="JG27" s="1" t="s">
        <v>728</v>
      </c>
      <c r="JH27" s="3"/>
      <c r="JI27" s="3"/>
      <c r="JJ27" s="3"/>
      <c r="JK27" s="1"/>
      <c r="JL27" s="1"/>
      <c r="JM27" s="3"/>
      <c r="JN27" s="3"/>
      <c r="JO27" s="3"/>
      <c r="JP27" s="1"/>
      <c r="JQ27" s="1" t="s">
        <v>303</v>
      </c>
      <c r="JR27" s="3"/>
      <c r="JS27" s="3"/>
      <c r="JT27" s="3"/>
      <c r="JU27" s="1"/>
      <c r="JV27" s="1"/>
      <c r="JW27" s="3"/>
      <c r="JX27" s="3"/>
      <c r="JY27" s="3"/>
      <c r="JZ27" s="1"/>
      <c r="KG27" s="1" t="s">
        <v>728</v>
      </c>
      <c r="KH27" s="3"/>
      <c r="KI27" s="3"/>
      <c r="KJ27" s="3"/>
      <c r="KK27" s="1"/>
      <c r="KL27" s="1"/>
      <c r="KM27" s="3"/>
      <c r="KN27" s="3"/>
      <c r="KO27" s="3"/>
      <c r="KP27" s="1"/>
      <c r="KQ27" s="1" t="s">
        <v>303</v>
      </c>
      <c r="KR27" s="3"/>
      <c r="KS27" s="3"/>
      <c r="KT27" s="3"/>
      <c r="KU27" s="1"/>
      <c r="KV27" s="1"/>
      <c r="KW27" s="3"/>
      <c r="KX27" s="3"/>
      <c r="KY27" s="3"/>
      <c r="KZ27" s="1"/>
      <c r="LG27" s="1" t="s">
        <v>728</v>
      </c>
      <c r="LH27" s="3"/>
      <c r="LI27" s="3"/>
      <c r="LJ27" s="3"/>
      <c r="LK27" s="1"/>
      <c r="LL27" s="1"/>
      <c r="LM27" s="3"/>
      <c r="LN27" s="3"/>
      <c r="LO27" s="3"/>
      <c r="LP27" s="1"/>
      <c r="LQ27" s="1" t="s">
        <v>303</v>
      </c>
      <c r="LR27" s="3"/>
      <c r="LS27" s="3"/>
      <c r="LT27" s="3"/>
      <c r="LU27" s="1"/>
      <c r="LV27" s="1"/>
      <c r="LW27" s="3"/>
      <c r="LX27" s="3"/>
      <c r="LY27" s="3"/>
      <c r="LZ27" s="1"/>
      <c r="MG27" s="1" t="s">
        <v>728</v>
      </c>
      <c r="MH27" s="3"/>
      <c r="MI27" s="3"/>
      <c r="MJ27" s="3"/>
      <c r="MK27" s="1"/>
      <c r="ML27" s="1"/>
      <c r="MM27" s="3"/>
      <c r="MN27" s="3"/>
      <c r="MO27" s="3"/>
      <c r="MP27" s="1"/>
      <c r="MQ27" s="1" t="s">
        <v>303</v>
      </c>
      <c r="MR27" s="3"/>
      <c r="MS27" s="3"/>
      <c r="MT27" s="3"/>
      <c r="MU27" s="1"/>
      <c r="MV27" s="1"/>
      <c r="MW27" s="3"/>
      <c r="MX27" s="3"/>
      <c r="MY27" s="3"/>
      <c r="MZ27" s="1"/>
      <c r="NG27" s="1" t="s">
        <v>728</v>
      </c>
      <c r="NH27" s="3"/>
      <c r="NI27" s="3"/>
      <c r="NJ27" s="3"/>
      <c r="NK27" s="1"/>
      <c r="NL27" s="1"/>
      <c r="NM27" s="3"/>
      <c r="NN27" s="3"/>
      <c r="NO27" s="3"/>
      <c r="NP27" s="1"/>
      <c r="NQ27" s="1" t="s">
        <v>303</v>
      </c>
      <c r="NR27" s="3"/>
      <c r="NS27" s="3"/>
      <c r="NT27" s="3"/>
      <c r="NU27" s="1"/>
      <c r="NV27" s="1"/>
      <c r="NW27" s="3"/>
      <c r="NX27" s="3"/>
      <c r="NY27" s="3"/>
      <c r="NZ27" s="1"/>
      <c r="OG27" s="1" t="s">
        <v>728</v>
      </c>
      <c r="OH27" s="3"/>
      <c r="OI27" s="3"/>
      <c r="OJ27" s="3"/>
      <c r="OK27" s="1"/>
      <c r="OL27" s="1"/>
      <c r="OM27" s="3"/>
      <c r="ON27" s="3"/>
      <c r="OO27" s="3"/>
      <c r="OP27" s="1"/>
      <c r="OQ27" s="1" t="s">
        <v>303</v>
      </c>
      <c r="OR27" s="3"/>
      <c r="OS27" s="3"/>
      <c r="OT27" s="3"/>
      <c r="OU27" s="1"/>
      <c r="OV27" s="1"/>
      <c r="OW27" s="3"/>
      <c r="OX27" s="3"/>
      <c r="OY27" s="3"/>
      <c r="OZ27" s="1"/>
      <c r="PG27" s="1" t="s">
        <v>728</v>
      </c>
      <c r="PH27" s="3"/>
      <c r="PI27" s="3"/>
      <c r="PJ27" s="3"/>
      <c r="PK27" s="1"/>
      <c r="PL27" s="1"/>
      <c r="PM27" s="3"/>
      <c r="PN27" s="3"/>
      <c r="PO27" s="3"/>
      <c r="PP27" s="1"/>
      <c r="PQ27" s="1" t="s">
        <v>303</v>
      </c>
      <c r="PR27" s="3"/>
      <c r="PS27" s="3"/>
      <c r="PT27" s="3"/>
      <c r="PU27" s="1"/>
      <c r="PV27" s="1"/>
      <c r="PW27" s="3"/>
      <c r="PX27" s="3"/>
      <c r="PY27" s="3"/>
      <c r="PZ27" s="1"/>
      <c r="QG27" s="1" t="s">
        <v>728</v>
      </c>
      <c r="QH27" s="3"/>
      <c r="QI27" s="3"/>
      <c r="QJ27" s="3"/>
      <c r="QK27" s="1"/>
      <c r="QL27" s="1"/>
      <c r="QM27" s="3"/>
      <c r="QN27" s="3"/>
      <c r="QO27" s="3"/>
      <c r="QP27" s="1"/>
      <c r="QQ27" s="1" t="s">
        <v>303</v>
      </c>
      <c r="QR27" s="3"/>
      <c r="QS27" s="3"/>
      <c r="QT27" s="3"/>
      <c r="QU27" s="1"/>
      <c r="QV27" s="1"/>
      <c r="QW27" s="3"/>
      <c r="QX27" s="3"/>
      <c r="QY27" s="3"/>
      <c r="QZ27" s="1"/>
      <c r="RG27" s="2" t="s">
        <v>729</v>
      </c>
      <c r="RH27" s="3"/>
      <c r="RI27" s="3"/>
      <c r="RJ27" s="3"/>
      <c r="RK27" s="1"/>
      <c r="RL27" s="1"/>
      <c r="RM27" s="3"/>
      <c r="RN27" s="3"/>
      <c r="RO27" s="3"/>
      <c r="RP27" s="1"/>
      <c r="RQ27" s="1" t="s">
        <v>303</v>
      </c>
      <c r="RR27" s="3"/>
      <c r="RS27" s="3"/>
      <c r="RT27" s="3"/>
      <c r="RU27" s="1"/>
      <c r="RV27" s="1"/>
      <c r="RW27" s="3"/>
      <c r="RX27" s="3"/>
      <c r="RY27" s="3"/>
      <c r="RZ27" s="1"/>
      <c r="SG27" s="2" t="s">
        <v>729</v>
      </c>
      <c r="SH27" s="3"/>
      <c r="SI27" s="3"/>
      <c r="SJ27" s="3"/>
      <c r="SK27" s="1"/>
      <c r="SL27" s="1"/>
      <c r="SM27" s="3"/>
      <c r="SN27" s="3"/>
      <c r="SO27" s="3"/>
      <c r="SP27" s="1"/>
      <c r="SQ27" s="1" t="s">
        <v>303</v>
      </c>
      <c r="SR27" s="3"/>
      <c r="SS27" s="3"/>
      <c r="ST27" s="3"/>
      <c r="SU27" s="1"/>
      <c r="SV27" s="1"/>
      <c r="SW27" s="3"/>
      <c r="SX27" s="3"/>
      <c r="SY27" s="3"/>
      <c r="SZ27" s="1"/>
      <c r="TG27" s="2" t="s">
        <v>729</v>
      </c>
      <c r="TH27" s="3"/>
      <c r="TI27" s="3"/>
      <c r="TJ27" s="3"/>
      <c r="TK27" s="1"/>
      <c r="TL27" s="1"/>
      <c r="TM27" s="3"/>
      <c r="TN27" s="3"/>
      <c r="TO27" s="3"/>
      <c r="TP27" s="1"/>
      <c r="TQ27" s="1"/>
      <c r="TR27" s="1" t="s">
        <v>303</v>
      </c>
      <c r="TS27" s="3"/>
      <c r="TT27" s="3"/>
      <c r="TU27" s="3"/>
      <c r="TV27" s="1"/>
      <c r="TW27" s="1"/>
      <c r="TX27" s="3"/>
      <c r="TY27" s="3"/>
      <c r="TZ27" s="3"/>
      <c r="UA27" s="1"/>
      <c r="UH27" s="2" t="s">
        <v>729</v>
      </c>
      <c r="UI27" s="3"/>
      <c r="UJ27" s="3"/>
      <c r="UK27" s="3"/>
      <c r="UL27" s="1"/>
      <c r="UM27" s="1"/>
      <c r="UN27" s="3"/>
      <c r="UO27" s="3"/>
      <c r="UP27" s="3"/>
      <c r="UQ27" s="1"/>
      <c r="UR27" s="1" t="s">
        <v>303</v>
      </c>
      <c r="US27" s="3"/>
      <c r="UT27" s="3"/>
      <c r="UU27" s="3"/>
      <c r="UV27" s="1"/>
      <c r="UW27" s="1"/>
      <c r="UX27" s="3"/>
      <c r="UY27" s="3"/>
      <c r="UZ27" s="3"/>
      <c r="VA27" s="1"/>
      <c r="VH27" s="2" t="s">
        <v>729</v>
      </c>
      <c r="VI27" s="3"/>
      <c r="VJ27" s="3"/>
      <c r="VK27" s="3"/>
      <c r="VL27" s="1"/>
      <c r="VM27" s="1"/>
      <c r="VN27" s="3"/>
      <c r="VO27" s="3"/>
      <c r="VP27" s="3"/>
      <c r="VQ27" s="1"/>
      <c r="VR27" s="1" t="s">
        <v>303</v>
      </c>
      <c r="VS27" s="3"/>
      <c r="VT27" s="3"/>
      <c r="VU27" s="3"/>
      <c r="VV27" s="1"/>
      <c r="VW27" s="1"/>
      <c r="VX27" s="3"/>
      <c r="VY27" s="3"/>
      <c r="VZ27" s="3"/>
      <c r="WA27" s="1"/>
      <c r="WH27" s="2" t="s">
        <v>729</v>
      </c>
      <c r="WI27" s="3"/>
      <c r="WJ27" s="3"/>
      <c r="WK27" s="3"/>
      <c r="WL27" s="1"/>
      <c r="WM27" s="1"/>
      <c r="WN27" s="3"/>
      <c r="WO27" s="3"/>
      <c r="WP27" s="3"/>
      <c r="WQ27" s="1"/>
      <c r="WR27" s="1" t="s">
        <v>303</v>
      </c>
      <c r="WS27" s="3"/>
      <c r="WT27" s="3"/>
      <c r="WU27" s="3"/>
      <c r="WV27" s="1"/>
      <c r="WW27" s="1"/>
      <c r="WX27" s="3"/>
      <c r="WY27" s="3"/>
      <c r="WZ27" s="3"/>
      <c r="XA27" s="1"/>
      <c r="XH27" s="2" t="s">
        <v>729</v>
      </c>
      <c r="XI27" s="3"/>
      <c r="XJ27" s="3"/>
      <c r="XK27" s="3"/>
      <c r="XL27" s="1"/>
      <c r="XM27" s="1"/>
      <c r="XN27" s="3"/>
      <c r="XO27" s="3"/>
      <c r="XP27" s="3"/>
      <c r="XQ27" s="1"/>
      <c r="XR27" s="1" t="s">
        <v>303</v>
      </c>
      <c r="XS27" s="3"/>
      <c r="XT27" s="3"/>
      <c r="XU27" s="3"/>
      <c r="XV27" s="1"/>
      <c r="XW27" s="1"/>
      <c r="XX27" s="3"/>
      <c r="XY27" s="3"/>
      <c r="XZ27" s="3"/>
      <c r="YA27" s="1"/>
      <c r="YH27" s="2" t="s">
        <v>729</v>
      </c>
      <c r="YI27" s="3"/>
      <c r="YJ27" s="3"/>
      <c r="YK27" s="3"/>
      <c r="YL27" s="1"/>
      <c r="YM27" s="1"/>
      <c r="YN27" s="3"/>
      <c r="YO27" s="3"/>
      <c r="YP27" s="3"/>
      <c r="YQ27" s="1"/>
      <c r="YR27" s="1" t="s">
        <v>303</v>
      </c>
      <c r="YS27" s="3"/>
      <c r="YT27" s="3"/>
      <c r="YU27" s="3"/>
      <c r="YV27" s="1"/>
      <c r="YW27" s="1"/>
      <c r="YX27" s="3"/>
      <c r="YY27" s="3"/>
      <c r="YZ27" s="3"/>
      <c r="ZA27" s="1"/>
      <c r="ZH27" s="2" t="s">
        <v>729</v>
      </c>
      <c r="ZI27" s="3"/>
      <c r="ZJ27" s="3"/>
      <c r="ZK27" s="3"/>
      <c r="ZL27" s="1"/>
      <c r="ZM27" s="1"/>
      <c r="ZN27" s="3"/>
      <c r="ZO27" s="3"/>
      <c r="ZP27" s="3"/>
      <c r="ZQ27" s="1"/>
      <c r="ZR27" s="1" t="s">
        <v>303</v>
      </c>
      <c r="ZS27" s="3"/>
      <c r="ZT27" s="3"/>
      <c r="ZU27" s="3"/>
      <c r="ZV27" s="1"/>
      <c r="ZW27" s="1"/>
      <c r="ZX27" s="3"/>
      <c r="ZY27" s="3"/>
      <c r="ZZ27" s="3"/>
      <c r="AAA27" s="1"/>
      <c r="AAH27" s="2" t="s">
        <v>729</v>
      </c>
      <c r="AAI27" s="3"/>
      <c r="AAJ27" s="3"/>
      <c r="AAK27" s="3"/>
      <c r="AAL27" s="1"/>
      <c r="AAM27" s="1"/>
      <c r="AAN27" s="3"/>
      <c r="AAO27" s="3"/>
      <c r="AAP27" s="3"/>
      <c r="AAQ27" s="1"/>
      <c r="AAR27" s="1" t="s">
        <v>303</v>
      </c>
      <c r="AAS27" s="3"/>
      <c r="AAT27" s="3"/>
      <c r="AAU27" s="3"/>
      <c r="AAV27" s="1"/>
      <c r="AAW27" s="1"/>
      <c r="AAX27" s="3"/>
      <c r="AAY27" s="3"/>
      <c r="AAZ27" s="3"/>
      <c r="ABA27" s="1"/>
      <c r="ABH27" s="2" t="s">
        <v>729</v>
      </c>
      <c r="ABI27" s="3"/>
      <c r="ABJ27" s="3"/>
      <c r="ABK27" s="3"/>
      <c r="ABL27" s="1"/>
      <c r="ABM27" s="1"/>
      <c r="ABN27" s="3"/>
      <c r="ABO27" s="3"/>
      <c r="ABP27" s="3"/>
      <c r="ABQ27" s="1"/>
      <c r="ABR27" s="1" t="s">
        <v>303</v>
      </c>
      <c r="ABS27" s="3"/>
      <c r="ABT27" s="3"/>
      <c r="ABU27" s="3"/>
      <c r="ABV27" s="1"/>
      <c r="ABW27" s="1"/>
      <c r="ABX27" s="3"/>
      <c r="ABY27" s="3"/>
      <c r="ABZ27" s="3"/>
      <c r="ACA27" s="1"/>
      <c r="ACH27" s="2" t="s">
        <v>729</v>
      </c>
      <c r="ACI27" s="3"/>
      <c r="ACJ27" s="3"/>
      <c r="ACK27" s="3"/>
      <c r="ACL27" s="1"/>
      <c r="ACM27" s="1"/>
      <c r="ACN27" s="3"/>
      <c r="ACO27" s="3"/>
      <c r="ACP27" s="3"/>
      <c r="ACQ27" s="1"/>
      <c r="ACR27" s="1" t="s">
        <v>303</v>
      </c>
      <c r="ACS27" s="3"/>
      <c r="ACT27" s="3"/>
      <c r="ACU27" s="3"/>
      <c r="ACV27" s="1"/>
      <c r="ACW27" s="1"/>
      <c r="ACX27" s="3"/>
      <c r="ACY27" s="3"/>
      <c r="ACZ27" s="3"/>
      <c r="ADA27" s="1"/>
      <c r="ADH27" s="2" t="s">
        <v>729</v>
      </c>
      <c r="ADI27" s="3"/>
      <c r="ADJ27" s="3"/>
      <c r="ADK27" s="3"/>
      <c r="ADL27" s="1"/>
      <c r="ADM27" s="1"/>
      <c r="ADN27" s="3"/>
      <c r="ADO27" s="3"/>
      <c r="ADP27" s="3"/>
      <c r="ADQ27" s="1"/>
      <c r="ADR27" s="1" t="s">
        <v>303</v>
      </c>
      <c r="ADS27" s="3"/>
      <c r="ADT27" s="3"/>
      <c r="ADU27" s="3"/>
      <c r="ADV27" s="1"/>
      <c r="ADW27" s="1"/>
      <c r="ADX27" s="3"/>
      <c r="ADY27" s="3"/>
      <c r="ADZ27" s="3"/>
      <c r="AEA27" s="1"/>
      <c r="AEH27" s="2" t="s">
        <v>729</v>
      </c>
      <c r="AEI27" s="3"/>
      <c r="AEJ27" s="3"/>
      <c r="AEK27" s="3"/>
      <c r="AEL27" s="1"/>
      <c r="AEM27" s="1"/>
      <c r="AEN27" s="3"/>
      <c r="AEO27" s="3"/>
      <c r="AEP27" s="3"/>
      <c r="AEQ27" s="1"/>
      <c r="AER27" s="1"/>
      <c r="AES27" s="1" t="s">
        <v>303</v>
      </c>
      <c r="AET27" s="3"/>
      <c r="AEU27" s="3"/>
      <c r="AEV27" s="3"/>
      <c r="AEW27" s="1"/>
      <c r="AEX27" s="1"/>
      <c r="AEY27" s="3"/>
      <c r="AEZ27" s="3"/>
      <c r="AFA27" s="3"/>
      <c r="AFB27" s="1"/>
      <c r="AFI27" s="2" t="s">
        <v>729</v>
      </c>
      <c r="AFJ27" s="3"/>
      <c r="AFK27" s="3"/>
      <c r="AFL27" s="3"/>
      <c r="AFM27" s="1"/>
      <c r="AFN27" s="1"/>
      <c r="AFO27" s="3"/>
      <c r="AFP27" s="3"/>
      <c r="AFQ27" s="3"/>
      <c r="AFR27" s="1"/>
      <c r="AFS27" s="1" t="s">
        <v>303</v>
      </c>
      <c r="AFT27" s="3"/>
      <c r="AFU27" s="3"/>
      <c r="AFV27" s="3"/>
      <c r="AFW27" s="1"/>
      <c r="AFX27" s="1"/>
      <c r="AFY27" s="3"/>
      <c r="AFZ27" s="3"/>
      <c r="AGA27" s="3"/>
      <c r="AGB27" s="1"/>
      <c r="AGI27" s="2" t="s">
        <v>729</v>
      </c>
      <c r="AGJ27" s="3"/>
      <c r="AGK27" s="3"/>
      <c r="AGL27" s="3"/>
      <c r="AGM27" s="1"/>
      <c r="AGN27" s="1"/>
      <c r="AGO27" s="3"/>
      <c r="AGP27" s="3"/>
      <c r="AGQ27" s="3"/>
      <c r="AGR27" s="1"/>
      <c r="AGS27" s="1" t="s">
        <v>303</v>
      </c>
      <c r="AGT27" s="3"/>
      <c r="AGU27" s="3"/>
      <c r="AGV27" s="3"/>
      <c r="AGW27" s="1"/>
      <c r="AGX27" s="1"/>
      <c r="AGY27" s="3"/>
      <c r="AGZ27" s="3"/>
      <c r="AHA27" s="3"/>
      <c r="AHB27" s="1"/>
      <c r="AHI27" s="2" t="s">
        <v>729</v>
      </c>
      <c r="AHJ27" s="3"/>
      <c r="AHK27" s="3"/>
      <c r="AHL27" s="3"/>
      <c r="AHM27" s="1"/>
      <c r="AHN27" s="1"/>
      <c r="AHO27" s="3"/>
      <c r="AHP27" s="3"/>
      <c r="AHQ27" s="3"/>
      <c r="AHR27" s="1"/>
      <c r="AHS27" s="1" t="s">
        <v>303</v>
      </c>
      <c r="AHT27" s="3"/>
      <c r="AHU27" s="3"/>
      <c r="AHV27" s="3"/>
      <c r="AHW27" s="1"/>
      <c r="AHX27" s="1"/>
      <c r="AHY27" s="3"/>
      <c r="AHZ27" s="3"/>
      <c r="AIA27" s="3"/>
      <c r="AIB27" s="1"/>
      <c r="AII27" s="2" t="s">
        <v>729</v>
      </c>
      <c r="AIJ27" s="3"/>
      <c r="AIK27" s="3"/>
      <c r="AIL27" s="3"/>
      <c r="AIM27" s="1"/>
      <c r="AIN27" s="1"/>
      <c r="AIO27" s="3"/>
      <c r="AIP27" s="3"/>
      <c r="AIQ27" s="3"/>
      <c r="AIR27" s="1"/>
      <c r="AIS27" s="1" t="s">
        <v>303</v>
      </c>
      <c r="AIT27" s="3"/>
      <c r="AIU27" s="3"/>
      <c r="AIV27" s="3"/>
      <c r="AIW27" s="1"/>
      <c r="AIX27" s="1"/>
      <c r="AIY27" s="3"/>
      <c r="AIZ27" s="3"/>
      <c r="AJA27" s="3"/>
      <c r="AJB27" s="1"/>
      <c r="AJI27" s="2" t="s">
        <v>729</v>
      </c>
      <c r="AJJ27" s="3"/>
      <c r="AJK27" s="3"/>
      <c r="AJL27" s="3"/>
      <c r="AJM27" s="1"/>
      <c r="AJN27" s="1"/>
      <c r="AJO27" s="3"/>
      <c r="AJP27" s="3"/>
      <c r="AJQ27" s="3"/>
      <c r="AJR27" s="1"/>
      <c r="AJS27" s="1" t="s">
        <v>303</v>
      </c>
      <c r="AJT27" s="3"/>
      <c r="AJU27" s="3"/>
      <c r="AJV27" s="3"/>
      <c r="AJW27" s="1"/>
      <c r="AJX27" s="1"/>
      <c r="AJY27" s="3"/>
      <c r="AJZ27" s="3"/>
      <c r="AKA27" s="3"/>
      <c r="AKB27" s="3"/>
      <c r="AKI27" s="2" t="s">
        <v>729</v>
      </c>
      <c r="AKJ27" s="3"/>
      <c r="AKK27" s="3"/>
      <c r="AKL27" s="3"/>
      <c r="AKM27" s="1"/>
      <c r="AKN27" s="1"/>
      <c r="AKO27" s="3"/>
      <c r="AKP27" s="3"/>
      <c r="AKQ27" s="3"/>
      <c r="AKR27" s="1"/>
      <c r="AKS27" s="1" t="s">
        <v>303</v>
      </c>
      <c r="AKT27" s="3"/>
      <c r="AKU27" s="3"/>
      <c r="AKV27" s="3"/>
      <c r="AKW27" s="3"/>
      <c r="AKX27" s="3"/>
      <c r="AKY27" s="3"/>
      <c r="AKZ27" s="1"/>
      <c r="ALA27" s="3"/>
      <c r="ALB27" s="3"/>
      <c r="ALI27" s="2" t="s">
        <v>729</v>
      </c>
      <c r="ALJ27" s="3"/>
      <c r="ALK27" s="3"/>
      <c r="ALL27" s="3"/>
      <c r="ALM27" s="1"/>
      <c r="ALN27" s="1"/>
      <c r="ALO27" s="3"/>
      <c r="ALP27" s="3"/>
      <c r="ALQ27" s="3"/>
      <c r="ALR27" s="1"/>
      <c r="ALS27" s="1" t="s">
        <v>303</v>
      </c>
      <c r="ALT27" s="3"/>
      <c r="ALU27" s="3"/>
      <c r="ALV27" s="3"/>
      <c r="ALW27" s="1"/>
      <c r="ALX27" s="3"/>
      <c r="ALY27" s="3"/>
      <c r="ALZ27" s="1"/>
      <c r="AMA27" s="3"/>
      <c r="AMB27" s="3"/>
      <c r="AMI27" s="2" t="s">
        <v>729</v>
      </c>
      <c r="AMJ27" s="3"/>
      <c r="AMK27" s="3"/>
      <c r="AML27" s="3"/>
      <c r="AMM27" s="1"/>
      <c r="AMN27" s="1"/>
      <c r="AMO27" s="3"/>
      <c r="AMP27" s="3"/>
      <c r="AMQ27" s="3"/>
      <c r="AMR27" s="1"/>
      <c r="AMS27" s="1"/>
      <c r="AMT27" s="1" t="s">
        <v>303</v>
      </c>
      <c r="AMU27" s="3"/>
      <c r="AMV27" s="3"/>
      <c r="AMW27" s="3"/>
      <c r="AMX27" s="1"/>
      <c r="AMY27" s="3"/>
      <c r="AMZ27" s="3"/>
      <c r="ANA27" s="1"/>
      <c r="ANB27" s="3"/>
      <c r="ANC27" s="1"/>
      <c r="ANJ27" s="2" t="s">
        <v>729</v>
      </c>
      <c r="ANK27" s="3"/>
      <c r="ANL27" s="3"/>
      <c r="ANM27" s="3"/>
      <c r="ANN27" s="1"/>
      <c r="ANO27" s="1"/>
      <c r="ANP27" s="3"/>
      <c r="ANQ27" s="3"/>
      <c r="ANR27" s="3"/>
      <c r="ANS27" s="1"/>
      <c r="ANT27" s="1"/>
      <c r="ANU27" s="1" t="s">
        <v>303</v>
      </c>
      <c r="ANV27" s="3"/>
      <c r="ANW27" s="3"/>
      <c r="ANX27" s="3"/>
      <c r="ANY27" s="1"/>
      <c r="ANZ27" s="3"/>
      <c r="AOA27" s="3"/>
      <c r="AOB27" s="1"/>
      <c r="AOC27" s="3"/>
      <c r="AOD27" s="1"/>
      <c r="AOK27" s="2" t="s">
        <v>729</v>
      </c>
      <c r="AOL27" s="3"/>
      <c r="AOM27" s="3"/>
      <c r="AON27" s="3"/>
      <c r="AOO27" s="1"/>
      <c r="AOP27" s="1"/>
      <c r="AOQ27" s="3"/>
      <c r="AOR27" s="3"/>
      <c r="AOS27" s="3"/>
      <c r="AOT27" s="1"/>
      <c r="AOU27" s="1"/>
      <c r="AOV27" s="1" t="s">
        <v>303</v>
      </c>
      <c r="AOW27" s="3"/>
      <c r="AOX27" s="3"/>
      <c r="AOY27" s="3"/>
      <c r="AOZ27" s="1"/>
      <c r="APA27" s="3"/>
      <c r="APB27" s="3"/>
      <c r="APC27" s="1"/>
      <c r="APD27" s="3"/>
      <c r="APE27" s="1"/>
    </row>
    <row r="28" spans="1:1097" ht="28.35" customHeight="1" x14ac:dyDescent="0.4">
      <c r="G28" s="1" t="s">
        <v>730</v>
      </c>
      <c r="H28" s="3"/>
      <c r="I28" s="3"/>
      <c r="J28" s="3"/>
      <c r="K28" s="1"/>
      <c r="L28" s="1"/>
      <c r="M28" s="3"/>
      <c r="N28" s="3"/>
      <c r="O28" s="3"/>
      <c r="P28" s="1"/>
      <c r="Q28" s="1" t="s">
        <v>288</v>
      </c>
      <c r="R28" s="3"/>
      <c r="S28" s="3"/>
      <c r="T28" s="3"/>
      <c r="W28" s="3"/>
      <c r="X28" s="3"/>
      <c r="Y28" s="3"/>
      <c r="Z28" s="1"/>
      <c r="AG28" s="1" t="s">
        <v>730</v>
      </c>
      <c r="AH28" s="3"/>
      <c r="AI28" s="3"/>
      <c r="AJ28" s="3"/>
      <c r="AK28" s="1"/>
      <c r="AL28" s="1"/>
      <c r="AM28" s="3"/>
      <c r="AN28" s="3"/>
      <c r="AO28" s="3"/>
      <c r="AP28" s="1"/>
      <c r="AQ28" s="1" t="s">
        <v>288</v>
      </c>
      <c r="AR28" s="3"/>
      <c r="AS28" s="3"/>
      <c r="AT28" s="3"/>
      <c r="AU28" s="1"/>
      <c r="AV28" s="1"/>
      <c r="AW28" s="3"/>
      <c r="AX28" s="3"/>
      <c r="AY28" s="3"/>
      <c r="BG28" s="1" t="s">
        <v>730</v>
      </c>
      <c r="BH28" s="3"/>
      <c r="BI28" s="3"/>
      <c r="BJ28" s="3"/>
      <c r="BK28" s="1"/>
      <c r="BL28" s="1"/>
      <c r="BM28" s="3"/>
      <c r="BN28" s="3"/>
      <c r="BO28" s="3"/>
      <c r="BP28" s="1"/>
      <c r="BQ28" s="1" t="s">
        <v>288</v>
      </c>
      <c r="BR28" s="3"/>
      <c r="BS28" s="3"/>
      <c r="BT28" s="3"/>
      <c r="BW28" s="3"/>
      <c r="BX28" s="3"/>
      <c r="BY28" s="3"/>
      <c r="BZ28" s="1"/>
      <c r="CG28" s="1" t="s">
        <v>730</v>
      </c>
      <c r="CH28" s="3"/>
      <c r="CI28" s="3"/>
      <c r="CJ28" s="3"/>
      <c r="CK28" s="1"/>
      <c r="CL28" s="1"/>
      <c r="CM28" s="3"/>
      <c r="CN28" s="3"/>
      <c r="CO28" s="3"/>
      <c r="CP28" s="1"/>
      <c r="CQ28" s="1" t="s">
        <v>288</v>
      </c>
      <c r="CR28" s="3"/>
      <c r="CS28" s="3"/>
      <c r="CT28" s="3"/>
      <c r="CU28" s="1"/>
      <c r="CV28" s="1"/>
      <c r="CW28" s="3"/>
      <c r="CX28" s="3"/>
      <c r="CY28" s="3"/>
      <c r="CZ28" s="1"/>
      <c r="DG28" s="1" t="s">
        <v>730</v>
      </c>
      <c r="DH28" s="3"/>
      <c r="DI28" s="3"/>
      <c r="DJ28" s="3"/>
      <c r="DK28" s="1"/>
      <c r="DL28" s="1"/>
      <c r="DM28" s="3"/>
      <c r="DN28" s="3"/>
      <c r="DO28" s="3"/>
      <c r="DP28" s="1"/>
      <c r="DQ28" s="1" t="s">
        <v>288</v>
      </c>
      <c r="DR28" s="3"/>
      <c r="DS28" s="3"/>
      <c r="DT28" s="3"/>
      <c r="DU28" s="1"/>
      <c r="DW28" s="3"/>
      <c r="DX28" s="3"/>
      <c r="DY28" s="3"/>
      <c r="DZ28" s="1"/>
      <c r="EG28" s="1" t="s">
        <v>730</v>
      </c>
      <c r="EH28" s="3"/>
      <c r="EI28" s="3"/>
      <c r="EJ28" s="3"/>
      <c r="EK28" s="1"/>
      <c r="EL28" s="1"/>
      <c r="EM28" s="3"/>
      <c r="EN28" s="3"/>
      <c r="EO28" s="3"/>
      <c r="EP28" s="1"/>
      <c r="EQ28" s="1" t="s">
        <v>288</v>
      </c>
      <c r="ER28" s="3"/>
      <c r="ES28" s="3"/>
      <c r="ET28" s="3"/>
      <c r="EU28" s="1"/>
      <c r="EW28" s="3"/>
      <c r="EX28" s="3"/>
      <c r="EY28" s="3"/>
      <c r="EZ28" s="1"/>
      <c r="FG28" s="1" t="s">
        <v>730</v>
      </c>
      <c r="FH28" s="3"/>
      <c r="FI28" s="3"/>
      <c r="FJ28" s="3"/>
      <c r="FK28" s="1"/>
      <c r="FL28" s="1"/>
      <c r="FM28" s="3"/>
      <c r="FN28" s="3"/>
      <c r="FO28" s="3"/>
      <c r="FP28" s="1"/>
      <c r="FQ28" s="1" t="s">
        <v>288</v>
      </c>
      <c r="FR28" s="3"/>
      <c r="FS28" s="3"/>
      <c r="FT28" s="3"/>
      <c r="FU28" s="1"/>
      <c r="FV28" s="1"/>
      <c r="FW28" s="3"/>
      <c r="FX28" s="3"/>
      <c r="FY28" s="3"/>
      <c r="GG28" s="1" t="s">
        <v>730</v>
      </c>
      <c r="GH28" s="3"/>
      <c r="GI28" s="3"/>
      <c r="GJ28" s="3"/>
      <c r="GK28" s="1"/>
      <c r="GL28" s="1"/>
      <c r="GM28" s="3"/>
      <c r="GN28" s="3"/>
      <c r="GO28" s="3"/>
      <c r="GP28" s="1"/>
      <c r="GQ28" s="1" t="s">
        <v>288</v>
      </c>
      <c r="GR28" s="3"/>
      <c r="GS28" s="3"/>
      <c r="GT28" s="3"/>
      <c r="GU28" s="1"/>
      <c r="GV28" s="1"/>
      <c r="GW28" s="3"/>
      <c r="GX28" s="3"/>
      <c r="GY28" s="3"/>
      <c r="HG28" s="1" t="s">
        <v>730</v>
      </c>
      <c r="HH28" s="3"/>
      <c r="HI28" s="3"/>
      <c r="HJ28" s="3"/>
      <c r="HK28" s="1"/>
      <c r="HL28" s="1"/>
      <c r="HM28" s="3"/>
      <c r="HN28" s="3"/>
      <c r="HO28" s="3"/>
      <c r="HP28" s="1"/>
      <c r="HQ28" s="1" t="s">
        <v>288</v>
      </c>
      <c r="HR28" s="3"/>
      <c r="HS28" s="3"/>
      <c r="HT28" s="3"/>
      <c r="HU28" s="1"/>
      <c r="HV28" s="1"/>
      <c r="HW28" s="3"/>
      <c r="HX28" s="3"/>
      <c r="HY28" s="3"/>
      <c r="IG28" s="1" t="s">
        <v>730</v>
      </c>
      <c r="IH28" s="3"/>
      <c r="II28" s="3"/>
      <c r="IJ28" s="3"/>
      <c r="IK28" s="1"/>
      <c r="IL28" s="1"/>
      <c r="IM28" s="3"/>
      <c r="IN28" s="3"/>
      <c r="IO28" s="3"/>
      <c r="IP28" s="1"/>
      <c r="IQ28" s="1" t="s">
        <v>288</v>
      </c>
      <c r="IR28" s="3"/>
      <c r="IS28" s="3"/>
      <c r="IT28" s="3"/>
      <c r="IV28" s="1"/>
      <c r="IW28" s="3"/>
      <c r="IX28" s="3"/>
      <c r="IY28" s="3"/>
      <c r="IZ28" s="1"/>
      <c r="JG28" s="1" t="s">
        <v>730</v>
      </c>
      <c r="JH28" s="3"/>
      <c r="JI28" s="3"/>
      <c r="JJ28" s="3"/>
      <c r="JK28" s="1"/>
      <c r="JL28" s="1"/>
      <c r="JM28" s="3"/>
      <c r="JN28" s="3"/>
      <c r="JO28" s="3"/>
      <c r="JP28" s="1"/>
      <c r="JQ28" s="1" t="s">
        <v>288</v>
      </c>
      <c r="JR28" s="3"/>
      <c r="JS28" s="3"/>
      <c r="JT28" s="3"/>
      <c r="JU28" s="1"/>
      <c r="JV28" s="1"/>
      <c r="JW28" s="3"/>
      <c r="JX28" s="3"/>
      <c r="JY28" s="3"/>
      <c r="JZ28" s="1"/>
      <c r="KG28" s="1" t="s">
        <v>730</v>
      </c>
      <c r="KH28" s="3"/>
      <c r="KI28" s="3"/>
      <c r="KJ28" s="3"/>
      <c r="KK28" s="1"/>
      <c r="KL28" s="1"/>
      <c r="KM28" s="3"/>
      <c r="KN28" s="3"/>
      <c r="KO28" s="3"/>
      <c r="KP28" s="1"/>
      <c r="KQ28" s="1" t="s">
        <v>288</v>
      </c>
      <c r="KR28" s="3"/>
      <c r="KS28" s="3"/>
      <c r="KT28" s="3"/>
      <c r="KU28" s="1"/>
      <c r="KV28" s="1"/>
      <c r="KW28" s="3"/>
      <c r="KX28" s="3"/>
      <c r="KY28" s="3"/>
      <c r="KZ28" s="1"/>
      <c r="LG28" s="1" t="s">
        <v>730</v>
      </c>
      <c r="LH28" s="3"/>
      <c r="LI28" s="3"/>
      <c r="LJ28" s="3"/>
      <c r="LK28" s="1"/>
      <c r="LL28" s="1"/>
      <c r="LM28" s="3"/>
      <c r="LN28" s="3"/>
      <c r="LO28" s="3"/>
      <c r="LP28" s="1"/>
      <c r="LQ28" s="1" t="s">
        <v>288</v>
      </c>
      <c r="LR28" s="3"/>
      <c r="LS28" s="3"/>
      <c r="LT28" s="3"/>
      <c r="LU28" s="1"/>
      <c r="LV28" s="1"/>
      <c r="LW28" s="3"/>
      <c r="LX28" s="3"/>
      <c r="LY28" s="3"/>
      <c r="LZ28" s="1"/>
      <c r="MG28" s="1" t="s">
        <v>730</v>
      </c>
      <c r="MH28" s="3"/>
      <c r="MI28" s="3"/>
      <c r="MJ28" s="3"/>
      <c r="MK28" s="1"/>
      <c r="ML28" s="1"/>
      <c r="MM28" s="3"/>
      <c r="MN28" s="3"/>
      <c r="MO28" s="3"/>
      <c r="MP28" s="1"/>
      <c r="MQ28" s="1" t="s">
        <v>288</v>
      </c>
      <c r="MR28" s="3"/>
      <c r="MS28" s="3"/>
      <c r="MT28" s="3"/>
      <c r="MU28" s="1"/>
      <c r="MV28" s="1"/>
      <c r="MW28" s="3"/>
      <c r="MX28" s="3"/>
      <c r="MY28" s="3"/>
      <c r="MZ28" s="1"/>
      <c r="NG28" s="1" t="s">
        <v>730</v>
      </c>
      <c r="NH28" s="3"/>
      <c r="NI28" s="3"/>
      <c r="NJ28" s="3"/>
      <c r="NK28" s="1"/>
      <c r="NL28" s="1"/>
      <c r="NM28" s="3"/>
      <c r="NN28" s="3"/>
      <c r="NO28" s="3"/>
      <c r="NP28" s="1"/>
      <c r="NQ28" s="1" t="s">
        <v>288</v>
      </c>
      <c r="NR28" s="3"/>
      <c r="NS28" s="3"/>
      <c r="NT28" s="3"/>
      <c r="NU28" s="1"/>
      <c r="NV28" s="1"/>
      <c r="NW28" s="3"/>
      <c r="NX28" s="3"/>
      <c r="NY28" s="3"/>
      <c r="NZ28" s="1"/>
      <c r="OG28" s="1" t="s">
        <v>730</v>
      </c>
      <c r="OH28" s="3"/>
      <c r="OI28" s="3"/>
      <c r="OJ28" s="3"/>
      <c r="OK28" s="1"/>
      <c r="OL28" s="1"/>
      <c r="OM28" s="3"/>
      <c r="ON28" s="3"/>
      <c r="OO28" s="3"/>
      <c r="OP28" s="1"/>
      <c r="OQ28" s="1" t="s">
        <v>288</v>
      </c>
      <c r="OR28" s="3"/>
      <c r="OS28" s="3"/>
      <c r="OT28" s="3"/>
      <c r="OU28" s="1"/>
      <c r="OV28" s="1"/>
      <c r="OW28" s="3"/>
      <c r="OX28" s="3"/>
      <c r="OY28" s="3"/>
      <c r="OZ28" s="1"/>
      <c r="PG28" s="1" t="s">
        <v>730</v>
      </c>
      <c r="PH28" s="3"/>
      <c r="PI28" s="3"/>
      <c r="PJ28" s="3"/>
      <c r="PK28" s="1"/>
      <c r="PL28" s="1"/>
      <c r="PM28" s="3"/>
      <c r="PN28" s="3"/>
      <c r="PO28" s="3"/>
      <c r="PP28" s="1"/>
      <c r="PQ28" s="1" t="s">
        <v>288</v>
      </c>
      <c r="PR28" s="3"/>
      <c r="PS28" s="3"/>
      <c r="PT28" s="3"/>
      <c r="PU28" s="1"/>
      <c r="PV28" s="1"/>
      <c r="PW28" s="3"/>
      <c r="PX28" s="3"/>
      <c r="PY28" s="3"/>
      <c r="PZ28" s="1"/>
      <c r="QG28" s="1" t="s">
        <v>730</v>
      </c>
      <c r="QH28" s="3"/>
      <c r="QI28" s="3"/>
      <c r="QJ28" s="3"/>
      <c r="QK28" s="1"/>
      <c r="QL28" s="1"/>
      <c r="QM28" s="3"/>
      <c r="QN28" s="3"/>
      <c r="QO28" s="3"/>
      <c r="QP28" s="1"/>
      <c r="QQ28" s="1" t="s">
        <v>288</v>
      </c>
      <c r="QR28" s="3"/>
      <c r="QS28" s="3"/>
      <c r="QT28" s="3"/>
      <c r="QU28" s="1"/>
      <c r="QV28" s="1"/>
      <c r="QW28" s="3"/>
      <c r="QX28" s="3"/>
      <c r="QY28" s="3"/>
      <c r="QZ28" s="1"/>
      <c r="RG28" s="1" t="s">
        <v>23</v>
      </c>
      <c r="RH28" s="3"/>
      <c r="RI28" s="3"/>
      <c r="RJ28" s="3"/>
      <c r="RK28" s="1"/>
      <c r="RL28" s="1"/>
      <c r="RM28" s="3"/>
      <c r="RN28" s="3"/>
      <c r="RO28" s="3"/>
      <c r="RP28" s="1"/>
      <c r="RQ28" s="1" t="s">
        <v>288</v>
      </c>
      <c r="RR28" s="3"/>
      <c r="RS28" s="3"/>
      <c r="RT28" s="3"/>
      <c r="RU28" s="1"/>
      <c r="RV28" s="1"/>
      <c r="RW28" s="3"/>
      <c r="RX28" s="3"/>
      <c r="RY28" s="3"/>
      <c r="RZ28" s="1"/>
      <c r="SG28" s="1" t="s">
        <v>23</v>
      </c>
      <c r="SH28" s="3"/>
      <c r="SI28" s="3"/>
      <c r="SJ28" s="3"/>
      <c r="SK28" s="1"/>
      <c r="SL28" s="1"/>
      <c r="SM28" s="3"/>
      <c r="SN28" s="3"/>
      <c r="SO28" s="3"/>
      <c r="SP28" s="1"/>
      <c r="SQ28" s="1" t="s">
        <v>288</v>
      </c>
      <c r="SR28" s="3"/>
      <c r="SS28" s="3"/>
      <c r="ST28" s="3"/>
      <c r="SU28" s="1"/>
      <c r="SV28" s="1"/>
      <c r="SW28" s="3"/>
      <c r="SX28" s="3"/>
      <c r="SY28" s="3"/>
      <c r="SZ28" s="1"/>
      <c r="TG28" s="1" t="s">
        <v>23</v>
      </c>
      <c r="TH28" s="3"/>
      <c r="TI28" s="3"/>
      <c r="TJ28" s="3"/>
      <c r="TK28" s="1"/>
      <c r="TL28" s="1"/>
      <c r="TM28" s="3"/>
      <c r="TN28" s="3"/>
      <c r="TO28" s="3"/>
      <c r="TP28" s="1"/>
      <c r="TQ28" s="1"/>
      <c r="TR28" s="1" t="s">
        <v>288</v>
      </c>
      <c r="TS28" s="3"/>
      <c r="TT28" s="3"/>
      <c r="TU28" s="3"/>
      <c r="TV28" s="1"/>
      <c r="TW28" s="1"/>
      <c r="TX28" s="3"/>
      <c r="TY28" s="3"/>
      <c r="TZ28" s="3"/>
      <c r="UA28" s="1"/>
      <c r="UH28" s="1" t="s">
        <v>23</v>
      </c>
      <c r="UI28" s="3"/>
      <c r="UJ28" s="3"/>
      <c r="UK28" s="3"/>
      <c r="UL28" s="1"/>
      <c r="UM28" s="1"/>
      <c r="UN28" s="3"/>
      <c r="UO28" s="3"/>
      <c r="UP28" s="3"/>
      <c r="UQ28" s="1"/>
      <c r="UR28" s="1" t="s">
        <v>288</v>
      </c>
      <c r="US28" s="3"/>
      <c r="UT28" s="3"/>
      <c r="UU28" s="3"/>
      <c r="UV28" s="1"/>
      <c r="UW28" s="1"/>
      <c r="UX28" s="3"/>
      <c r="UY28" s="3"/>
      <c r="UZ28" s="3"/>
      <c r="VA28" s="1"/>
      <c r="VH28" s="1" t="s">
        <v>23</v>
      </c>
      <c r="VI28" s="3"/>
      <c r="VJ28" s="3"/>
      <c r="VK28" s="3"/>
      <c r="VL28" s="1"/>
      <c r="VM28" s="1"/>
      <c r="VN28" s="3"/>
      <c r="VO28" s="3"/>
      <c r="VP28" s="3"/>
      <c r="VQ28" s="1"/>
      <c r="VR28" s="1" t="s">
        <v>288</v>
      </c>
      <c r="VS28" s="3"/>
      <c r="VT28" s="3"/>
      <c r="VU28" s="3"/>
      <c r="VV28" s="1"/>
      <c r="VW28" s="1"/>
      <c r="VX28" s="3"/>
      <c r="VY28" s="3"/>
      <c r="VZ28" s="3"/>
      <c r="WA28" s="1"/>
      <c r="WH28" s="1" t="s">
        <v>23</v>
      </c>
      <c r="WI28" s="3"/>
      <c r="WJ28" s="3"/>
      <c r="WK28" s="3"/>
      <c r="WL28" s="1"/>
      <c r="WM28" s="1"/>
      <c r="WN28" s="3"/>
      <c r="WO28" s="3"/>
      <c r="WP28" s="3"/>
      <c r="WQ28" s="1"/>
      <c r="WR28" s="1" t="s">
        <v>288</v>
      </c>
      <c r="WS28" s="3"/>
      <c r="WT28" s="3"/>
      <c r="WU28" s="3"/>
      <c r="WV28" s="1"/>
      <c r="WW28" s="1"/>
      <c r="WX28" s="3"/>
      <c r="WY28" s="3"/>
      <c r="WZ28" s="3"/>
      <c r="XA28" s="1"/>
      <c r="XH28" s="1" t="s">
        <v>23</v>
      </c>
      <c r="XI28" s="3"/>
      <c r="XJ28" s="3"/>
      <c r="XK28" s="3"/>
      <c r="XL28" s="1"/>
      <c r="XM28" s="1"/>
      <c r="XN28" s="3"/>
      <c r="XO28" s="3"/>
      <c r="XP28" s="3"/>
      <c r="XQ28" s="1"/>
      <c r="XR28" s="1" t="s">
        <v>288</v>
      </c>
      <c r="XS28" s="3"/>
      <c r="XT28" s="3"/>
      <c r="XU28" s="3"/>
      <c r="XV28" s="1"/>
      <c r="XW28" s="1"/>
      <c r="XX28" s="3"/>
      <c r="XY28" s="3"/>
      <c r="XZ28" s="3"/>
      <c r="YA28" s="1"/>
      <c r="YH28" s="1" t="s">
        <v>23</v>
      </c>
      <c r="YI28" s="3"/>
      <c r="YJ28" s="3"/>
      <c r="YK28" s="3"/>
      <c r="YL28" s="1"/>
      <c r="YM28" s="1"/>
      <c r="YN28" s="3"/>
      <c r="YO28" s="3"/>
      <c r="YP28" s="3"/>
      <c r="YQ28" s="1"/>
      <c r="YR28" s="1" t="s">
        <v>288</v>
      </c>
      <c r="YS28" s="3"/>
      <c r="YT28" s="3"/>
      <c r="YU28" s="3"/>
      <c r="YV28" s="1"/>
      <c r="YW28" s="1"/>
      <c r="YX28" s="3"/>
      <c r="YY28" s="3"/>
      <c r="YZ28" s="3"/>
      <c r="ZA28" s="1"/>
      <c r="ZH28" s="1" t="s">
        <v>23</v>
      </c>
      <c r="ZI28" s="3"/>
      <c r="ZJ28" s="3"/>
      <c r="ZK28" s="3"/>
      <c r="ZL28" s="1"/>
      <c r="ZM28" s="1"/>
      <c r="ZN28" s="3"/>
      <c r="ZO28" s="3"/>
      <c r="ZP28" s="3"/>
      <c r="ZQ28" s="1"/>
      <c r="ZR28" s="1" t="s">
        <v>288</v>
      </c>
      <c r="ZS28" s="3"/>
      <c r="ZT28" s="3"/>
      <c r="ZU28" s="3"/>
      <c r="ZV28" s="1"/>
      <c r="ZW28" s="1"/>
      <c r="ZX28" s="3"/>
      <c r="ZY28" s="3"/>
      <c r="ZZ28" s="3"/>
      <c r="AAA28" s="1"/>
      <c r="AAH28" s="1" t="s">
        <v>23</v>
      </c>
      <c r="AAI28" s="3"/>
      <c r="AAJ28" s="3"/>
      <c r="AAK28" s="3"/>
      <c r="AAL28" s="1"/>
      <c r="AAM28" s="1"/>
      <c r="AAN28" s="3"/>
      <c r="AAO28" s="3"/>
      <c r="AAP28" s="3"/>
      <c r="AAQ28" s="1"/>
      <c r="AAR28" s="1" t="s">
        <v>288</v>
      </c>
      <c r="AAS28" s="3"/>
      <c r="AAT28" s="3"/>
      <c r="AAU28" s="3"/>
      <c r="AAV28" s="1"/>
      <c r="AAW28" s="1"/>
      <c r="AAX28" s="3"/>
      <c r="AAY28" s="3"/>
      <c r="AAZ28" s="3"/>
      <c r="ABA28" s="1"/>
      <c r="ABH28" s="1" t="s">
        <v>23</v>
      </c>
      <c r="ABI28" s="3"/>
      <c r="ABJ28" s="3"/>
      <c r="ABK28" s="3"/>
      <c r="ABL28" s="1"/>
      <c r="ABM28" s="1"/>
      <c r="ABN28" s="3"/>
      <c r="ABO28" s="3"/>
      <c r="ABP28" s="3"/>
      <c r="ABQ28" s="1"/>
      <c r="ABR28" s="1" t="s">
        <v>288</v>
      </c>
      <c r="ABS28" s="3"/>
      <c r="ABT28" s="3"/>
      <c r="ABU28" s="3"/>
      <c r="ABV28" s="1"/>
      <c r="ABW28" s="1"/>
      <c r="ABX28" s="3"/>
      <c r="ABY28" s="3"/>
      <c r="ABZ28" s="3"/>
      <c r="ACA28" s="1"/>
      <c r="ACH28" s="1" t="s">
        <v>23</v>
      </c>
      <c r="ACI28" s="3"/>
      <c r="ACJ28" s="3"/>
      <c r="ACK28" s="3"/>
      <c r="ACL28" s="1"/>
      <c r="ACM28" s="1"/>
      <c r="ACN28" s="3"/>
      <c r="ACO28" s="3"/>
      <c r="ACP28" s="3"/>
      <c r="ACQ28" s="1"/>
      <c r="ACR28" s="1" t="s">
        <v>288</v>
      </c>
      <c r="ACS28" s="3"/>
      <c r="ACT28" s="3"/>
      <c r="ACU28" s="3"/>
      <c r="ACV28" s="1"/>
      <c r="ACW28" s="1"/>
      <c r="ACX28" s="3"/>
      <c r="ACY28" s="3"/>
      <c r="ACZ28" s="3"/>
      <c r="ADA28" s="1"/>
      <c r="ADH28" s="1" t="s">
        <v>23</v>
      </c>
      <c r="ADI28" s="3"/>
      <c r="ADJ28" s="3"/>
      <c r="ADK28" s="3"/>
      <c r="ADL28" s="1"/>
      <c r="ADM28" s="1"/>
      <c r="ADN28" s="3"/>
      <c r="ADO28" s="3"/>
      <c r="ADP28" s="3"/>
      <c r="ADQ28" s="1"/>
      <c r="ADR28" s="1" t="s">
        <v>288</v>
      </c>
      <c r="ADS28" s="3"/>
      <c r="ADT28" s="3"/>
      <c r="ADU28" s="3"/>
      <c r="ADV28" s="1"/>
      <c r="ADW28" s="1"/>
      <c r="ADX28" s="3"/>
      <c r="ADY28" s="3"/>
      <c r="ADZ28" s="3"/>
      <c r="AEA28" s="1"/>
      <c r="AEH28" s="1" t="s">
        <v>23</v>
      </c>
      <c r="AEI28" s="3"/>
      <c r="AEJ28" s="3"/>
      <c r="AEK28" s="3"/>
      <c r="AEL28" s="1"/>
      <c r="AEM28" s="1"/>
      <c r="AEN28" s="3"/>
      <c r="AEO28" s="3"/>
      <c r="AEP28" s="3"/>
      <c r="AEQ28" s="1"/>
      <c r="AER28" s="1"/>
      <c r="AES28" s="1" t="s">
        <v>288</v>
      </c>
      <c r="AET28" s="3"/>
      <c r="AEU28" s="3"/>
      <c r="AEV28" s="3"/>
      <c r="AEW28" s="1"/>
      <c r="AEX28" s="1"/>
      <c r="AEY28" s="3"/>
      <c r="AEZ28" s="3"/>
      <c r="AFA28" s="3"/>
      <c r="AFB28" s="1"/>
      <c r="AFI28" s="1" t="s">
        <v>23</v>
      </c>
      <c r="AFJ28" s="3"/>
      <c r="AFK28" s="3"/>
      <c r="AFL28" s="3"/>
      <c r="AFM28" s="1"/>
      <c r="AFN28" s="1"/>
      <c r="AFO28" s="3"/>
      <c r="AFP28" s="3"/>
      <c r="AFQ28" s="3"/>
      <c r="AFR28" s="1"/>
      <c r="AFS28" s="1" t="s">
        <v>288</v>
      </c>
      <c r="AFT28" s="3"/>
      <c r="AFU28" s="3"/>
      <c r="AFV28" s="3"/>
      <c r="AFW28" s="1"/>
      <c r="AFX28" s="1"/>
      <c r="AFY28" s="3"/>
      <c r="AFZ28" s="3"/>
      <c r="AGA28" s="3"/>
      <c r="AGB28" s="1"/>
      <c r="AGI28" s="1" t="s">
        <v>23</v>
      </c>
      <c r="AGJ28" s="3"/>
      <c r="AGK28" s="3"/>
      <c r="AGL28" s="3"/>
      <c r="AGM28" s="1"/>
      <c r="AGN28" s="1"/>
      <c r="AGO28" s="3"/>
      <c r="AGP28" s="3"/>
      <c r="AGQ28" s="3"/>
      <c r="AGR28" s="1"/>
      <c r="AGS28" s="1" t="s">
        <v>288</v>
      </c>
      <c r="AGT28" s="3"/>
      <c r="AGU28" s="3"/>
      <c r="AGV28" s="3"/>
      <c r="AGW28" s="1"/>
      <c r="AGX28" s="1"/>
      <c r="AGY28" s="3"/>
      <c r="AGZ28" s="3"/>
      <c r="AHA28" s="3"/>
      <c r="AHB28" s="1"/>
      <c r="AHI28" s="1" t="s">
        <v>23</v>
      </c>
      <c r="AHJ28" s="3"/>
      <c r="AHK28" s="3"/>
      <c r="AHL28" s="3"/>
      <c r="AHM28" s="1"/>
      <c r="AHN28" s="1"/>
      <c r="AHO28" s="3"/>
      <c r="AHP28" s="3"/>
      <c r="AHQ28" s="3"/>
      <c r="AHR28" s="1"/>
      <c r="AHS28" s="1" t="s">
        <v>288</v>
      </c>
      <c r="AHT28" s="3"/>
      <c r="AHU28" s="3"/>
      <c r="AHV28" s="3"/>
      <c r="AHW28" s="1"/>
      <c r="AHX28" s="1"/>
      <c r="AHY28" s="3"/>
      <c r="AHZ28" s="3"/>
      <c r="AIA28" s="3"/>
      <c r="AIB28" s="1"/>
      <c r="AII28" s="1" t="s">
        <v>23</v>
      </c>
      <c r="AIJ28" s="3"/>
      <c r="AIK28" s="3"/>
      <c r="AIL28" s="3"/>
      <c r="AIM28" s="1"/>
      <c r="AIN28" s="1"/>
      <c r="AIO28" s="3"/>
      <c r="AIP28" s="3"/>
      <c r="AIQ28" s="3"/>
      <c r="AIR28" s="1"/>
      <c r="AIS28" s="1" t="s">
        <v>288</v>
      </c>
      <c r="AIT28" s="3"/>
      <c r="AIU28" s="3"/>
      <c r="AIV28" s="3"/>
      <c r="AIW28" s="1"/>
      <c r="AIX28" s="1"/>
      <c r="AIY28" s="3"/>
      <c r="AIZ28" s="3"/>
      <c r="AJA28" s="3"/>
      <c r="AJB28" s="1"/>
      <c r="AJI28" s="1" t="s">
        <v>23</v>
      </c>
      <c r="AJJ28" s="3"/>
      <c r="AJK28" s="3"/>
      <c r="AJL28" s="3"/>
      <c r="AJM28" s="1"/>
      <c r="AJN28" s="1"/>
      <c r="AJO28" s="3"/>
      <c r="AJP28" s="3"/>
      <c r="AJQ28" s="3"/>
      <c r="AJR28" s="1"/>
      <c r="AJS28" s="1" t="s">
        <v>288</v>
      </c>
      <c r="AJT28" s="3"/>
      <c r="AJU28" s="3"/>
      <c r="AJV28" s="3"/>
      <c r="AJW28" s="1"/>
      <c r="AJX28" s="1"/>
      <c r="AJY28" s="3"/>
      <c r="AJZ28" s="3"/>
      <c r="AKA28" s="3"/>
      <c r="AKB28" s="3"/>
      <c r="AKI28" s="1" t="s">
        <v>23</v>
      </c>
      <c r="AKJ28" s="3"/>
      <c r="AKK28" s="3"/>
      <c r="AKL28" s="3"/>
      <c r="AKM28" s="1"/>
      <c r="AKN28" s="1"/>
      <c r="AKO28" s="3"/>
      <c r="AKP28" s="3"/>
      <c r="AKQ28" s="3"/>
      <c r="AKR28" s="1"/>
      <c r="AKS28" s="1" t="s">
        <v>288</v>
      </c>
      <c r="AKT28" s="3"/>
      <c r="AKU28" s="3"/>
      <c r="AKV28" s="3"/>
      <c r="AKW28" s="3"/>
      <c r="AKX28" s="3"/>
      <c r="AKY28" s="3"/>
      <c r="AKZ28" s="1"/>
      <c r="ALA28" s="3"/>
      <c r="ALB28" s="3"/>
      <c r="ALI28" s="1" t="s">
        <v>23</v>
      </c>
      <c r="ALJ28" s="3"/>
      <c r="ALK28" s="3"/>
      <c r="ALL28" s="3"/>
      <c r="ALM28" s="1"/>
      <c r="ALN28" s="1"/>
      <c r="ALO28" s="3"/>
      <c r="ALP28" s="3"/>
      <c r="ALQ28" s="3"/>
      <c r="ALR28" s="1"/>
      <c r="ALS28" s="1" t="s">
        <v>288</v>
      </c>
      <c r="ALT28" s="3"/>
      <c r="ALU28" s="3"/>
      <c r="ALV28" s="3"/>
      <c r="ALW28" s="1"/>
      <c r="ALX28" s="3"/>
      <c r="ALY28" s="3"/>
      <c r="ALZ28" s="1"/>
      <c r="AMA28" s="3"/>
      <c r="AMB28" s="3"/>
      <c r="AMI28" s="1" t="s">
        <v>23</v>
      </c>
      <c r="AMJ28" s="3"/>
      <c r="AMK28" s="3"/>
      <c r="AML28" s="3"/>
      <c r="AMM28" s="1"/>
      <c r="AMN28" s="1"/>
      <c r="AMO28" s="3"/>
      <c r="AMP28" s="3"/>
      <c r="AMQ28" s="3"/>
      <c r="AMR28" s="1"/>
      <c r="AMS28" s="1"/>
      <c r="AMT28" s="1" t="s">
        <v>288</v>
      </c>
      <c r="AMU28" s="3"/>
      <c r="AMV28" s="3"/>
      <c r="AMW28" s="3"/>
      <c r="AMX28" s="1"/>
      <c r="AMY28" s="3"/>
      <c r="AMZ28" s="3"/>
      <c r="ANA28" s="1"/>
      <c r="ANB28" s="3"/>
      <c r="ANC28" s="1"/>
      <c r="ANJ28" s="1" t="s">
        <v>23</v>
      </c>
      <c r="ANK28" s="3"/>
      <c r="ANL28" s="3"/>
      <c r="ANM28" s="3"/>
      <c r="ANN28" s="1"/>
      <c r="ANO28" s="1"/>
      <c r="ANP28" s="3"/>
      <c r="ANQ28" s="3"/>
      <c r="ANR28" s="3"/>
      <c r="ANS28" s="1"/>
      <c r="ANT28" s="1"/>
      <c r="ANU28" s="1" t="s">
        <v>288</v>
      </c>
      <c r="ANV28" s="3"/>
      <c r="ANW28" s="3"/>
      <c r="ANX28" s="3"/>
      <c r="ANY28" s="1"/>
      <c r="ANZ28" s="3"/>
      <c r="AOA28" s="3"/>
      <c r="AOB28" s="1"/>
      <c r="AOC28" s="3"/>
      <c r="AOD28" s="1"/>
      <c r="AOK28" s="1" t="s">
        <v>23</v>
      </c>
      <c r="AOL28" s="3"/>
      <c r="AOM28" s="3"/>
      <c r="AON28" s="3"/>
      <c r="AOO28" s="1"/>
      <c r="AOP28" s="1"/>
      <c r="AOQ28" s="3"/>
      <c r="AOR28" s="3"/>
      <c r="AOS28" s="3"/>
      <c r="AOT28" s="1"/>
      <c r="AOU28" s="1"/>
      <c r="AOV28" s="1" t="s">
        <v>288</v>
      </c>
      <c r="AOW28" s="3"/>
      <c r="AOX28" s="3"/>
      <c r="AOY28" s="3"/>
      <c r="AOZ28" s="1"/>
      <c r="APA28" s="3"/>
      <c r="APB28" s="3"/>
      <c r="APC28" s="1"/>
      <c r="APD28" s="3"/>
      <c r="APE28" s="1"/>
    </row>
    <row r="29" spans="1:1097" ht="28.35" customHeight="1" x14ac:dyDescent="0.4">
      <c r="G29" s="1" t="s">
        <v>731</v>
      </c>
      <c r="H29" s="3"/>
      <c r="I29" s="3"/>
      <c r="J29" s="3"/>
      <c r="K29" s="1"/>
      <c r="L29" s="1"/>
      <c r="M29" s="3"/>
      <c r="N29" s="3"/>
      <c r="O29" s="3"/>
      <c r="P29" s="1"/>
      <c r="Q29" s="1" t="s">
        <v>289</v>
      </c>
      <c r="R29" s="3"/>
      <c r="S29" s="3"/>
      <c r="T29" s="3"/>
      <c r="W29" s="3"/>
      <c r="X29" s="3"/>
      <c r="Y29" s="3"/>
      <c r="Z29" s="1"/>
      <c r="AG29" s="1" t="s">
        <v>731</v>
      </c>
      <c r="AH29" s="3"/>
      <c r="AI29" s="3"/>
      <c r="AJ29" s="3"/>
      <c r="AK29" s="1"/>
      <c r="AL29" s="1"/>
      <c r="AM29" s="3"/>
      <c r="AN29" s="3"/>
      <c r="AO29" s="3"/>
      <c r="AP29" s="1"/>
      <c r="AQ29" s="1" t="s">
        <v>289</v>
      </c>
      <c r="AR29" s="3"/>
      <c r="AS29" s="3"/>
      <c r="AT29" s="3"/>
      <c r="AU29" s="1"/>
      <c r="AV29" s="1"/>
      <c r="AW29" s="3"/>
      <c r="AX29" s="3"/>
      <c r="AY29" s="3"/>
      <c r="BG29" s="1" t="s">
        <v>731</v>
      </c>
      <c r="BH29" s="3"/>
      <c r="BI29" s="3"/>
      <c r="BJ29" s="3"/>
      <c r="BK29" s="1"/>
      <c r="BL29" s="1"/>
      <c r="BM29" s="3"/>
      <c r="BN29" s="3"/>
      <c r="BO29" s="3"/>
      <c r="BP29" s="1"/>
      <c r="BQ29" s="1" t="s">
        <v>289</v>
      </c>
      <c r="BR29" s="3"/>
      <c r="BS29" s="3"/>
      <c r="BT29" s="3"/>
      <c r="BW29" s="3"/>
      <c r="BX29" s="3"/>
      <c r="BY29" s="3"/>
      <c r="BZ29" s="1"/>
      <c r="CG29" s="1" t="s">
        <v>731</v>
      </c>
      <c r="CH29" s="3"/>
      <c r="CI29" s="3"/>
      <c r="CJ29" s="3"/>
      <c r="CK29" s="1"/>
      <c r="CL29" s="1"/>
      <c r="CM29" s="3"/>
      <c r="CN29" s="3"/>
      <c r="CO29" s="3"/>
      <c r="CP29" s="1"/>
      <c r="CQ29" s="1" t="s">
        <v>289</v>
      </c>
      <c r="CR29" s="3"/>
      <c r="CS29" s="3"/>
      <c r="CT29" s="3"/>
      <c r="CU29" s="1"/>
      <c r="CV29" s="1"/>
      <c r="CW29" s="3"/>
      <c r="CX29" s="3"/>
      <c r="CY29" s="3"/>
      <c r="CZ29" s="1"/>
      <c r="DG29" s="1" t="s">
        <v>731</v>
      </c>
      <c r="DH29" s="3"/>
      <c r="DI29" s="3"/>
      <c r="DJ29" s="3"/>
      <c r="DK29" s="1"/>
      <c r="DL29" s="1"/>
      <c r="DM29" s="3"/>
      <c r="DN29" s="3"/>
      <c r="DO29" s="3"/>
      <c r="DP29" s="1"/>
      <c r="DQ29" s="1" t="s">
        <v>289</v>
      </c>
      <c r="DR29" s="3"/>
      <c r="DS29" s="3"/>
      <c r="DT29" s="3"/>
      <c r="DU29" s="1"/>
      <c r="DW29" s="3"/>
      <c r="DX29" s="3"/>
      <c r="DY29" s="3"/>
      <c r="DZ29" s="1"/>
      <c r="EG29" s="1" t="s">
        <v>731</v>
      </c>
      <c r="EH29" s="3"/>
      <c r="EI29" s="3"/>
      <c r="EJ29" s="3"/>
      <c r="EK29" s="1"/>
      <c r="EL29" s="1"/>
      <c r="EM29" s="3"/>
      <c r="EN29" s="3"/>
      <c r="EO29" s="3"/>
      <c r="EP29" s="1"/>
      <c r="EQ29" s="1" t="s">
        <v>289</v>
      </c>
      <c r="ER29" s="3"/>
      <c r="ES29" s="3"/>
      <c r="ET29" s="3"/>
      <c r="EU29" s="1"/>
      <c r="EW29" s="3"/>
      <c r="EX29" s="3"/>
      <c r="EY29" s="3"/>
      <c r="EZ29" s="1"/>
      <c r="FG29" s="1" t="s">
        <v>731</v>
      </c>
      <c r="FH29" s="3"/>
      <c r="FI29" s="3"/>
      <c r="FJ29" s="3"/>
      <c r="FK29" s="1"/>
      <c r="FL29" s="1"/>
      <c r="FM29" s="3"/>
      <c r="FN29" s="3"/>
      <c r="FO29" s="3"/>
      <c r="FP29" s="1"/>
      <c r="FQ29" s="1" t="s">
        <v>289</v>
      </c>
      <c r="FR29" s="3"/>
      <c r="FS29" s="3"/>
      <c r="FT29" s="3"/>
      <c r="FU29" s="1"/>
      <c r="FV29" s="1"/>
      <c r="FW29" s="3"/>
      <c r="FX29" s="3"/>
      <c r="FY29" s="3"/>
      <c r="GG29" s="1" t="s">
        <v>731</v>
      </c>
      <c r="GH29" s="3"/>
      <c r="GI29" s="3"/>
      <c r="GJ29" s="3"/>
      <c r="GK29" s="1"/>
      <c r="GL29" s="1"/>
      <c r="GM29" s="3"/>
      <c r="GN29" s="3"/>
      <c r="GO29" s="3"/>
      <c r="GP29" s="1"/>
      <c r="GQ29" s="1" t="s">
        <v>289</v>
      </c>
      <c r="GR29" s="3"/>
      <c r="GS29" s="3"/>
      <c r="GT29" s="3"/>
      <c r="GU29" s="1"/>
      <c r="GV29" s="1"/>
      <c r="GW29" s="3"/>
      <c r="GX29" s="3"/>
      <c r="GY29" s="3"/>
      <c r="HG29" s="1" t="s">
        <v>731</v>
      </c>
      <c r="HH29" s="3"/>
      <c r="HI29" s="3"/>
      <c r="HJ29" s="3"/>
      <c r="HK29" s="1"/>
      <c r="HL29" s="1"/>
      <c r="HM29" s="3"/>
      <c r="HN29" s="3"/>
      <c r="HO29" s="3"/>
      <c r="HP29" s="1"/>
      <c r="HQ29" s="1" t="s">
        <v>289</v>
      </c>
      <c r="HR29" s="3"/>
      <c r="HS29" s="3"/>
      <c r="HT29" s="3"/>
      <c r="HU29" s="1"/>
      <c r="HV29" s="1"/>
      <c r="HW29" s="3"/>
      <c r="HX29" s="3"/>
      <c r="HY29" s="3"/>
      <c r="IG29" s="1" t="s">
        <v>731</v>
      </c>
      <c r="IH29" s="3"/>
      <c r="II29" s="3"/>
      <c r="IJ29" s="3"/>
      <c r="IK29" s="1"/>
      <c r="IL29" s="1"/>
      <c r="IM29" s="3"/>
      <c r="IN29" s="3"/>
      <c r="IO29" s="3"/>
      <c r="IP29" s="1"/>
      <c r="IQ29" s="1" t="s">
        <v>289</v>
      </c>
      <c r="IR29" s="3"/>
      <c r="IS29" s="3"/>
      <c r="IT29" s="3"/>
      <c r="IV29" s="1"/>
      <c r="IW29" s="3"/>
      <c r="IX29" s="3"/>
      <c r="IY29" s="3"/>
      <c r="IZ29" s="1"/>
      <c r="JG29" s="1" t="s">
        <v>731</v>
      </c>
      <c r="JH29" s="3"/>
      <c r="JI29" s="3"/>
      <c r="JJ29" s="3"/>
      <c r="JK29" s="1"/>
      <c r="JL29" s="1"/>
      <c r="JM29" s="3"/>
      <c r="JN29" s="3"/>
      <c r="JO29" s="3"/>
      <c r="JP29" s="1"/>
      <c r="JQ29" s="1" t="s">
        <v>289</v>
      </c>
      <c r="JR29" s="3"/>
      <c r="JS29" s="3"/>
      <c r="JT29" s="3"/>
      <c r="JU29" s="1"/>
      <c r="JV29" s="1"/>
      <c r="JW29" s="3"/>
      <c r="JX29" s="3"/>
      <c r="JY29" s="3"/>
      <c r="JZ29" s="1"/>
      <c r="KG29" s="1" t="s">
        <v>731</v>
      </c>
      <c r="KH29" s="3"/>
      <c r="KI29" s="3"/>
      <c r="KJ29" s="3"/>
      <c r="KK29" s="1"/>
      <c r="KL29" s="1"/>
      <c r="KM29" s="3"/>
      <c r="KN29" s="3"/>
      <c r="KO29" s="3"/>
      <c r="KP29" s="1"/>
      <c r="KQ29" s="1" t="s">
        <v>289</v>
      </c>
      <c r="KR29" s="3"/>
      <c r="KS29" s="3"/>
      <c r="KT29" s="3"/>
      <c r="KU29" s="1"/>
      <c r="KV29" s="1"/>
      <c r="KW29" s="3"/>
      <c r="KX29" s="3"/>
      <c r="KY29" s="3"/>
      <c r="KZ29" s="1"/>
      <c r="LG29" s="1" t="s">
        <v>731</v>
      </c>
      <c r="LH29" s="3"/>
      <c r="LI29" s="3"/>
      <c r="LJ29" s="3"/>
      <c r="LK29" s="1"/>
      <c r="LL29" s="1"/>
      <c r="LM29" s="3"/>
      <c r="LN29" s="3"/>
      <c r="LO29" s="3"/>
      <c r="LP29" s="1"/>
      <c r="LQ29" s="1" t="s">
        <v>289</v>
      </c>
      <c r="LR29" s="3"/>
      <c r="LS29" s="3"/>
      <c r="LT29" s="3"/>
      <c r="LU29" s="1"/>
      <c r="LV29" s="1"/>
      <c r="LW29" s="3"/>
      <c r="LX29" s="3"/>
      <c r="LY29" s="3"/>
      <c r="LZ29" s="1"/>
      <c r="MG29" s="1" t="s">
        <v>731</v>
      </c>
      <c r="MH29" s="3"/>
      <c r="MI29" s="3"/>
      <c r="MJ29" s="3"/>
      <c r="MK29" s="1"/>
      <c r="ML29" s="1"/>
      <c r="MM29" s="3"/>
      <c r="MN29" s="3"/>
      <c r="MO29" s="3"/>
      <c r="MP29" s="1"/>
      <c r="MQ29" s="1" t="s">
        <v>289</v>
      </c>
      <c r="MR29" s="3"/>
      <c r="MS29" s="3"/>
      <c r="MT29" s="3"/>
      <c r="MU29" s="1"/>
      <c r="MV29" s="1"/>
      <c r="MW29" s="3"/>
      <c r="MX29" s="3"/>
      <c r="MY29" s="3"/>
      <c r="MZ29" s="1"/>
      <c r="NG29" s="1" t="s">
        <v>731</v>
      </c>
      <c r="NH29" s="3"/>
      <c r="NI29" s="3"/>
      <c r="NJ29" s="3"/>
      <c r="NK29" s="1"/>
      <c r="NL29" s="1"/>
      <c r="NM29" s="3"/>
      <c r="NN29" s="3"/>
      <c r="NO29" s="3"/>
      <c r="NP29" s="1"/>
      <c r="NQ29" s="1" t="s">
        <v>289</v>
      </c>
      <c r="NR29" s="3"/>
      <c r="NS29" s="3"/>
      <c r="NT29" s="3"/>
      <c r="NU29" s="1"/>
      <c r="NV29" s="1"/>
      <c r="NW29" s="3"/>
      <c r="NX29" s="3"/>
      <c r="NY29" s="3"/>
      <c r="NZ29" s="1"/>
      <c r="OG29" s="1" t="s">
        <v>731</v>
      </c>
      <c r="OH29" s="3"/>
      <c r="OI29" s="3"/>
      <c r="OJ29" s="3"/>
      <c r="OK29" s="1"/>
      <c r="OL29" s="1"/>
      <c r="OM29" s="3"/>
      <c r="ON29" s="3"/>
      <c r="OO29" s="3"/>
      <c r="OP29" s="1"/>
      <c r="OQ29" s="1" t="s">
        <v>289</v>
      </c>
      <c r="OR29" s="3"/>
      <c r="OS29" s="3"/>
      <c r="OT29" s="3"/>
      <c r="OU29" s="1"/>
      <c r="OV29" s="1"/>
      <c r="OW29" s="3"/>
      <c r="OX29" s="3"/>
      <c r="OY29" s="3"/>
      <c r="OZ29" s="1"/>
      <c r="PG29" s="1" t="s">
        <v>731</v>
      </c>
      <c r="PH29" s="3"/>
      <c r="PI29" s="3"/>
      <c r="PJ29" s="3"/>
      <c r="PK29" s="1"/>
      <c r="PL29" s="1"/>
      <c r="PM29" s="3"/>
      <c r="PN29" s="3"/>
      <c r="PO29" s="3"/>
      <c r="PP29" s="1"/>
      <c r="PQ29" s="1" t="s">
        <v>289</v>
      </c>
      <c r="PR29" s="3"/>
      <c r="PS29" s="3"/>
      <c r="PT29" s="3"/>
      <c r="PU29" s="1"/>
      <c r="PV29" s="1"/>
      <c r="PW29" s="3"/>
      <c r="PX29" s="3"/>
      <c r="PY29" s="3"/>
      <c r="PZ29" s="1"/>
      <c r="QG29" s="1" t="s">
        <v>731</v>
      </c>
      <c r="QH29" s="3"/>
      <c r="QI29" s="3"/>
      <c r="QJ29" s="3"/>
      <c r="QK29" s="1"/>
      <c r="QL29" s="1"/>
      <c r="QM29" s="3"/>
      <c r="QN29" s="3"/>
      <c r="QO29" s="3"/>
      <c r="QP29" s="1"/>
      <c r="QQ29" s="1" t="s">
        <v>289</v>
      </c>
      <c r="QR29" s="3"/>
      <c r="QS29" s="3"/>
      <c r="QT29" s="3"/>
      <c r="QU29" s="1"/>
      <c r="QV29" s="1"/>
      <c r="QW29" s="3"/>
      <c r="QX29" s="3"/>
      <c r="QY29" s="3"/>
      <c r="QZ29" s="1"/>
      <c r="RG29" s="1" t="s">
        <v>24</v>
      </c>
      <c r="RH29" s="3"/>
      <c r="RI29" s="3"/>
      <c r="RJ29" s="3"/>
      <c r="RK29" s="1"/>
      <c r="RL29" s="1"/>
      <c r="RM29" s="3"/>
      <c r="RN29" s="3"/>
      <c r="RO29" s="3"/>
      <c r="RP29" s="1"/>
      <c r="RQ29" s="1" t="s">
        <v>289</v>
      </c>
      <c r="RR29" s="3"/>
      <c r="RS29" s="3"/>
      <c r="RT29" s="3"/>
      <c r="RU29" s="1"/>
      <c r="RV29" s="1"/>
      <c r="RW29" s="3"/>
      <c r="RX29" s="3"/>
      <c r="RY29" s="3"/>
      <c r="RZ29" s="1"/>
      <c r="SG29" s="1" t="s">
        <v>24</v>
      </c>
      <c r="SH29" s="3"/>
      <c r="SI29" s="3"/>
      <c r="SJ29" s="3"/>
      <c r="SK29" s="1"/>
      <c r="SL29" s="1"/>
      <c r="SM29" s="3"/>
      <c r="SN29" s="3"/>
      <c r="SO29" s="3"/>
      <c r="SP29" s="1"/>
      <c r="SQ29" s="1" t="s">
        <v>289</v>
      </c>
      <c r="SR29" s="3"/>
      <c r="SS29" s="3"/>
      <c r="ST29" s="3"/>
      <c r="SU29" s="1"/>
      <c r="SV29" s="1"/>
      <c r="SW29" s="3"/>
      <c r="SX29" s="3"/>
      <c r="SY29" s="3"/>
      <c r="SZ29" s="1"/>
      <c r="TG29" s="1" t="s">
        <v>24</v>
      </c>
      <c r="TH29" s="3"/>
      <c r="TI29" s="3"/>
      <c r="TJ29" s="3"/>
      <c r="TK29" s="1"/>
      <c r="TL29" s="1"/>
      <c r="TM29" s="3"/>
      <c r="TN29" s="3"/>
      <c r="TO29" s="3"/>
      <c r="TP29" s="1"/>
      <c r="TQ29" s="1"/>
      <c r="TR29" s="1" t="s">
        <v>289</v>
      </c>
      <c r="TS29" s="3"/>
      <c r="TT29" s="3"/>
      <c r="TU29" s="3"/>
      <c r="TV29" s="1"/>
      <c r="TW29" s="1"/>
      <c r="TX29" s="3"/>
      <c r="TY29" s="3"/>
      <c r="TZ29" s="3"/>
      <c r="UA29" s="1"/>
      <c r="UH29" s="1" t="s">
        <v>24</v>
      </c>
      <c r="UI29" s="3"/>
      <c r="UJ29" s="3"/>
      <c r="UK29" s="3"/>
      <c r="UL29" s="1"/>
      <c r="UM29" s="1"/>
      <c r="UN29" s="3"/>
      <c r="UO29" s="3"/>
      <c r="UP29" s="3"/>
      <c r="UQ29" s="1"/>
      <c r="UR29" s="1" t="s">
        <v>289</v>
      </c>
      <c r="US29" s="3"/>
      <c r="UT29" s="3"/>
      <c r="UU29" s="3"/>
      <c r="UV29" s="1"/>
      <c r="UW29" s="1"/>
      <c r="UX29" s="3"/>
      <c r="UY29" s="3"/>
      <c r="UZ29" s="3"/>
      <c r="VA29" s="1"/>
      <c r="VH29" s="1" t="s">
        <v>24</v>
      </c>
      <c r="VI29" s="3"/>
      <c r="VJ29" s="3"/>
      <c r="VK29" s="3"/>
      <c r="VL29" s="1"/>
      <c r="VM29" s="1"/>
      <c r="VN29" s="3"/>
      <c r="VO29" s="3"/>
      <c r="VP29" s="3"/>
      <c r="VQ29" s="1"/>
      <c r="VR29" s="1" t="s">
        <v>289</v>
      </c>
      <c r="VS29" s="3"/>
      <c r="VT29" s="3"/>
      <c r="VU29" s="3"/>
      <c r="VV29" s="1"/>
      <c r="VW29" s="1"/>
      <c r="VX29" s="3"/>
      <c r="VY29" s="3"/>
      <c r="VZ29" s="3"/>
      <c r="WA29" s="1"/>
      <c r="WH29" s="1" t="s">
        <v>24</v>
      </c>
      <c r="WI29" s="3"/>
      <c r="WJ29" s="3"/>
      <c r="WK29" s="3"/>
      <c r="WL29" s="1"/>
      <c r="WM29" s="1"/>
      <c r="WN29" s="3"/>
      <c r="WO29" s="3"/>
      <c r="WP29" s="3"/>
      <c r="WQ29" s="1"/>
      <c r="WR29" s="1" t="s">
        <v>289</v>
      </c>
      <c r="WS29" s="3"/>
      <c r="WT29" s="3"/>
      <c r="WU29" s="3"/>
      <c r="WV29" s="1"/>
      <c r="WW29" s="1"/>
      <c r="WX29" s="3"/>
      <c r="WY29" s="3"/>
      <c r="WZ29" s="3"/>
      <c r="XA29" s="1"/>
      <c r="XH29" s="1" t="s">
        <v>24</v>
      </c>
      <c r="XI29" s="3"/>
      <c r="XJ29" s="3"/>
      <c r="XK29" s="3"/>
      <c r="XL29" s="1"/>
      <c r="XM29" s="1"/>
      <c r="XN29" s="3"/>
      <c r="XO29" s="3"/>
      <c r="XP29" s="3"/>
      <c r="XQ29" s="1"/>
      <c r="XR29" s="1" t="s">
        <v>289</v>
      </c>
      <c r="XS29" s="3"/>
      <c r="XT29" s="3"/>
      <c r="XU29" s="3"/>
      <c r="XV29" s="1"/>
      <c r="XW29" s="1"/>
      <c r="XX29" s="3"/>
      <c r="XY29" s="3"/>
      <c r="XZ29" s="3"/>
      <c r="YA29" s="1"/>
      <c r="YH29" s="1" t="s">
        <v>24</v>
      </c>
      <c r="YI29" s="3"/>
      <c r="YJ29" s="3"/>
      <c r="YK29" s="3"/>
      <c r="YL29" s="1"/>
      <c r="YM29" s="1"/>
      <c r="YN29" s="3"/>
      <c r="YO29" s="3"/>
      <c r="YP29" s="3"/>
      <c r="YQ29" s="1"/>
      <c r="YR29" s="1" t="s">
        <v>289</v>
      </c>
      <c r="YS29" s="3"/>
      <c r="YT29" s="3"/>
      <c r="YU29" s="3"/>
      <c r="YV29" s="1"/>
      <c r="YW29" s="1"/>
      <c r="YX29" s="3"/>
      <c r="YY29" s="3"/>
      <c r="YZ29" s="3"/>
      <c r="ZA29" s="1"/>
      <c r="ZH29" s="1" t="s">
        <v>24</v>
      </c>
      <c r="ZI29" s="3"/>
      <c r="ZJ29" s="3"/>
      <c r="ZK29" s="3"/>
      <c r="ZL29" s="1"/>
      <c r="ZM29" s="1"/>
      <c r="ZN29" s="3"/>
      <c r="ZO29" s="3"/>
      <c r="ZP29" s="3"/>
      <c r="ZQ29" s="1"/>
      <c r="ZR29" s="1" t="s">
        <v>289</v>
      </c>
      <c r="ZS29" s="3"/>
      <c r="ZT29" s="3"/>
      <c r="ZU29" s="3"/>
      <c r="ZV29" s="1"/>
      <c r="ZW29" s="1"/>
      <c r="ZX29" s="3"/>
      <c r="ZY29" s="3"/>
      <c r="ZZ29" s="3"/>
      <c r="AAA29" s="1"/>
      <c r="AAH29" s="1" t="s">
        <v>24</v>
      </c>
      <c r="AAI29" s="3"/>
      <c r="AAJ29" s="3"/>
      <c r="AAK29" s="3"/>
      <c r="AAL29" s="1"/>
      <c r="AAM29" s="1"/>
      <c r="AAN29" s="3"/>
      <c r="AAO29" s="3"/>
      <c r="AAP29" s="3"/>
      <c r="AAQ29" s="1"/>
      <c r="AAR29" s="1" t="s">
        <v>289</v>
      </c>
      <c r="AAS29" s="3"/>
      <c r="AAT29" s="3"/>
      <c r="AAU29" s="3"/>
      <c r="AAV29" s="1"/>
      <c r="AAW29" s="1"/>
      <c r="AAX29" s="3"/>
      <c r="AAY29" s="3"/>
      <c r="AAZ29" s="3"/>
      <c r="ABA29" s="1"/>
      <c r="ABH29" s="1" t="s">
        <v>24</v>
      </c>
      <c r="ABI29" s="3"/>
      <c r="ABJ29" s="3"/>
      <c r="ABK29" s="3"/>
      <c r="ABL29" s="1"/>
      <c r="ABM29" s="1"/>
      <c r="ABN29" s="3"/>
      <c r="ABO29" s="3"/>
      <c r="ABP29" s="3"/>
      <c r="ABQ29" s="1"/>
      <c r="ABR29" s="1" t="s">
        <v>289</v>
      </c>
      <c r="ABS29" s="3"/>
      <c r="ABT29" s="3"/>
      <c r="ABU29" s="3"/>
      <c r="ABV29" s="1"/>
      <c r="ABW29" s="1"/>
      <c r="ABX29" s="3"/>
      <c r="ABY29" s="3"/>
      <c r="ABZ29" s="3"/>
      <c r="ACA29" s="1"/>
      <c r="ACH29" s="1" t="s">
        <v>24</v>
      </c>
      <c r="ACI29" s="3"/>
      <c r="ACJ29" s="3"/>
      <c r="ACK29" s="3"/>
      <c r="ACL29" s="1"/>
      <c r="ACM29" s="1"/>
      <c r="ACN29" s="3"/>
      <c r="ACO29" s="3"/>
      <c r="ACP29" s="3"/>
      <c r="ACQ29" s="1"/>
      <c r="ACR29" s="1" t="s">
        <v>289</v>
      </c>
      <c r="ACS29" s="3"/>
      <c r="ACT29" s="3"/>
      <c r="ACU29" s="3"/>
      <c r="ACV29" s="1"/>
      <c r="ACW29" s="1"/>
      <c r="ACX29" s="3"/>
      <c r="ACY29" s="3"/>
      <c r="ACZ29" s="3"/>
      <c r="ADA29" s="1"/>
      <c r="ADH29" s="1" t="s">
        <v>24</v>
      </c>
      <c r="ADI29" s="3"/>
      <c r="ADJ29" s="3"/>
      <c r="ADK29" s="3"/>
      <c r="ADL29" s="1"/>
      <c r="ADM29" s="1"/>
      <c r="ADN29" s="3"/>
      <c r="ADO29" s="3"/>
      <c r="ADP29" s="3"/>
      <c r="ADQ29" s="1"/>
      <c r="ADR29" s="1" t="s">
        <v>289</v>
      </c>
      <c r="ADS29" s="3"/>
      <c r="ADT29" s="3"/>
      <c r="ADU29" s="3"/>
      <c r="ADV29" s="1"/>
      <c r="ADW29" s="1"/>
      <c r="ADX29" s="3"/>
      <c r="ADY29" s="3"/>
      <c r="ADZ29" s="3"/>
      <c r="AEA29" s="1"/>
      <c r="AEH29" s="1" t="s">
        <v>24</v>
      </c>
      <c r="AEI29" s="3"/>
      <c r="AEJ29" s="3"/>
      <c r="AEK29" s="3"/>
      <c r="AEL29" s="1"/>
      <c r="AEM29" s="1"/>
      <c r="AEN29" s="3"/>
      <c r="AEO29" s="3"/>
      <c r="AEP29" s="3"/>
      <c r="AEQ29" s="1"/>
      <c r="AER29" s="1"/>
      <c r="AES29" s="1" t="s">
        <v>289</v>
      </c>
      <c r="AET29" s="3"/>
      <c r="AEU29" s="3"/>
      <c r="AEV29" s="3"/>
      <c r="AEW29" s="1"/>
      <c r="AEX29" s="1"/>
      <c r="AEY29" s="3"/>
      <c r="AEZ29" s="3"/>
      <c r="AFA29" s="3"/>
      <c r="AFB29" s="1"/>
      <c r="AFI29" s="1" t="s">
        <v>24</v>
      </c>
      <c r="AFJ29" s="3"/>
      <c r="AFK29" s="3"/>
      <c r="AFL29" s="3"/>
      <c r="AFM29" s="1"/>
      <c r="AFN29" s="1"/>
      <c r="AFO29" s="3"/>
      <c r="AFP29" s="3"/>
      <c r="AFQ29" s="3"/>
      <c r="AFR29" s="1"/>
      <c r="AFS29" s="1" t="s">
        <v>289</v>
      </c>
      <c r="AFT29" s="3"/>
      <c r="AFU29" s="3"/>
      <c r="AFV29" s="3"/>
      <c r="AFW29" s="1"/>
      <c r="AFX29" s="1"/>
      <c r="AFY29" s="3"/>
      <c r="AFZ29" s="3"/>
      <c r="AGA29" s="3"/>
      <c r="AGB29" s="1"/>
      <c r="AGI29" s="1" t="s">
        <v>24</v>
      </c>
      <c r="AGJ29" s="3"/>
      <c r="AGK29" s="3"/>
      <c r="AGL29" s="3"/>
      <c r="AGM29" s="1"/>
      <c r="AGN29" s="1"/>
      <c r="AGO29" s="3"/>
      <c r="AGP29" s="3"/>
      <c r="AGQ29" s="3"/>
      <c r="AGR29" s="1"/>
      <c r="AGS29" s="1" t="s">
        <v>289</v>
      </c>
      <c r="AGT29" s="3"/>
      <c r="AGU29" s="3"/>
      <c r="AGV29" s="3"/>
      <c r="AGW29" s="1"/>
      <c r="AGX29" s="1"/>
      <c r="AGY29" s="3"/>
      <c r="AGZ29" s="3"/>
      <c r="AHA29" s="3"/>
      <c r="AHB29" s="1"/>
      <c r="AHI29" s="1" t="s">
        <v>24</v>
      </c>
      <c r="AHJ29" s="3"/>
      <c r="AHK29" s="3"/>
      <c r="AHL29" s="3"/>
      <c r="AHM29" s="1"/>
      <c r="AHN29" s="1"/>
      <c r="AHO29" s="3"/>
      <c r="AHP29" s="3"/>
      <c r="AHQ29" s="3"/>
      <c r="AHR29" s="1"/>
      <c r="AHS29" s="1" t="s">
        <v>289</v>
      </c>
      <c r="AHT29" s="3"/>
      <c r="AHU29" s="3"/>
      <c r="AHV29" s="3"/>
      <c r="AHW29" s="1"/>
      <c r="AHX29" s="1"/>
      <c r="AHY29" s="3"/>
      <c r="AHZ29" s="3"/>
      <c r="AIA29" s="3"/>
      <c r="AIB29" s="1"/>
      <c r="AII29" s="1" t="s">
        <v>24</v>
      </c>
      <c r="AIJ29" s="3"/>
      <c r="AIK29" s="3"/>
      <c r="AIL29" s="3"/>
      <c r="AIM29" s="1"/>
      <c r="AIN29" s="1"/>
      <c r="AIO29" s="3"/>
      <c r="AIP29" s="3"/>
      <c r="AIQ29" s="3"/>
      <c r="AIR29" s="1"/>
      <c r="AIS29" s="1" t="s">
        <v>289</v>
      </c>
      <c r="AIT29" s="3"/>
      <c r="AIU29" s="3"/>
      <c r="AIV29" s="3"/>
      <c r="AIW29" s="1"/>
      <c r="AIX29" s="1"/>
      <c r="AIY29" s="3"/>
      <c r="AIZ29" s="3"/>
      <c r="AJA29" s="3"/>
      <c r="AJB29" s="1"/>
      <c r="AJI29" s="1" t="s">
        <v>24</v>
      </c>
      <c r="AJJ29" s="3"/>
      <c r="AJK29" s="3"/>
      <c r="AJL29" s="3"/>
      <c r="AJM29" s="1"/>
      <c r="AJN29" s="1"/>
      <c r="AJO29" s="3"/>
      <c r="AJP29" s="3"/>
      <c r="AJQ29" s="3"/>
      <c r="AJR29" s="1"/>
      <c r="AJS29" s="1" t="s">
        <v>289</v>
      </c>
      <c r="AJT29" s="3"/>
      <c r="AJU29" s="3"/>
      <c r="AJV29" s="3"/>
      <c r="AJW29" s="1"/>
      <c r="AJX29" s="1"/>
      <c r="AJY29" s="3"/>
      <c r="AJZ29" s="3"/>
      <c r="AKA29" s="3"/>
      <c r="AKB29" s="3"/>
      <c r="AKI29" s="1" t="s">
        <v>24</v>
      </c>
      <c r="AKJ29" s="3"/>
      <c r="AKK29" s="3"/>
      <c r="AKL29" s="3"/>
      <c r="AKM29" s="1"/>
      <c r="AKN29" s="1"/>
      <c r="AKO29" s="3"/>
      <c r="AKP29" s="3"/>
      <c r="AKQ29" s="3"/>
      <c r="AKR29" s="1"/>
      <c r="AKS29" s="1" t="s">
        <v>289</v>
      </c>
      <c r="AKT29" s="3"/>
      <c r="AKU29" s="3"/>
      <c r="AKV29" s="3"/>
      <c r="AKW29" s="3"/>
      <c r="AKX29" s="3"/>
      <c r="AKY29" s="3"/>
      <c r="AKZ29" s="1"/>
      <c r="ALA29" s="3"/>
      <c r="ALB29" s="3"/>
      <c r="ALI29" s="1" t="s">
        <v>24</v>
      </c>
      <c r="ALJ29" s="3"/>
      <c r="ALK29" s="3"/>
      <c r="ALL29" s="3"/>
      <c r="ALM29" s="1"/>
      <c r="ALN29" s="1"/>
      <c r="ALO29" s="3"/>
      <c r="ALP29" s="3"/>
      <c r="ALQ29" s="3"/>
      <c r="ALR29" s="1"/>
      <c r="ALS29" s="1" t="s">
        <v>289</v>
      </c>
      <c r="ALT29" s="3"/>
      <c r="ALU29" s="3"/>
      <c r="ALV29" s="3"/>
      <c r="ALW29" s="1"/>
      <c r="ALX29" s="3"/>
      <c r="ALY29" s="3"/>
      <c r="ALZ29" s="1"/>
      <c r="AMA29" s="3"/>
      <c r="AMB29" s="3"/>
      <c r="AMI29" s="1" t="s">
        <v>24</v>
      </c>
      <c r="AMJ29" s="3"/>
      <c r="AMK29" s="3"/>
      <c r="AML29" s="3"/>
      <c r="AMM29" s="1"/>
      <c r="AMN29" s="1"/>
      <c r="AMO29" s="3"/>
      <c r="AMP29" s="3"/>
      <c r="AMQ29" s="3"/>
      <c r="AMR29" s="1"/>
      <c r="AMS29" s="1"/>
      <c r="AMT29" s="1" t="s">
        <v>289</v>
      </c>
      <c r="AMU29" s="3"/>
      <c r="AMV29" s="3"/>
      <c r="AMW29" s="3"/>
      <c r="AMX29" s="1"/>
      <c r="AMY29" s="3"/>
      <c r="AMZ29" s="3"/>
      <c r="ANA29" s="1"/>
      <c r="ANB29" s="3"/>
      <c r="ANC29" s="1"/>
      <c r="ANJ29" s="1" t="s">
        <v>24</v>
      </c>
      <c r="ANK29" s="3"/>
      <c r="ANL29" s="3"/>
      <c r="ANM29" s="3"/>
      <c r="ANN29" s="1"/>
      <c r="ANO29" s="1"/>
      <c r="ANP29" s="3"/>
      <c r="ANQ29" s="3"/>
      <c r="ANR29" s="3"/>
      <c r="ANS29" s="1"/>
      <c r="ANT29" s="1"/>
      <c r="ANU29" s="1" t="s">
        <v>289</v>
      </c>
      <c r="ANV29" s="3"/>
      <c r="ANW29" s="3"/>
      <c r="ANX29" s="3"/>
      <c r="ANY29" s="1"/>
      <c r="ANZ29" s="3"/>
      <c r="AOA29" s="3"/>
      <c r="AOB29" s="1"/>
      <c r="AOC29" s="3"/>
      <c r="AOD29" s="1"/>
      <c r="AOK29" s="1" t="s">
        <v>24</v>
      </c>
      <c r="AOL29" s="3"/>
      <c r="AOM29" s="3"/>
      <c r="AON29" s="3"/>
      <c r="AOO29" s="1"/>
      <c r="AOP29" s="1"/>
      <c r="AOQ29" s="3"/>
      <c r="AOR29" s="3"/>
      <c r="AOS29" s="3"/>
      <c r="AOT29" s="1"/>
      <c r="AOU29" s="1"/>
      <c r="AOV29" s="1" t="s">
        <v>289</v>
      </c>
      <c r="AOW29" s="3"/>
      <c r="AOX29" s="3"/>
      <c r="AOY29" s="3"/>
      <c r="AOZ29" s="1"/>
      <c r="APA29" s="3"/>
      <c r="APB29" s="3"/>
      <c r="APC29" s="1"/>
      <c r="APD29" s="3"/>
      <c r="APE29" s="1"/>
    </row>
    <row r="30" spans="1:1097" ht="28.35" customHeight="1" x14ac:dyDescent="0.4">
      <c r="G30" s="1" t="s">
        <v>732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W30" s="3"/>
      <c r="X30" s="3"/>
      <c r="Y30" s="3"/>
      <c r="Z30" s="3"/>
      <c r="AG30" s="1" t="s">
        <v>732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G30" s="1" t="s">
        <v>732</v>
      </c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W30" s="3"/>
      <c r="BX30" s="3"/>
      <c r="BY30" s="3"/>
      <c r="BZ30" s="3"/>
      <c r="CG30" s="1" t="s">
        <v>732</v>
      </c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G30" s="1" t="s">
        <v>732</v>
      </c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W30" s="3"/>
      <c r="DX30" s="3"/>
      <c r="DY30" s="3"/>
      <c r="DZ30" s="3"/>
      <c r="EG30" s="1" t="s">
        <v>732</v>
      </c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W30" s="3"/>
      <c r="EX30" s="3"/>
      <c r="EY30" s="3"/>
      <c r="EZ30" s="3"/>
      <c r="FG30" s="1" t="s">
        <v>732</v>
      </c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GG30" s="1" t="s">
        <v>732</v>
      </c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HG30" s="1" t="s">
        <v>732</v>
      </c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IG30" s="1" t="s">
        <v>732</v>
      </c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V30" s="3"/>
      <c r="IW30" s="3"/>
      <c r="IX30" s="3"/>
      <c r="IY30" s="3"/>
      <c r="IZ30" s="3"/>
      <c r="JG30" s="1" t="s">
        <v>732</v>
      </c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G30" s="1" t="s">
        <v>732</v>
      </c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G30" s="1" t="s">
        <v>732</v>
      </c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G30" s="1" t="s">
        <v>732</v>
      </c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G30" s="1" t="s">
        <v>732</v>
      </c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G30" s="1" t="s">
        <v>732</v>
      </c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G30" s="1" t="s">
        <v>732</v>
      </c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G30" s="1" t="s">
        <v>732</v>
      </c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G30" s="1" t="s">
        <v>25</v>
      </c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G30" s="1" t="s">
        <v>25</v>
      </c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G30" s="1" t="s">
        <v>25</v>
      </c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H30" s="1" t="s">
        <v>25</v>
      </c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H30" s="1" t="s">
        <v>25</v>
      </c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H30" s="1" t="s">
        <v>25</v>
      </c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H30" s="1" t="s">
        <v>25</v>
      </c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H30" s="1" t="s">
        <v>25</v>
      </c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H30" s="1" t="s">
        <v>25</v>
      </c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H30" s="1" t="s">
        <v>25</v>
      </c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H30" s="1" t="s">
        <v>25</v>
      </c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H30" s="1" t="s">
        <v>25</v>
      </c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H30" s="1" t="s">
        <v>25</v>
      </c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H30" s="1" t="s">
        <v>25</v>
      </c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I30" s="1" t="s">
        <v>25</v>
      </c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I30" s="1" t="s">
        <v>25</v>
      </c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I30" s="1" t="s">
        <v>25</v>
      </c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I30" s="1" t="s">
        <v>25</v>
      </c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I30" s="1" t="s">
        <v>25</v>
      </c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I30" s="1" t="s">
        <v>25</v>
      </c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I30" s="1" t="s">
        <v>25</v>
      </c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I30" s="1" t="s">
        <v>25</v>
      </c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J30" s="1" t="s">
        <v>25</v>
      </c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K30" s="1" t="s">
        <v>25</v>
      </c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</row>
    <row r="31" spans="1:1097" ht="28.35" customHeight="1" x14ac:dyDescent="0.4">
      <c r="G31" s="1" t="s">
        <v>733</v>
      </c>
      <c r="H31" s="3"/>
      <c r="I31" s="3"/>
      <c r="J31" s="3"/>
      <c r="K31" s="3"/>
      <c r="L31" s="3"/>
      <c r="M31" s="3"/>
      <c r="N31" s="3"/>
      <c r="O31" s="3"/>
      <c r="P31" s="3"/>
      <c r="Q31" s="2" t="s">
        <v>734</v>
      </c>
      <c r="R31" s="3"/>
      <c r="S31" s="3"/>
      <c r="T31" s="3"/>
      <c r="W31" s="3"/>
      <c r="X31" s="3"/>
      <c r="Y31" s="3"/>
      <c r="Z31" s="3"/>
      <c r="AG31" s="1" t="s">
        <v>733</v>
      </c>
      <c r="AH31" s="3"/>
      <c r="AI31" s="3"/>
      <c r="AJ31" s="3"/>
      <c r="AK31" s="3"/>
      <c r="AL31" s="3"/>
      <c r="AM31" s="3"/>
      <c r="AN31" s="3"/>
      <c r="AO31" s="3"/>
      <c r="AP31" s="3"/>
      <c r="AQ31" s="2" t="s">
        <v>734</v>
      </c>
      <c r="AR31" s="3"/>
      <c r="AS31" s="3"/>
      <c r="AT31" s="3"/>
      <c r="AW31" s="3"/>
      <c r="AX31" s="3"/>
      <c r="AY31" s="3"/>
      <c r="BG31" s="1" t="s">
        <v>733</v>
      </c>
      <c r="BH31" s="3"/>
      <c r="BI31" s="3"/>
      <c r="BJ31" s="3"/>
      <c r="BK31" s="3"/>
      <c r="BL31" s="3"/>
      <c r="BM31" s="3"/>
      <c r="BN31" s="3"/>
      <c r="BO31" s="3"/>
      <c r="BP31" s="3"/>
      <c r="BQ31" s="2" t="s">
        <v>734</v>
      </c>
      <c r="BR31" s="3"/>
      <c r="BS31" s="3"/>
      <c r="BT31" s="3"/>
      <c r="BW31" s="3"/>
      <c r="BX31" s="3"/>
      <c r="BY31" s="3"/>
      <c r="BZ31" s="3"/>
      <c r="CG31" s="1" t="s">
        <v>733</v>
      </c>
      <c r="CH31" s="3"/>
      <c r="CI31" s="3"/>
      <c r="CJ31" s="3"/>
      <c r="CK31" s="3"/>
      <c r="CL31" s="3"/>
      <c r="CM31" s="3"/>
      <c r="CN31" s="3"/>
      <c r="CO31" s="3"/>
      <c r="CP31" s="3"/>
      <c r="CQ31" s="2" t="s">
        <v>734</v>
      </c>
      <c r="CR31" s="3"/>
      <c r="CS31" s="3"/>
      <c r="CT31" s="3"/>
      <c r="CW31" s="3"/>
      <c r="CX31" s="3"/>
      <c r="CY31" s="3"/>
      <c r="CZ31" s="3"/>
      <c r="DG31" s="1" t="s">
        <v>733</v>
      </c>
      <c r="DH31" s="3"/>
      <c r="DI31" s="3"/>
      <c r="DJ31" s="3"/>
      <c r="DK31" s="3"/>
      <c r="DL31" s="3"/>
      <c r="DM31" s="3"/>
      <c r="DN31" s="3"/>
      <c r="DO31" s="3"/>
      <c r="DP31" s="3"/>
      <c r="DQ31" s="2" t="s">
        <v>734</v>
      </c>
      <c r="DR31" s="3"/>
      <c r="DS31" s="3"/>
      <c r="DT31" s="3"/>
      <c r="DW31" s="3"/>
      <c r="DX31" s="3"/>
      <c r="DY31" s="3"/>
      <c r="DZ31" s="3"/>
      <c r="EG31" s="1" t="s">
        <v>733</v>
      </c>
      <c r="EH31" s="3"/>
      <c r="EI31" s="3"/>
      <c r="EJ31" s="3"/>
      <c r="EK31" s="3"/>
      <c r="EL31" s="3"/>
      <c r="EM31" s="3"/>
      <c r="EN31" s="3"/>
      <c r="EO31" s="3"/>
      <c r="EP31" s="3"/>
      <c r="EQ31" s="2" t="s">
        <v>734</v>
      </c>
      <c r="ER31" s="3"/>
      <c r="ES31" s="3"/>
      <c r="ET31" s="3"/>
      <c r="EW31" s="3"/>
      <c r="EX31" s="3"/>
      <c r="EY31" s="3"/>
      <c r="FG31" s="1" t="s">
        <v>733</v>
      </c>
      <c r="FH31" s="3"/>
      <c r="FI31" s="3"/>
      <c r="FJ31" s="3"/>
      <c r="FK31" s="3"/>
      <c r="FL31" s="3"/>
      <c r="FM31" s="3"/>
      <c r="FN31" s="3"/>
      <c r="FO31" s="3"/>
      <c r="FP31" s="3"/>
      <c r="FQ31" s="2" t="s">
        <v>735</v>
      </c>
      <c r="FR31" s="3"/>
      <c r="FS31" s="3"/>
      <c r="FT31" s="3"/>
      <c r="FW31" s="3"/>
      <c r="FX31" s="3"/>
      <c r="FY31" s="3"/>
      <c r="GG31" s="1" t="s">
        <v>733</v>
      </c>
      <c r="GH31" s="3"/>
      <c r="GI31" s="3"/>
      <c r="GJ31" s="3"/>
      <c r="GK31" s="3"/>
      <c r="GL31" s="3"/>
      <c r="GM31" s="3"/>
      <c r="GN31" s="3"/>
      <c r="GO31" s="3"/>
      <c r="GP31" s="3"/>
      <c r="GQ31" s="2" t="s">
        <v>735</v>
      </c>
      <c r="GR31" s="3"/>
      <c r="GS31" s="3"/>
      <c r="GT31" s="3"/>
      <c r="GW31" s="3"/>
      <c r="GX31" s="3"/>
      <c r="GY31" s="3"/>
      <c r="HG31" s="1" t="s">
        <v>733</v>
      </c>
      <c r="HH31" s="3"/>
      <c r="HI31" s="3"/>
      <c r="HJ31" s="3"/>
      <c r="HK31" s="3"/>
      <c r="HL31" s="3"/>
      <c r="HM31" s="3"/>
      <c r="HN31" s="3"/>
      <c r="HO31" s="3"/>
      <c r="HP31" s="3"/>
      <c r="HQ31" s="2" t="s">
        <v>735</v>
      </c>
      <c r="HR31" s="3"/>
      <c r="HS31" s="3"/>
      <c r="HT31" s="3"/>
      <c r="HW31" s="3"/>
      <c r="HX31" s="3"/>
      <c r="HY31" s="3"/>
      <c r="IG31" s="1" t="s">
        <v>733</v>
      </c>
      <c r="IH31" s="3"/>
      <c r="II31" s="3"/>
      <c r="IJ31" s="3"/>
      <c r="IK31" s="3"/>
      <c r="IL31" s="3"/>
      <c r="IM31" s="3"/>
      <c r="IN31" s="3"/>
      <c r="IO31" s="3"/>
      <c r="IP31" s="3"/>
      <c r="IQ31" s="2" t="s">
        <v>735</v>
      </c>
      <c r="IR31" s="3"/>
      <c r="IS31" s="3"/>
      <c r="IT31" s="3"/>
      <c r="IW31" s="3"/>
      <c r="IX31" s="3"/>
      <c r="IY31" s="3"/>
      <c r="JG31" s="1" t="s">
        <v>733</v>
      </c>
      <c r="JH31" s="3"/>
      <c r="JI31" s="3"/>
      <c r="JJ31" s="3"/>
      <c r="JK31" s="3"/>
      <c r="JL31" s="3"/>
      <c r="JM31" s="3"/>
      <c r="JN31" s="3"/>
      <c r="JO31" s="3"/>
      <c r="JP31" s="3"/>
      <c r="JQ31" s="2" t="s">
        <v>736</v>
      </c>
      <c r="JR31" s="3"/>
      <c r="JS31" s="3"/>
      <c r="JT31" s="3"/>
      <c r="JW31" s="3"/>
      <c r="JX31" s="3"/>
      <c r="JY31" s="3"/>
      <c r="KG31" s="1" t="s">
        <v>733</v>
      </c>
      <c r="KH31" s="3"/>
      <c r="KI31" s="3"/>
      <c r="KJ31" s="3"/>
      <c r="KK31" s="3"/>
      <c r="KL31" s="3"/>
      <c r="KM31" s="3"/>
      <c r="KN31" s="3"/>
      <c r="KO31" s="3"/>
      <c r="KP31" s="3"/>
      <c r="KQ31" s="2" t="s">
        <v>736</v>
      </c>
      <c r="KR31" s="3"/>
      <c r="KS31" s="3"/>
      <c r="KT31" s="3"/>
      <c r="KW31" s="3"/>
      <c r="KX31" s="3"/>
      <c r="KY31" s="3"/>
      <c r="LG31" s="1" t="s">
        <v>733</v>
      </c>
      <c r="LH31" s="3"/>
      <c r="LI31" s="3"/>
      <c r="LJ31" s="3"/>
      <c r="LK31" s="3"/>
      <c r="LL31" s="3"/>
      <c r="LM31" s="3"/>
      <c r="LN31" s="3"/>
      <c r="LO31" s="3"/>
      <c r="LP31" s="3"/>
      <c r="LQ31" s="2" t="s">
        <v>736</v>
      </c>
      <c r="LR31" s="3"/>
      <c r="LS31" s="3"/>
      <c r="LT31" s="3"/>
      <c r="LW31" s="3"/>
      <c r="LX31" s="3"/>
      <c r="LY31" s="3"/>
      <c r="MG31" s="1" t="s">
        <v>733</v>
      </c>
      <c r="MH31" s="3"/>
      <c r="MI31" s="3"/>
      <c r="MJ31" s="3"/>
      <c r="MK31" s="3"/>
      <c r="ML31" s="3"/>
      <c r="MM31" s="3"/>
      <c r="MN31" s="3"/>
      <c r="MO31" s="3"/>
      <c r="MP31" s="3"/>
      <c r="MQ31" s="2" t="s">
        <v>736</v>
      </c>
      <c r="MR31" s="3"/>
      <c r="MS31" s="3"/>
      <c r="MT31" s="3"/>
      <c r="MU31" s="3"/>
      <c r="MW31" s="3"/>
      <c r="MX31" s="3"/>
      <c r="MY31" s="3"/>
      <c r="NG31" s="1" t="s">
        <v>733</v>
      </c>
      <c r="NH31" s="3"/>
      <c r="NI31" s="3"/>
      <c r="NJ31" s="3"/>
      <c r="NK31" s="3"/>
      <c r="NL31" s="3"/>
      <c r="NM31" s="3"/>
      <c r="NN31" s="3"/>
      <c r="NO31" s="3"/>
      <c r="NP31" s="3"/>
      <c r="NQ31" s="2" t="s">
        <v>736</v>
      </c>
      <c r="NR31" s="3"/>
      <c r="NS31" s="3"/>
      <c r="NT31" s="3"/>
      <c r="NU31" s="3"/>
      <c r="NW31" s="3"/>
      <c r="NX31" s="3"/>
      <c r="NY31" s="3"/>
      <c r="OG31" s="1" t="s">
        <v>733</v>
      </c>
      <c r="OH31" s="3"/>
      <c r="OI31" s="3"/>
      <c r="OJ31" s="3"/>
      <c r="OK31" s="3"/>
      <c r="OL31" s="3"/>
      <c r="OM31" s="3"/>
      <c r="ON31" s="3"/>
      <c r="OO31" s="3"/>
      <c r="OP31" s="3"/>
      <c r="OQ31" s="2" t="s">
        <v>737</v>
      </c>
      <c r="OR31" s="3"/>
      <c r="OS31" s="3"/>
      <c r="OT31" s="3"/>
      <c r="OU31" s="3"/>
      <c r="OW31" s="3"/>
      <c r="OX31" s="3"/>
      <c r="OY31" s="3"/>
      <c r="PG31" s="1" t="s">
        <v>733</v>
      </c>
      <c r="PH31" s="3"/>
      <c r="PI31" s="3"/>
      <c r="PJ31" s="3"/>
      <c r="PK31" s="3"/>
      <c r="PL31" s="3"/>
      <c r="PM31" s="3"/>
      <c r="PN31" s="3"/>
      <c r="PO31" s="3"/>
      <c r="PP31" s="3"/>
      <c r="PQ31" s="2" t="s">
        <v>738</v>
      </c>
      <c r="PR31" s="3"/>
      <c r="PS31" s="3"/>
      <c r="PT31" s="3"/>
      <c r="PW31" s="3"/>
      <c r="PX31" s="3"/>
      <c r="PY31" s="3"/>
      <c r="QG31" s="1" t="s">
        <v>733</v>
      </c>
      <c r="QH31" s="3"/>
      <c r="QI31" s="3"/>
      <c r="QJ31" s="3"/>
      <c r="QK31" s="3"/>
      <c r="QL31" s="3"/>
      <c r="QM31" s="3"/>
      <c r="QN31" s="3"/>
      <c r="QO31" s="3"/>
      <c r="QP31" s="3"/>
      <c r="QQ31" s="2" t="s">
        <v>738</v>
      </c>
      <c r="QR31" s="3"/>
      <c r="QS31" s="3"/>
      <c r="QT31" s="3"/>
      <c r="QV31" s="3"/>
      <c r="QW31" s="3"/>
      <c r="QX31" s="3"/>
      <c r="QY31" s="3"/>
      <c r="RG31" s="1" t="s">
        <v>26</v>
      </c>
      <c r="RH31" s="3"/>
      <c r="RI31" s="3"/>
      <c r="RJ31" s="3"/>
      <c r="RL31" s="3"/>
      <c r="RM31" s="3"/>
      <c r="RN31" s="3"/>
      <c r="RO31" s="3"/>
      <c r="RQ31" s="2" t="s">
        <v>738</v>
      </c>
      <c r="RR31" s="3"/>
      <c r="RS31" s="3"/>
      <c r="RT31" s="3"/>
      <c r="RU31" s="3"/>
      <c r="RW31" s="3"/>
      <c r="RX31" s="3"/>
      <c r="RY31" s="3"/>
      <c r="SG31" s="1" t="s">
        <v>26</v>
      </c>
      <c r="SH31" s="3"/>
      <c r="SI31" s="3"/>
      <c r="SJ31" s="3"/>
      <c r="SL31" s="3"/>
      <c r="SM31" s="3"/>
      <c r="SN31" s="3"/>
      <c r="SO31" s="3"/>
      <c r="SQ31" s="2" t="s">
        <v>739</v>
      </c>
      <c r="SR31" s="3"/>
      <c r="SS31" s="3"/>
      <c r="ST31" s="3"/>
      <c r="SU31" s="3"/>
      <c r="SW31" s="3"/>
      <c r="SX31" s="3"/>
      <c r="SY31" s="3"/>
      <c r="SZ31" s="3"/>
      <c r="TG31" s="1" t="s">
        <v>26</v>
      </c>
      <c r="TH31" s="3"/>
      <c r="TI31" s="3"/>
      <c r="TJ31" s="3"/>
      <c r="TL31" s="3"/>
      <c r="TM31" s="3"/>
      <c r="TN31" s="3"/>
      <c r="TO31" s="3"/>
      <c r="TR31" s="2" t="s">
        <v>739</v>
      </c>
      <c r="TS31" s="3"/>
      <c r="TT31" s="3"/>
      <c r="TU31" s="3"/>
      <c r="TX31" s="3"/>
      <c r="TY31" s="3"/>
      <c r="TZ31" s="3"/>
      <c r="UH31" s="1" t="s">
        <v>26</v>
      </c>
      <c r="UI31" s="3"/>
      <c r="UJ31" s="3"/>
      <c r="UK31" s="3"/>
      <c r="UM31" s="3"/>
      <c r="UN31" s="3"/>
      <c r="UO31" s="3"/>
      <c r="UP31" s="3"/>
      <c r="UR31" s="2" t="s">
        <v>739</v>
      </c>
      <c r="US31" s="3"/>
      <c r="UT31" s="3"/>
      <c r="UU31" s="3"/>
      <c r="UX31" s="3"/>
      <c r="UY31" s="3"/>
      <c r="UZ31" s="3"/>
      <c r="VH31" s="1" t="s">
        <v>26</v>
      </c>
      <c r="VI31" s="3"/>
      <c r="VJ31" s="3"/>
      <c r="VK31" s="3"/>
      <c r="VM31" s="3"/>
      <c r="VN31" s="3"/>
      <c r="VO31" s="3"/>
      <c r="VP31" s="3"/>
      <c r="VR31" s="2" t="s">
        <v>740</v>
      </c>
      <c r="VS31" s="3"/>
      <c r="VT31" s="3"/>
      <c r="VU31" s="3"/>
      <c r="VX31" s="3"/>
      <c r="VY31" s="3"/>
      <c r="VZ31" s="3"/>
      <c r="WH31" s="1" t="s">
        <v>26</v>
      </c>
      <c r="WI31" s="3"/>
      <c r="WJ31" s="3"/>
      <c r="WK31" s="3"/>
      <c r="WM31" s="3"/>
      <c r="WN31" s="3"/>
      <c r="WO31" s="3"/>
      <c r="WP31" s="3"/>
      <c r="WR31" s="2" t="s">
        <v>740</v>
      </c>
      <c r="WS31" s="3"/>
      <c r="WT31" s="3"/>
      <c r="WU31" s="3"/>
      <c r="WX31" s="3"/>
      <c r="WY31" s="3"/>
      <c r="WZ31" s="3"/>
      <c r="XH31" s="1" t="s">
        <v>26</v>
      </c>
      <c r="XI31" s="3"/>
      <c r="XJ31" s="3"/>
      <c r="XK31" s="3"/>
      <c r="XM31" s="3"/>
      <c r="XN31" s="3"/>
      <c r="XO31" s="3"/>
      <c r="XP31" s="3"/>
      <c r="XR31" s="2" t="s">
        <v>740</v>
      </c>
      <c r="XS31" s="3"/>
      <c r="XT31" s="3"/>
      <c r="XU31" s="3"/>
      <c r="XX31" s="3"/>
      <c r="XY31" s="3"/>
      <c r="XZ31" s="3"/>
      <c r="YH31" s="1" t="s">
        <v>26</v>
      </c>
      <c r="YI31" s="3"/>
      <c r="YJ31" s="3"/>
      <c r="YK31" s="3"/>
      <c r="YM31" s="3"/>
      <c r="YN31" s="3"/>
      <c r="YO31" s="3"/>
      <c r="YP31" s="3"/>
      <c r="YR31" s="2" t="s">
        <v>740</v>
      </c>
      <c r="YS31" s="3"/>
      <c r="YT31" s="3"/>
      <c r="YU31" s="3"/>
      <c r="YX31" s="3"/>
      <c r="YY31" s="3"/>
      <c r="YZ31" s="3"/>
      <c r="ZH31" s="1" t="s">
        <v>26</v>
      </c>
      <c r="ZI31" s="3"/>
      <c r="ZJ31" s="3"/>
      <c r="ZK31" s="3"/>
      <c r="ZM31" s="3"/>
      <c r="ZN31" s="3"/>
      <c r="ZO31" s="3"/>
      <c r="ZP31" s="3"/>
      <c r="ZR31" s="2" t="s">
        <v>740</v>
      </c>
      <c r="ZS31" s="3"/>
      <c r="ZT31" s="3"/>
      <c r="ZU31" s="3"/>
      <c r="ZX31" s="3"/>
      <c r="ZY31" s="3"/>
      <c r="ZZ31" s="3"/>
      <c r="AAH31" s="1" t="s">
        <v>26</v>
      </c>
      <c r="AAI31" s="3"/>
      <c r="AAJ31" s="3"/>
      <c r="AAK31" s="3"/>
      <c r="AAM31" s="3"/>
      <c r="AAN31" s="3"/>
      <c r="AAO31" s="3"/>
      <c r="AAP31" s="3"/>
      <c r="AAR31" s="2" t="s">
        <v>740</v>
      </c>
      <c r="AAS31" s="3"/>
      <c r="AAT31" s="3"/>
      <c r="AAU31" s="3"/>
      <c r="AAX31" s="3"/>
      <c r="AAY31" s="3"/>
      <c r="AAZ31" s="3"/>
      <c r="ABH31" s="1" t="s">
        <v>26</v>
      </c>
      <c r="ABI31" s="3"/>
      <c r="ABJ31" s="3"/>
      <c r="ABK31" s="3"/>
      <c r="ABM31" s="3"/>
      <c r="ABN31" s="3"/>
      <c r="ABO31" s="3"/>
      <c r="ABP31" s="3"/>
      <c r="ABR31" s="2" t="s">
        <v>740</v>
      </c>
      <c r="ABS31" s="3"/>
      <c r="ABT31" s="3"/>
      <c r="ABU31" s="3"/>
      <c r="ABX31" s="3"/>
      <c r="ABY31" s="3"/>
      <c r="ABZ31" s="3"/>
      <c r="ACH31" s="1" t="s">
        <v>26</v>
      </c>
      <c r="ACI31" s="3"/>
      <c r="ACJ31" s="3"/>
      <c r="ACK31" s="3"/>
      <c r="ACM31" s="3"/>
      <c r="ACN31" s="3"/>
      <c r="ACO31" s="3"/>
      <c r="ACP31" s="3"/>
      <c r="ACR31" s="2" t="s">
        <v>741</v>
      </c>
      <c r="ACS31" s="3"/>
      <c r="ACT31" s="3"/>
      <c r="ACU31" s="3"/>
      <c r="ACX31" s="3"/>
      <c r="ACY31" s="3"/>
      <c r="ACZ31" s="3"/>
      <c r="ADH31" s="1" t="s">
        <v>26</v>
      </c>
      <c r="ADI31" s="3"/>
      <c r="ADJ31" s="3"/>
      <c r="ADK31" s="3"/>
      <c r="ADM31" s="3"/>
      <c r="ADN31" s="3"/>
      <c r="ADO31" s="3"/>
      <c r="ADP31" s="3"/>
      <c r="ADR31" s="2" t="s">
        <v>741</v>
      </c>
      <c r="ADS31" s="3"/>
      <c r="ADT31" s="3"/>
      <c r="ADU31" s="3"/>
      <c r="ADX31" s="3"/>
      <c r="ADY31" s="3"/>
      <c r="ADZ31" s="3"/>
      <c r="AEH31" s="1" t="s">
        <v>26</v>
      </c>
      <c r="AEI31" s="3"/>
      <c r="AEJ31" s="3"/>
      <c r="AEK31" s="3"/>
      <c r="AEM31" s="3"/>
      <c r="AEN31" s="3"/>
      <c r="AEO31" s="3"/>
      <c r="AEP31" s="3"/>
      <c r="AES31" s="2" t="s">
        <v>741</v>
      </c>
      <c r="AET31" s="3"/>
      <c r="AEU31" s="3"/>
      <c r="AEV31" s="3"/>
      <c r="AEY31" s="3"/>
      <c r="AEZ31" s="3"/>
      <c r="AFA31" s="3"/>
      <c r="AFI31" s="1" t="s">
        <v>26</v>
      </c>
      <c r="AFJ31" s="3"/>
      <c r="AFK31" s="3"/>
      <c r="AFL31" s="3"/>
      <c r="AFN31" s="3"/>
      <c r="AFO31" s="3"/>
      <c r="AFP31" s="3"/>
      <c r="AFQ31" s="3"/>
      <c r="AFS31" s="2" t="s">
        <v>742</v>
      </c>
      <c r="AFT31" s="3"/>
      <c r="AFU31" s="3"/>
      <c r="AFV31" s="3"/>
      <c r="AFY31" s="3"/>
      <c r="AFZ31" s="3"/>
      <c r="AGA31" s="3"/>
      <c r="AGI31" s="1" t="s">
        <v>26</v>
      </c>
      <c r="AGJ31" s="3"/>
      <c r="AGK31" s="3"/>
      <c r="AGL31" s="3"/>
      <c r="AGN31" s="3"/>
      <c r="AGO31" s="3"/>
      <c r="AGP31" s="3"/>
      <c r="AGQ31" s="3"/>
      <c r="AGS31" s="2" t="s">
        <v>742</v>
      </c>
      <c r="AGT31" s="3"/>
      <c r="AGU31" s="3"/>
      <c r="AGV31" s="3"/>
      <c r="AGY31" s="3"/>
      <c r="AGZ31" s="3"/>
      <c r="AHA31" s="3"/>
      <c r="AHI31" s="1" t="s">
        <v>26</v>
      </c>
      <c r="AHJ31" s="3"/>
      <c r="AHK31" s="3"/>
      <c r="AHL31" s="3"/>
      <c r="AHN31" s="3"/>
      <c r="AHO31" s="3"/>
      <c r="AHP31" s="3"/>
      <c r="AHQ31" s="3"/>
      <c r="AHS31" s="2" t="s">
        <v>743</v>
      </c>
      <c r="AHT31" s="3"/>
      <c r="AHU31" s="3"/>
      <c r="AHV31" s="3"/>
      <c r="AHY31" s="3"/>
      <c r="AHZ31" s="3"/>
      <c r="AIA31" s="3"/>
      <c r="AII31" s="1" t="s">
        <v>26</v>
      </c>
      <c r="AIJ31" s="3"/>
      <c r="AIK31" s="3"/>
      <c r="AIL31" s="3"/>
      <c r="AIN31" s="3"/>
      <c r="AIO31" s="3"/>
      <c r="AIP31" s="3"/>
      <c r="AIQ31" s="3"/>
      <c r="AIS31" s="2" t="s">
        <v>743</v>
      </c>
      <c r="AIT31" s="3"/>
      <c r="AIU31" s="3"/>
      <c r="AIV31" s="3"/>
      <c r="AIY31" s="3"/>
      <c r="AIZ31" s="3"/>
      <c r="AJA31" s="3"/>
      <c r="AJI31" s="1" t="s">
        <v>26</v>
      </c>
      <c r="AJJ31" s="3"/>
      <c r="AJK31" s="3"/>
      <c r="AJL31" s="3"/>
      <c r="AJN31" s="3"/>
      <c r="AJO31" s="3"/>
      <c r="AJP31" s="3"/>
      <c r="AJQ31" s="3"/>
      <c r="AJS31" s="2" t="s">
        <v>743</v>
      </c>
      <c r="AJT31" s="3"/>
      <c r="AJU31" s="3"/>
      <c r="AJV31" s="3"/>
      <c r="AJY31" s="3"/>
      <c r="AJZ31" s="3"/>
      <c r="AKA31" s="3"/>
      <c r="AKB31" s="3"/>
      <c r="AKI31" s="1" t="s">
        <v>26</v>
      </c>
      <c r="AKJ31" s="3"/>
      <c r="AKK31" s="3"/>
      <c r="AKL31" s="3"/>
      <c r="AKN31" s="3"/>
      <c r="AKO31" s="3"/>
      <c r="AKP31" s="3"/>
      <c r="AKQ31" s="3"/>
      <c r="AKS31" s="2" t="s">
        <v>744</v>
      </c>
      <c r="AKT31" s="3"/>
      <c r="AKU31" s="3"/>
      <c r="AKV31" s="3"/>
      <c r="AKW31" s="3"/>
      <c r="AKX31" s="3"/>
      <c r="AKY31" s="3"/>
      <c r="ALA31" s="3"/>
      <c r="ALB31" s="3"/>
      <c r="ALI31" s="1" t="s">
        <v>26</v>
      </c>
      <c r="ALJ31" s="3"/>
      <c r="ALK31" s="3"/>
      <c r="ALL31" s="3"/>
      <c r="ALN31" s="3"/>
      <c r="ALO31" s="3"/>
      <c r="ALP31" s="3"/>
      <c r="ALQ31" s="3"/>
      <c r="ALS31" s="2" t="s">
        <v>744</v>
      </c>
      <c r="ALT31" s="3"/>
      <c r="ALU31" s="3"/>
      <c r="ALV31" s="3"/>
      <c r="ALX31" s="3"/>
      <c r="ALY31" s="3"/>
      <c r="AMA31" s="3"/>
      <c r="AMB31" s="3"/>
      <c r="AMI31" s="1" t="s">
        <v>26</v>
      </c>
      <c r="AMJ31" s="3"/>
      <c r="AMK31" s="3"/>
      <c r="AML31" s="3"/>
      <c r="AMN31" s="3"/>
      <c r="AMO31" s="3"/>
      <c r="AMP31" s="3"/>
      <c r="AMQ31" s="3"/>
      <c r="AMT31" s="2" t="s">
        <v>744</v>
      </c>
      <c r="AMU31" s="3"/>
      <c r="AMV31" s="3"/>
      <c r="AMW31" s="3"/>
      <c r="AMY31" s="3"/>
      <c r="AMZ31" s="3"/>
      <c r="ANB31" s="3"/>
      <c r="ANJ31" s="1" t="s">
        <v>26</v>
      </c>
      <c r="ANK31" s="3"/>
      <c r="ANL31" s="3"/>
      <c r="ANM31" s="3"/>
      <c r="ANO31" s="3"/>
      <c r="ANP31" s="3"/>
      <c r="ANQ31" s="3"/>
      <c r="ANR31" s="3"/>
      <c r="ANU31" s="2" t="s">
        <v>744</v>
      </c>
      <c r="ANV31" s="3"/>
      <c r="ANW31" s="3"/>
      <c r="ANX31" s="3"/>
      <c r="ANZ31" s="3"/>
      <c r="AOA31" s="3"/>
      <c r="AOC31" s="3"/>
      <c r="AOK31" s="1" t="s">
        <v>26</v>
      </c>
      <c r="AOL31" s="3"/>
      <c r="AOM31" s="3"/>
      <c r="AON31" s="3"/>
      <c r="AOP31" s="3"/>
      <c r="AOQ31" s="3"/>
      <c r="AOR31" s="3"/>
      <c r="AOS31" s="3"/>
      <c r="AOV31" s="2" t="s">
        <v>744</v>
      </c>
      <c r="AOW31" s="3"/>
      <c r="AOX31" s="3"/>
      <c r="AOY31" s="3"/>
      <c r="APA31" s="3"/>
      <c r="APB31" s="3"/>
      <c r="APD31" s="3"/>
    </row>
    <row r="32" spans="1:1097" ht="28.35" customHeight="1" x14ac:dyDescent="0.4">
      <c r="G32" s="1" t="s">
        <v>745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G32" s="1" t="s">
        <v>745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G32" s="1" t="s">
        <v>745</v>
      </c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G32" s="1" t="s">
        <v>745</v>
      </c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G32" s="1" t="s">
        <v>745</v>
      </c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G32" s="1" t="s">
        <v>745</v>
      </c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G32" s="1" t="s">
        <v>745</v>
      </c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G32" s="1" t="s">
        <v>745</v>
      </c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G32" s="1" t="s">
        <v>745</v>
      </c>
      <c r="HH32" s="3"/>
      <c r="HI32" s="3"/>
      <c r="HJ32" s="3"/>
      <c r="HK32" s="3"/>
      <c r="HL32" s="3"/>
      <c r="HM32" s="3"/>
      <c r="HN32" s="3"/>
      <c r="HO32" s="3"/>
      <c r="HP32" s="3"/>
      <c r="HR32" s="3"/>
      <c r="HS32" s="3"/>
      <c r="HT32" s="3"/>
      <c r="HU32" s="3"/>
      <c r="HV32" s="3"/>
      <c r="HW32" s="3"/>
      <c r="HX32" s="3"/>
      <c r="HY32" s="3"/>
      <c r="HZ32" s="3"/>
      <c r="IG32" s="1" t="s">
        <v>745</v>
      </c>
      <c r="IH32" s="3"/>
      <c r="II32" s="3"/>
      <c r="IJ32" s="3"/>
      <c r="IK32" s="3"/>
      <c r="IL32" s="3"/>
      <c r="IM32" s="3"/>
      <c r="IN32" s="3"/>
      <c r="IO32" s="3"/>
      <c r="IP32" s="3"/>
      <c r="IR32" s="3"/>
      <c r="IS32" s="3"/>
      <c r="IT32" s="3"/>
      <c r="IU32" s="3"/>
      <c r="IV32" s="3"/>
      <c r="IW32" s="3"/>
      <c r="IX32" s="3"/>
      <c r="IY32" s="3"/>
      <c r="IZ32" s="3"/>
      <c r="JG32" s="1" t="s">
        <v>745</v>
      </c>
      <c r="JH32" s="3"/>
      <c r="JI32" s="3"/>
      <c r="JJ32" s="3"/>
      <c r="JK32" s="3"/>
      <c r="JL32" s="3"/>
      <c r="JM32" s="3"/>
      <c r="JN32" s="3"/>
      <c r="JO32" s="3"/>
      <c r="JP32" s="3"/>
      <c r="JR32" s="3"/>
      <c r="JS32" s="3"/>
      <c r="JT32" s="3"/>
      <c r="JU32" s="3"/>
      <c r="JV32" s="3"/>
      <c r="JW32" s="3"/>
      <c r="JX32" s="3"/>
      <c r="JY32" s="3"/>
      <c r="JZ32" s="3"/>
      <c r="KG32" s="1" t="s">
        <v>745</v>
      </c>
      <c r="KH32" s="3"/>
      <c r="KI32" s="3"/>
      <c r="KJ32" s="3"/>
      <c r="KK32" s="3"/>
      <c r="KL32" s="3"/>
      <c r="KM32" s="3"/>
      <c r="KN32" s="3"/>
      <c r="KO32" s="3"/>
      <c r="KP32" s="3"/>
      <c r="KR32" s="3"/>
      <c r="KS32" s="3"/>
      <c r="KT32" s="3"/>
      <c r="KV32" s="3"/>
      <c r="KW32" s="3"/>
      <c r="KX32" s="3"/>
      <c r="KY32" s="3"/>
      <c r="KZ32" s="3"/>
      <c r="LG32" s="1" t="s">
        <v>745</v>
      </c>
      <c r="LH32" s="3"/>
      <c r="LI32" s="3"/>
      <c r="LJ32" s="3"/>
      <c r="LK32" s="3"/>
      <c r="LL32" s="3"/>
      <c r="LM32" s="3"/>
      <c r="LN32" s="3"/>
      <c r="LO32" s="3"/>
      <c r="LP32" s="3"/>
      <c r="LR32" s="3"/>
      <c r="LS32" s="3"/>
      <c r="LT32" s="3"/>
      <c r="LV32" s="3"/>
      <c r="LW32" s="3"/>
      <c r="LX32" s="3"/>
      <c r="LY32" s="3"/>
      <c r="LZ32" s="3"/>
      <c r="MG32" s="1" t="s">
        <v>745</v>
      </c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W32" s="3"/>
      <c r="MX32" s="3"/>
      <c r="MY32" s="3"/>
      <c r="NG32" s="1" t="s">
        <v>745</v>
      </c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W32" s="3"/>
      <c r="NX32" s="3"/>
      <c r="NY32" s="3"/>
      <c r="OG32" s="1" t="s">
        <v>745</v>
      </c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W32" s="3"/>
      <c r="OX32" s="3"/>
      <c r="OY32" s="3"/>
      <c r="PG32" s="1" t="s">
        <v>745</v>
      </c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W32" s="3"/>
      <c r="PX32" s="3"/>
      <c r="PY32" s="3"/>
      <c r="QG32" s="1" t="s">
        <v>745</v>
      </c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G32" s="1" t="s">
        <v>290</v>
      </c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G32" s="1" t="s">
        <v>290</v>
      </c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G32" s="1" t="s">
        <v>290</v>
      </c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H32" s="1" t="s">
        <v>290</v>
      </c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H32" s="1" t="s">
        <v>290</v>
      </c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H32" s="1" t="s">
        <v>290</v>
      </c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H32" s="1" t="s">
        <v>290</v>
      </c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H32" s="1" t="s">
        <v>290</v>
      </c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H32" s="1" t="s">
        <v>290</v>
      </c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H32" s="1" t="s">
        <v>290</v>
      </c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H32" s="1" t="s">
        <v>290</v>
      </c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H32" s="1" t="s">
        <v>290</v>
      </c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H32" s="1" t="s">
        <v>290</v>
      </c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H32" s="1" t="s">
        <v>290</v>
      </c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I32" s="1" t="s">
        <v>290</v>
      </c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I32" s="1" t="s">
        <v>290</v>
      </c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I32" s="1" t="s">
        <v>290</v>
      </c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I32" s="1" t="s">
        <v>290</v>
      </c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I32" s="1" t="s">
        <v>290</v>
      </c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I32" s="1" t="s">
        <v>290</v>
      </c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I32" s="1" t="s">
        <v>290</v>
      </c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I32" s="1" t="s">
        <v>290</v>
      </c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J32" s="1" t="s">
        <v>290</v>
      </c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K32" s="1" t="s">
        <v>290</v>
      </c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</row>
    <row r="33" spans="2:1097" ht="28.35" customHeight="1" x14ac:dyDescent="0.4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G33" s="1" t="s">
        <v>515</v>
      </c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G33" s="1" t="s">
        <v>515</v>
      </c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G33" s="1" t="s">
        <v>515</v>
      </c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H33" s="1" t="s">
        <v>515</v>
      </c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H33" s="1" t="s">
        <v>515</v>
      </c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H33" s="1" t="s">
        <v>515</v>
      </c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H33" s="1" t="s">
        <v>515</v>
      </c>
      <c r="XI33" s="3"/>
      <c r="XJ33" s="3"/>
      <c r="XK33" s="3"/>
      <c r="XL33" s="3"/>
      <c r="XM33" s="3"/>
      <c r="XN33" s="3"/>
      <c r="XO33" s="3"/>
      <c r="XP33" s="3"/>
      <c r="XQ33" s="3"/>
      <c r="XR33" s="1" t="s">
        <v>746</v>
      </c>
      <c r="XS33" s="3"/>
      <c r="XT33" s="3"/>
      <c r="XU33" s="3"/>
      <c r="XV33" s="3"/>
      <c r="XW33" s="3"/>
      <c r="XX33" s="3"/>
      <c r="XY33" s="3"/>
      <c r="XZ33" s="3"/>
      <c r="YA33" s="3"/>
      <c r="YH33" s="1" t="s">
        <v>515</v>
      </c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H33" s="1" t="s">
        <v>515</v>
      </c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H33" s="1" t="s">
        <v>515</v>
      </c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H33" s="1" t="s">
        <v>515</v>
      </c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H33" s="1" t="s">
        <v>515</v>
      </c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H33" s="1" t="s">
        <v>515</v>
      </c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H33" s="1" t="s">
        <v>515</v>
      </c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I33" s="1" t="s">
        <v>515</v>
      </c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I33" s="1" t="s">
        <v>515</v>
      </c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I33" s="1" t="s">
        <v>515</v>
      </c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I33" s="1" t="s">
        <v>515</v>
      </c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I33" s="1" t="s">
        <v>515</v>
      </c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I33" s="1" t="s">
        <v>515</v>
      </c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I33" s="1" t="s">
        <v>515</v>
      </c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I33" s="1" t="s">
        <v>515</v>
      </c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J33" s="1" t="s">
        <v>515</v>
      </c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K33" s="1" t="s">
        <v>515</v>
      </c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</row>
    <row r="34" spans="2:1097" ht="28.35" customHeight="1" x14ac:dyDescent="0.4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G34" s="2" t="s">
        <v>745</v>
      </c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G34" s="2" t="s">
        <v>745</v>
      </c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G34" s="2" t="s">
        <v>745</v>
      </c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H34" s="2" t="s">
        <v>745</v>
      </c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H34" s="2" t="s">
        <v>745</v>
      </c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H34" s="2" t="s">
        <v>745</v>
      </c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H34" s="2" t="s">
        <v>745</v>
      </c>
      <c r="XI34" s="3"/>
      <c r="XJ34" s="3"/>
      <c r="XK34" s="3"/>
      <c r="XL34" s="3"/>
      <c r="XM34" s="3"/>
      <c r="XN34" s="3"/>
      <c r="XO34" s="3"/>
      <c r="XP34" s="3"/>
      <c r="XQ34" s="3"/>
      <c r="XR34" s="1" t="s">
        <v>747</v>
      </c>
      <c r="XS34" s="3"/>
      <c r="XT34" s="3"/>
      <c r="XU34" s="3"/>
      <c r="XV34" s="3"/>
      <c r="XW34" s="3"/>
      <c r="XX34" s="3"/>
      <c r="XY34" s="3"/>
      <c r="XZ34" s="3"/>
      <c r="YA34" s="3"/>
      <c r="YH34" s="2" t="s">
        <v>745</v>
      </c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H34" s="2" t="s">
        <v>745</v>
      </c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H34" s="2" t="s">
        <v>745</v>
      </c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H34" s="2" t="s">
        <v>745</v>
      </c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H34" s="2" t="s">
        <v>745</v>
      </c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H34" s="2" t="s">
        <v>745</v>
      </c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H34" s="2" t="s">
        <v>745</v>
      </c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I34" s="2" t="s">
        <v>745</v>
      </c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I34" s="2" t="s">
        <v>745</v>
      </c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I34" s="2" t="s">
        <v>745</v>
      </c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I34" s="2" t="s">
        <v>745</v>
      </c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I34" s="2" t="s">
        <v>745</v>
      </c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I34" s="2" t="s">
        <v>745</v>
      </c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I34" s="2" t="s">
        <v>745</v>
      </c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I34" s="2" t="s">
        <v>745</v>
      </c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J34" s="2" t="s">
        <v>745</v>
      </c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K34" s="2" t="s">
        <v>745</v>
      </c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</row>
    <row r="35" spans="2:1097" ht="28.35" customHeight="1" x14ac:dyDescent="0.4">
      <c r="G35" s="1"/>
      <c r="K35" s="3"/>
      <c r="L35" s="3"/>
      <c r="M35" s="3"/>
      <c r="N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G35" s="1"/>
      <c r="AK35" s="3"/>
      <c r="AL35" s="3"/>
      <c r="AM35" s="3"/>
      <c r="AN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G35" s="1"/>
      <c r="BK35" s="3"/>
      <c r="BL35" s="3"/>
      <c r="BM35" s="3"/>
      <c r="BN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G35" s="1"/>
      <c r="CK35" s="3"/>
      <c r="CL35" s="3"/>
      <c r="CM35" s="3"/>
      <c r="CN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G35" s="1"/>
      <c r="DK35" s="3"/>
      <c r="DL35" s="3"/>
      <c r="DM35" s="3"/>
      <c r="DN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G35" s="1"/>
      <c r="EK35" s="3"/>
      <c r="EL35" s="3"/>
      <c r="EM35" s="3"/>
      <c r="EN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G35" s="1"/>
      <c r="FK35" s="3"/>
      <c r="FL35" s="3"/>
      <c r="FM35" s="3"/>
      <c r="FN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G35" s="1"/>
      <c r="GK35" s="3"/>
      <c r="GL35" s="3"/>
      <c r="GM35" s="3"/>
      <c r="GN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G35" s="1"/>
      <c r="HK35" s="3"/>
      <c r="HL35" s="3"/>
      <c r="HM35" s="3"/>
      <c r="HN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G35" s="1"/>
      <c r="IK35" s="3"/>
      <c r="IL35" s="3"/>
      <c r="IM35" s="3"/>
      <c r="IN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G35" s="1"/>
      <c r="JK35" s="3"/>
      <c r="JL35" s="3"/>
      <c r="JM35" s="3"/>
      <c r="JN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G35" s="1"/>
      <c r="KK35" s="3"/>
      <c r="KL35" s="3"/>
      <c r="KM35" s="3"/>
      <c r="KN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G35" s="1"/>
      <c r="LK35" s="3"/>
      <c r="LL35" s="3"/>
      <c r="LM35" s="3"/>
      <c r="LN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G35" s="1"/>
      <c r="MK35" s="3"/>
      <c r="ML35" s="3"/>
      <c r="MM35" s="3"/>
      <c r="MN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G35" s="1"/>
      <c r="NK35" s="3"/>
      <c r="NL35" s="3"/>
      <c r="NM35" s="3"/>
      <c r="NN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G35" s="1"/>
      <c r="OK35" s="3"/>
      <c r="OL35" s="3"/>
      <c r="OM35" s="3"/>
      <c r="ON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G35" s="1"/>
      <c r="PK35" s="3"/>
      <c r="PL35" s="3"/>
      <c r="PM35" s="3"/>
      <c r="PN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G35" s="1"/>
      <c r="QK35" s="3"/>
      <c r="QL35" s="3"/>
      <c r="QM35" s="3"/>
      <c r="QN35" s="3"/>
      <c r="QP35" s="3"/>
      <c r="QQ35" s="3"/>
      <c r="QR35" s="3"/>
      <c r="QS35" s="3"/>
      <c r="QT35" s="3"/>
      <c r="QU35" s="3"/>
      <c r="QV35" s="3"/>
      <c r="QW35" s="3"/>
      <c r="QX35" s="3"/>
      <c r="QZ35" s="3"/>
      <c r="RG35" s="1"/>
      <c r="RK35" s="3"/>
      <c r="RL35" s="3"/>
      <c r="RM35" s="3"/>
      <c r="RN35" s="3"/>
      <c r="RP35" s="3"/>
      <c r="RQ35" s="3"/>
      <c r="RR35" s="3"/>
      <c r="RS35" s="3"/>
      <c r="RU35" s="3"/>
      <c r="RV35" s="3"/>
      <c r="RW35" s="3"/>
      <c r="RX35" s="3"/>
      <c r="RY35" s="3"/>
      <c r="RZ35" s="3"/>
      <c r="SG35" s="1"/>
      <c r="SK35" s="3"/>
      <c r="SL35" s="3"/>
      <c r="SM35" s="3"/>
      <c r="SN35" s="3"/>
      <c r="SP35" s="3"/>
      <c r="SQ35" s="3"/>
      <c r="SR35" s="3"/>
      <c r="SS35" s="3"/>
      <c r="SU35" s="3"/>
      <c r="SV35" s="3"/>
      <c r="SW35" s="3"/>
      <c r="SX35" s="3"/>
      <c r="SY35" s="3"/>
      <c r="SZ35" s="3"/>
      <c r="TG35" s="1"/>
      <c r="TK35" s="3"/>
      <c r="TL35" s="3"/>
      <c r="TM35" s="3"/>
      <c r="TN35" s="3"/>
      <c r="TP35" s="3"/>
      <c r="TQ35" s="3"/>
      <c r="TR35" s="3"/>
      <c r="TS35" s="3"/>
      <c r="TT35" s="3"/>
      <c r="TV35" s="3"/>
      <c r="TW35" s="3"/>
      <c r="TX35" s="3"/>
      <c r="TY35" s="3"/>
      <c r="UA35" s="3"/>
      <c r="UH35" s="1"/>
      <c r="UL35" s="3"/>
      <c r="UM35" s="3"/>
      <c r="UN35" s="3"/>
      <c r="UO35" s="3"/>
      <c r="UQ35" s="3"/>
      <c r="UR35" s="3"/>
      <c r="US35" s="3"/>
      <c r="UT35" s="3"/>
      <c r="UV35" s="3"/>
      <c r="UW35" s="3"/>
      <c r="UX35" s="3"/>
      <c r="UY35" s="3"/>
      <c r="VA35" s="3"/>
      <c r="VH35" s="1"/>
      <c r="VL35" s="3"/>
      <c r="VM35" s="3"/>
      <c r="VN35" s="3"/>
      <c r="VO35" s="3"/>
      <c r="VQ35" s="3"/>
      <c r="VR35" s="3"/>
      <c r="VS35" s="3"/>
      <c r="VT35" s="3"/>
      <c r="VV35" s="3"/>
      <c r="VW35" s="3"/>
      <c r="VX35" s="3"/>
      <c r="VY35" s="3"/>
      <c r="WA35" s="3"/>
      <c r="WH35" s="1"/>
      <c r="WL35" s="3"/>
      <c r="WM35" s="3"/>
      <c r="WN35" s="3"/>
      <c r="WO35" s="3"/>
      <c r="WQ35" s="3"/>
      <c r="WR35" s="3"/>
      <c r="WS35" s="3"/>
      <c r="WT35" s="3"/>
      <c r="WV35" s="3"/>
      <c r="WW35" s="3"/>
      <c r="WX35" s="3"/>
      <c r="WY35" s="3"/>
      <c r="XA35" s="3"/>
      <c r="XH35" s="1"/>
      <c r="XL35" s="3"/>
      <c r="XM35" s="3"/>
      <c r="XN35" s="3"/>
      <c r="XO35" s="3"/>
      <c r="XQ35" s="3"/>
      <c r="XR35" s="3"/>
      <c r="XS35" s="3"/>
      <c r="XT35" s="3"/>
      <c r="XV35" s="3"/>
      <c r="XW35" s="3"/>
      <c r="XX35" s="3"/>
      <c r="XY35" s="3"/>
      <c r="YA35" s="3"/>
      <c r="YH35" s="1"/>
      <c r="YL35" s="3"/>
      <c r="YM35" s="3"/>
      <c r="YN35" s="3"/>
      <c r="YO35" s="3"/>
      <c r="YQ35" s="3"/>
      <c r="YR35" s="3"/>
      <c r="YS35" s="3"/>
      <c r="YT35" s="3"/>
      <c r="YV35" s="3"/>
      <c r="YW35" s="3"/>
      <c r="YX35" s="3"/>
      <c r="YY35" s="3"/>
      <c r="ZA35" s="3"/>
      <c r="ZH35" s="1"/>
      <c r="ZL35" s="3"/>
      <c r="ZM35" s="3"/>
      <c r="ZN35" s="3"/>
      <c r="ZO35" s="3"/>
      <c r="ZQ35" s="3"/>
      <c r="ZR35" s="3"/>
      <c r="ZS35" s="3"/>
      <c r="ZT35" s="3"/>
      <c r="ZV35" s="3"/>
      <c r="ZW35" s="3"/>
      <c r="ZX35" s="3"/>
      <c r="ZY35" s="3"/>
      <c r="AAA35" s="3"/>
      <c r="AAH35" s="1"/>
      <c r="AAL35" s="3"/>
      <c r="AAM35" s="3"/>
      <c r="AAN35" s="3"/>
      <c r="AAO35" s="3"/>
      <c r="AAQ35" s="3"/>
      <c r="AAR35" s="3"/>
      <c r="AAS35" s="3"/>
      <c r="AAT35" s="3"/>
      <c r="AAV35" s="3"/>
      <c r="AAW35" s="3"/>
      <c r="AAX35" s="3"/>
      <c r="AAY35" s="3"/>
      <c r="ABA35" s="3"/>
      <c r="ABH35" s="1"/>
      <c r="ABL35" s="3"/>
      <c r="ABM35" s="3"/>
      <c r="ABN35" s="3"/>
      <c r="ABO35" s="3"/>
      <c r="ABQ35" s="3"/>
      <c r="ABR35" s="3"/>
      <c r="ABS35" s="3"/>
      <c r="ABT35" s="3"/>
      <c r="ABV35" s="3"/>
      <c r="ABW35" s="3"/>
      <c r="ABX35" s="3"/>
      <c r="ABY35" s="3"/>
      <c r="ACA35" s="3"/>
      <c r="ACH35" s="1"/>
      <c r="ACL35" s="3"/>
      <c r="ACM35" s="3"/>
      <c r="ACN35" s="3"/>
      <c r="ACO35" s="3"/>
      <c r="ACQ35" s="3"/>
      <c r="ACR35" s="3"/>
      <c r="ACS35" s="3"/>
      <c r="ACT35" s="3"/>
      <c r="ACV35" s="3"/>
      <c r="ACW35" s="3"/>
      <c r="ACX35" s="3"/>
      <c r="ACY35" s="3"/>
      <c r="ADA35" s="3"/>
      <c r="ADH35" s="1"/>
      <c r="ADL35" s="3"/>
      <c r="ADM35" s="3"/>
      <c r="ADN35" s="3"/>
      <c r="ADO35" s="3"/>
      <c r="ADQ35" s="3"/>
      <c r="ADR35" s="3"/>
      <c r="ADS35" s="3"/>
      <c r="ADT35" s="3"/>
      <c r="ADV35" s="3"/>
      <c r="ADW35" s="3"/>
      <c r="ADX35" s="3"/>
      <c r="ADY35" s="3"/>
      <c r="AEA35" s="3"/>
      <c r="AEH35" s="1"/>
      <c r="AEL35" s="3"/>
      <c r="AEM35" s="3"/>
      <c r="AEN35" s="3"/>
      <c r="AEO35" s="3"/>
      <c r="AEQ35" s="3"/>
      <c r="AER35" s="3"/>
      <c r="AES35" s="3"/>
      <c r="AET35" s="3"/>
      <c r="AEU35" s="3"/>
      <c r="AEW35" s="3"/>
      <c r="AEX35" s="3"/>
      <c r="AEY35" s="3"/>
      <c r="AEZ35" s="3"/>
      <c r="AFB35" s="3"/>
      <c r="AFI35" s="1"/>
      <c r="AFM35" s="3"/>
      <c r="AFN35" s="3"/>
      <c r="AFO35" s="3"/>
      <c r="AFP35" s="3"/>
      <c r="AFR35" s="3"/>
      <c r="AFS35" s="3"/>
      <c r="AFT35" s="3"/>
      <c r="AFU35" s="3"/>
      <c r="AFW35" s="3"/>
      <c r="AFX35" s="3"/>
      <c r="AFY35" s="3"/>
      <c r="AFZ35" s="3"/>
      <c r="AGB35" s="3"/>
      <c r="AGI35" s="1"/>
      <c r="AGM35" s="3"/>
      <c r="AGN35" s="3"/>
      <c r="AGO35" s="3"/>
      <c r="AGP35" s="3"/>
      <c r="AGR35" s="3"/>
      <c r="AGS35" s="3"/>
      <c r="AGT35" s="3"/>
      <c r="AGU35" s="3"/>
      <c r="AGW35" s="3"/>
      <c r="AGX35" s="3"/>
      <c r="AGY35" s="3"/>
      <c r="AGZ35" s="3"/>
      <c r="AHB35" s="3"/>
      <c r="AHI35" s="1"/>
      <c r="AHM35" s="3"/>
      <c r="AHN35" s="3"/>
      <c r="AHO35" s="3"/>
      <c r="AHP35" s="3"/>
      <c r="AHR35" s="3"/>
      <c r="AHS35" s="3"/>
      <c r="AHT35" s="3"/>
      <c r="AHU35" s="3"/>
      <c r="AHW35" s="3"/>
      <c r="AHX35" s="3"/>
      <c r="AHY35" s="3"/>
      <c r="AHZ35" s="3"/>
      <c r="AIB35" s="3"/>
      <c r="AII35" s="1"/>
      <c r="AIM35" s="3"/>
      <c r="AIN35" s="3"/>
      <c r="AIO35" s="3"/>
      <c r="AIP35" s="3"/>
      <c r="AIR35" s="3"/>
      <c r="AIS35" s="3"/>
      <c r="AIT35" s="3"/>
      <c r="AIU35" s="3"/>
      <c r="AIW35" s="3"/>
      <c r="AIX35" s="3"/>
      <c r="AIY35" s="3"/>
      <c r="AIZ35" s="3"/>
      <c r="AJB35" s="3"/>
      <c r="AJI35" s="1"/>
      <c r="AJM35" s="3"/>
      <c r="AJN35" s="3"/>
      <c r="AJO35" s="3"/>
      <c r="AJP35" s="3"/>
      <c r="AJR35" s="3"/>
      <c r="AJS35" s="3"/>
      <c r="AJT35" s="3"/>
      <c r="AJU35" s="3"/>
      <c r="AJW35" s="3"/>
      <c r="AJX35" s="3"/>
      <c r="AJY35" s="3"/>
      <c r="AJZ35" s="3"/>
      <c r="AKI35" s="1"/>
      <c r="AKM35" s="3"/>
      <c r="AKN35" s="3"/>
      <c r="AKO35" s="3"/>
      <c r="AKP35" s="3"/>
      <c r="AKR35" s="3"/>
      <c r="AKS35" s="3"/>
      <c r="AKT35" s="3"/>
      <c r="AKU35" s="3"/>
      <c r="AKW35" s="3"/>
      <c r="AKX35" s="3"/>
      <c r="AKY35" s="3"/>
      <c r="AKZ35" s="3"/>
      <c r="ALI35" s="1"/>
      <c r="ALM35" s="3"/>
      <c r="ALN35" s="3"/>
      <c r="ALO35" s="3"/>
      <c r="ALP35" s="3"/>
      <c r="ALR35" s="3"/>
      <c r="ALS35" s="3"/>
      <c r="ALT35" s="3"/>
      <c r="ALU35" s="3"/>
      <c r="ALW35" s="3"/>
      <c r="ALX35" s="3"/>
      <c r="ALY35" s="3"/>
      <c r="ALZ35" s="3"/>
      <c r="AMI35" s="1"/>
      <c r="AMM35" s="3"/>
      <c r="AMN35" s="3"/>
      <c r="AMO35" s="3"/>
      <c r="AMP35" s="3"/>
      <c r="AMR35" s="3"/>
      <c r="AMS35" s="3"/>
      <c r="AMT35" s="3"/>
      <c r="AMU35" s="3"/>
      <c r="AMV35" s="3"/>
      <c r="AMX35" s="3"/>
      <c r="AMY35" s="3"/>
      <c r="AMZ35" s="3"/>
      <c r="ANA35" s="3"/>
      <c r="ANC35" s="3"/>
      <c r="ANJ35" s="1"/>
      <c r="ANN35" s="3"/>
      <c r="ANO35" s="3"/>
      <c r="ANP35" s="3"/>
      <c r="ANQ35" s="3"/>
      <c r="ANS35" s="3"/>
      <c r="ANT35" s="3"/>
      <c r="ANU35" s="3"/>
      <c r="ANV35" s="3"/>
      <c r="ANW35" s="3"/>
      <c r="ANY35" s="3"/>
      <c r="ANZ35" s="3"/>
      <c r="AOA35" s="3"/>
      <c r="AOB35" s="3"/>
      <c r="AOD35" s="3"/>
      <c r="AOK35" s="1"/>
      <c r="AOO35" s="3"/>
      <c r="AOP35" s="3"/>
      <c r="AOQ35" s="3"/>
      <c r="AOR35" s="3"/>
      <c r="AOT35" s="3"/>
      <c r="AOU35" s="3"/>
      <c r="AOV35" s="3"/>
      <c r="AOW35" s="3"/>
      <c r="AOX35" s="3"/>
      <c r="AOZ35" s="3"/>
      <c r="APA35" s="3"/>
      <c r="APB35" s="3"/>
      <c r="APC35" s="3"/>
      <c r="APE35" s="3"/>
    </row>
    <row r="36" spans="2:1097" ht="28.35" customHeight="1" x14ac:dyDescent="0.4">
      <c r="G36" s="1"/>
      <c r="I36" s="3"/>
      <c r="K36" s="3"/>
      <c r="L36" s="3"/>
      <c r="M36" s="3"/>
      <c r="N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G36" s="1"/>
      <c r="AI36" s="3"/>
      <c r="AK36" s="3"/>
      <c r="AL36" s="3"/>
      <c r="AM36" s="3"/>
      <c r="AN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G36" s="1"/>
      <c r="BI36" s="3"/>
      <c r="BK36" s="3"/>
      <c r="BL36" s="3"/>
      <c r="BM36" s="3"/>
      <c r="BN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G36" s="1"/>
      <c r="CI36" s="3"/>
      <c r="CK36" s="3"/>
      <c r="CL36" s="3"/>
      <c r="CM36" s="3"/>
      <c r="CN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G36" s="1"/>
      <c r="DI36" s="3"/>
      <c r="DK36" s="3"/>
      <c r="DL36" s="3"/>
      <c r="DM36" s="3"/>
      <c r="DN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G36" s="1"/>
      <c r="EI36" s="3"/>
      <c r="EK36" s="3"/>
      <c r="EL36" s="3"/>
      <c r="EM36" s="3"/>
      <c r="EN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G36" s="1"/>
      <c r="FI36" s="3"/>
      <c r="FK36" s="3"/>
      <c r="FL36" s="3"/>
      <c r="FM36" s="3"/>
      <c r="FN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G36" s="1"/>
      <c r="GI36" s="3"/>
      <c r="GK36" s="3"/>
      <c r="GL36" s="3"/>
      <c r="GM36" s="3"/>
      <c r="GN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G36" s="1"/>
      <c r="HI36" s="3"/>
      <c r="HK36" s="3"/>
      <c r="HL36" s="3"/>
      <c r="HM36" s="3"/>
      <c r="HN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G36" s="1"/>
      <c r="II36" s="3"/>
      <c r="IK36" s="3"/>
      <c r="IL36" s="3"/>
      <c r="IM36" s="3"/>
      <c r="IN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G36" s="1"/>
      <c r="JI36" s="3"/>
      <c r="JK36" s="3"/>
      <c r="JL36" s="3"/>
      <c r="JM36" s="3"/>
      <c r="JN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G36" s="1"/>
      <c r="KI36" s="3"/>
      <c r="KK36" s="3"/>
      <c r="KL36" s="3"/>
      <c r="KM36" s="3"/>
      <c r="KN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G36" s="1"/>
      <c r="LI36" s="3"/>
      <c r="LK36" s="3"/>
      <c r="LL36" s="3"/>
      <c r="LM36" s="3"/>
      <c r="LN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G36" s="1"/>
      <c r="MI36" s="3"/>
      <c r="MK36" s="3"/>
      <c r="ML36" s="3"/>
      <c r="MM36" s="3"/>
      <c r="MN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G36" s="1"/>
      <c r="NI36" s="3"/>
      <c r="NK36" s="3"/>
      <c r="NL36" s="3"/>
      <c r="NM36" s="3"/>
      <c r="NN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G36" s="1"/>
      <c r="OI36" s="3"/>
      <c r="OK36" s="3"/>
      <c r="OL36" s="3"/>
      <c r="OM36" s="3"/>
      <c r="ON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G36" s="1"/>
      <c r="PI36" s="3"/>
      <c r="PK36" s="3"/>
      <c r="PL36" s="3"/>
      <c r="PM36" s="3"/>
      <c r="PN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G36" s="1"/>
      <c r="QI36" s="3"/>
      <c r="QK36" s="3"/>
      <c r="QL36" s="3"/>
      <c r="QM36" s="3"/>
      <c r="QN36" s="3"/>
      <c r="QP36" s="3"/>
      <c r="QQ36" s="3"/>
      <c r="QR36" s="3"/>
      <c r="QS36" s="3"/>
      <c r="QT36" s="3"/>
      <c r="QU36" s="3"/>
      <c r="QV36" s="3"/>
      <c r="QW36" s="3"/>
      <c r="QX36" s="3"/>
      <c r="QZ36" s="3"/>
      <c r="RG36" s="1"/>
      <c r="RI36" s="3"/>
      <c r="RK36" s="3"/>
      <c r="RL36" s="3"/>
      <c r="RM36" s="3"/>
      <c r="RN36" s="3"/>
      <c r="RP36" s="3"/>
      <c r="RQ36" s="3"/>
      <c r="RR36" s="3"/>
      <c r="RS36" s="3"/>
      <c r="RU36" s="3"/>
      <c r="RV36" s="3"/>
      <c r="RW36" s="3"/>
      <c r="RX36" s="3"/>
      <c r="RY36" s="3"/>
      <c r="RZ36" s="3"/>
      <c r="SG36" s="1"/>
      <c r="SI36" s="3"/>
      <c r="SK36" s="3"/>
      <c r="SL36" s="3"/>
      <c r="SM36" s="3"/>
      <c r="SN36" s="3"/>
      <c r="SP36" s="3"/>
      <c r="SQ36" s="3"/>
      <c r="SR36" s="3"/>
      <c r="SS36" s="3"/>
      <c r="SU36" s="3"/>
      <c r="SV36" s="3"/>
      <c r="SW36" s="3"/>
      <c r="SX36" s="3"/>
      <c r="SY36" s="3"/>
      <c r="SZ36" s="3"/>
      <c r="TG36" s="1"/>
      <c r="TI36" s="3"/>
      <c r="TK36" s="3"/>
      <c r="TL36" s="3"/>
      <c r="TM36" s="3"/>
      <c r="TN36" s="3"/>
      <c r="TP36" s="3"/>
      <c r="TQ36" s="3"/>
      <c r="TR36" s="3"/>
      <c r="TS36" s="3"/>
      <c r="TT36" s="3"/>
      <c r="TV36" s="3"/>
      <c r="TW36" s="3"/>
      <c r="TX36" s="3"/>
      <c r="TY36" s="3"/>
      <c r="UA36" s="3"/>
      <c r="UH36" s="1"/>
      <c r="UJ36" s="3"/>
      <c r="UL36" s="3"/>
      <c r="UM36" s="3"/>
      <c r="UN36" s="3"/>
      <c r="UO36" s="3"/>
      <c r="UQ36" s="3"/>
      <c r="UR36" s="3"/>
      <c r="US36" s="3"/>
      <c r="UT36" s="3"/>
      <c r="UV36" s="3"/>
      <c r="UW36" s="3"/>
      <c r="UX36" s="3"/>
      <c r="UY36" s="3"/>
      <c r="VA36" s="3"/>
      <c r="VH36" s="1"/>
      <c r="VJ36" s="3"/>
      <c r="VL36" s="3"/>
      <c r="VM36" s="3"/>
      <c r="VN36" s="3"/>
      <c r="VO36" s="3"/>
      <c r="VQ36" s="3"/>
      <c r="VR36" s="3"/>
      <c r="VS36" s="3"/>
      <c r="VT36" s="3"/>
      <c r="VV36" s="3"/>
      <c r="VW36" s="3"/>
      <c r="VX36" s="3"/>
      <c r="VY36" s="3"/>
      <c r="WA36" s="3"/>
      <c r="WH36" s="1"/>
      <c r="WJ36" s="3"/>
      <c r="WL36" s="3"/>
      <c r="WM36" s="3"/>
      <c r="WN36" s="3"/>
      <c r="WO36" s="3"/>
      <c r="WQ36" s="3"/>
      <c r="WR36" s="3"/>
      <c r="WS36" s="3"/>
      <c r="WT36" s="3"/>
      <c r="WV36" s="3"/>
      <c r="WW36" s="3"/>
      <c r="WX36" s="3"/>
      <c r="WY36" s="3"/>
      <c r="XA36" s="3"/>
      <c r="XH36" s="1"/>
      <c r="XJ36" s="3"/>
      <c r="XL36" s="3"/>
      <c r="XM36" s="3"/>
      <c r="XN36" s="3"/>
      <c r="XO36" s="3"/>
      <c r="XQ36" s="3"/>
      <c r="XR36" s="3"/>
      <c r="XS36" s="3"/>
      <c r="XT36" s="3"/>
      <c r="XV36" s="3"/>
      <c r="XW36" s="3"/>
      <c r="XX36" s="3"/>
      <c r="XY36" s="3"/>
      <c r="YA36" s="3"/>
      <c r="YH36" s="1"/>
      <c r="YJ36" s="3"/>
      <c r="YL36" s="3"/>
      <c r="YM36" s="3"/>
      <c r="YN36" s="3"/>
      <c r="YO36" s="3"/>
      <c r="YQ36" s="3"/>
      <c r="YR36" s="3"/>
      <c r="YS36" s="3"/>
      <c r="YT36" s="3"/>
      <c r="YV36" s="3"/>
      <c r="YW36" s="3"/>
      <c r="YX36" s="3"/>
      <c r="YY36" s="3"/>
      <c r="ZA36" s="3"/>
      <c r="ZH36" s="1"/>
      <c r="ZJ36" s="3"/>
      <c r="ZL36" s="3"/>
      <c r="ZM36" s="3"/>
      <c r="ZN36" s="3"/>
      <c r="ZO36" s="3"/>
      <c r="ZQ36" s="3"/>
      <c r="ZR36" s="3"/>
      <c r="ZS36" s="3"/>
      <c r="ZT36" s="3"/>
      <c r="ZV36" s="3"/>
      <c r="ZW36" s="3"/>
      <c r="ZX36" s="3"/>
      <c r="ZY36" s="3"/>
      <c r="AAA36" s="3"/>
      <c r="AAH36" s="1"/>
      <c r="AAJ36" s="3"/>
      <c r="AAL36" s="3"/>
      <c r="AAM36" s="3"/>
      <c r="AAN36" s="3"/>
      <c r="AAO36" s="3"/>
      <c r="AAQ36" s="3"/>
      <c r="AAR36" s="3"/>
      <c r="AAS36" s="3"/>
      <c r="AAT36" s="3"/>
      <c r="AAV36" s="3"/>
      <c r="AAW36" s="3"/>
      <c r="AAX36" s="3"/>
      <c r="AAY36" s="3"/>
      <c r="ABA36" s="3"/>
      <c r="ABH36" s="1"/>
      <c r="ABJ36" s="3"/>
      <c r="ABL36" s="3"/>
      <c r="ABM36" s="3"/>
      <c r="ABN36" s="3"/>
      <c r="ABO36" s="3"/>
      <c r="ABQ36" s="3"/>
      <c r="ABR36" s="3"/>
      <c r="ABS36" s="3"/>
      <c r="ABT36" s="3"/>
      <c r="ABV36" s="3"/>
      <c r="ABW36" s="3"/>
      <c r="ABX36" s="3"/>
      <c r="ABY36" s="3"/>
      <c r="ACA36" s="3"/>
      <c r="ACH36" s="1"/>
      <c r="ACJ36" s="3"/>
      <c r="ACL36" s="3"/>
      <c r="ACM36" s="3"/>
      <c r="ACN36" s="3"/>
      <c r="ACO36" s="3"/>
      <c r="ACQ36" s="3"/>
      <c r="ACR36" s="3"/>
      <c r="ACS36" s="3"/>
      <c r="ACT36" s="3"/>
      <c r="ACV36" s="3"/>
      <c r="ACW36" s="3"/>
      <c r="ACX36" s="3"/>
      <c r="ACY36" s="3"/>
      <c r="ADA36" s="3"/>
      <c r="ADH36" s="1"/>
      <c r="ADJ36" s="3"/>
      <c r="ADL36" s="3"/>
      <c r="ADM36" s="3"/>
      <c r="ADN36" s="3"/>
      <c r="ADO36" s="3"/>
      <c r="ADQ36" s="3"/>
      <c r="ADR36" s="3"/>
      <c r="ADS36" s="3"/>
      <c r="ADT36" s="3"/>
      <c r="ADV36" s="3"/>
      <c r="ADW36" s="3"/>
      <c r="ADX36" s="3"/>
      <c r="ADY36" s="3"/>
      <c r="AEA36" s="3"/>
      <c r="AEH36" s="1"/>
      <c r="AEJ36" s="3"/>
      <c r="AEL36" s="3"/>
      <c r="AEM36" s="3"/>
      <c r="AEN36" s="3"/>
      <c r="AEO36" s="3"/>
      <c r="AEQ36" s="3"/>
      <c r="AER36" s="3"/>
      <c r="AES36" s="3"/>
      <c r="AET36" s="3"/>
      <c r="AEU36" s="3"/>
      <c r="AEW36" s="3"/>
      <c r="AEX36" s="3"/>
      <c r="AEY36" s="3"/>
      <c r="AEZ36" s="3"/>
      <c r="AFB36" s="3"/>
      <c r="AFI36" s="1"/>
      <c r="AFK36" s="3"/>
      <c r="AFM36" s="3"/>
      <c r="AFN36" s="3"/>
      <c r="AFO36" s="3"/>
      <c r="AFP36" s="3"/>
      <c r="AFR36" s="3"/>
      <c r="AFS36" s="3"/>
      <c r="AFT36" s="3"/>
      <c r="AFU36" s="3"/>
      <c r="AFW36" s="3"/>
      <c r="AFX36" s="3"/>
      <c r="AFY36" s="3"/>
      <c r="AFZ36" s="3"/>
      <c r="AGB36" s="3"/>
      <c r="AGI36" s="1"/>
      <c r="AGK36" s="3"/>
      <c r="AGM36" s="3"/>
      <c r="AGN36" s="3"/>
      <c r="AGO36" s="3"/>
      <c r="AGP36" s="3"/>
      <c r="AGR36" s="3"/>
      <c r="AGS36" s="3"/>
      <c r="AGT36" s="3"/>
      <c r="AGU36" s="3"/>
      <c r="AGW36" s="3"/>
      <c r="AGX36" s="3"/>
      <c r="AGY36" s="3"/>
      <c r="AGZ36" s="3"/>
      <c r="AHB36" s="3"/>
      <c r="AHI36" s="1"/>
      <c r="AHK36" s="3"/>
      <c r="AHM36" s="3"/>
      <c r="AHN36" s="3"/>
      <c r="AHO36" s="3"/>
      <c r="AHP36" s="3"/>
      <c r="AHR36" s="3"/>
      <c r="AHS36" s="3"/>
      <c r="AHT36" s="3"/>
      <c r="AHU36" s="3"/>
      <c r="AHW36" s="3"/>
      <c r="AHX36" s="3"/>
      <c r="AHY36" s="3"/>
      <c r="AHZ36" s="3"/>
      <c r="AIB36" s="3"/>
      <c r="AII36" s="1"/>
      <c r="AIK36" s="3"/>
      <c r="AIM36" s="3"/>
      <c r="AIN36" s="3"/>
      <c r="AIO36" s="3"/>
      <c r="AIP36" s="3"/>
      <c r="AIR36" s="3"/>
      <c r="AIS36" s="3"/>
      <c r="AIT36" s="3"/>
      <c r="AIU36" s="3"/>
      <c r="AIW36" s="3"/>
      <c r="AIX36" s="3"/>
      <c r="AIY36" s="3"/>
      <c r="AIZ36" s="3"/>
      <c r="AJB36" s="3"/>
      <c r="AJI36" s="1"/>
      <c r="AJK36" s="3"/>
      <c r="AJM36" s="3"/>
      <c r="AJN36" s="3"/>
      <c r="AJO36" s="3"/>
      <c r="AJP36" s="3"/>
      <c r="AJR36" s="3"/>
      <c r="AJS36" s="3"/>
      <c r="AJT36" s="3"/>
      <c r="AJU36" s="3"/>
      <c r="AJW36" s="3"/>
      <c r="AJX36" s="3"/>
      <c r="AJY36" s="3"/>
      <c r="AJZ36" s="3"/>
      <c r="AKI36" s="1"/>
      <c r="AKK36" s="3"/>
      <c r="AKM36" s="3"/>
      <c r="AKN36" s="3"/>
      <c r="AKO36" s="3"/>
      <c r="AKP36" s="3"/>
      <c r="AKR36" s="3"/>
      <c r="AKS36" s="3"/>
      <c r="AKT36" s="3"/>
      <c r="AKU36" s="3"/>
      <c r="AKW36" s="3"/>
      <c r="AKX36" s="3"/>
      <c r="AKY36" s="3"/>
      <c r="AKZ36" s="3"/>
      <c r="ALI36" s="1"/>
      <c r="ALK36" s="3"/>
      <c r="ALM36" s="3"/>
      <c r="ALN36" s="3"/>
      <c r="ALO36" s="3"/>
      <c r="ALP36" s="3"/>
      <c r="ALR36" s="3"/>
      <c r="ALS36" s="3"/>
      <c r="ALT36" s="3"/>
      <c r="ALU36" s="3"/>
      <c r="ALW36" s="3"/>
      <c r="ALX36" s="3"/>
      <c r="ALY36" s="3"/>
      <c r="ALZ36" s="3"/>
      <c r="AMI36" s="1"/>
      <c r="AMK36" s="3"/>
      <c r="AMM36" s="3"/>
      <c r="AMN36" s="3"/>
      <c r="AMO36" s="3"/>
      <c r="AMP36" s="3"/>
      <c r="AMR36" s="3"/>
      <c r="AMS36" s="3"/>
      <c r="AMT36" s="3"/>
      <c r="AMU36" s="3"/>
      <c r="AMV36" s="3"/>
      <c r="AMX36" s="3"/>
      <c r="AMY36" s="3"/>
      <c r="AMZ36" s="3"/>
      <c r="ANA36" s="3"/>
      <c r="ANC36" s="3"/>
      <c r="ANJ36" s="1"/>
      <c r="ANL36" s="3"/>
      <c r="ANN36" s="3"/>
      <c r="ANO36" s="3"/>
      <c r="ANP36" s="3"/>
      <c r="ANQ36" s="3"/>
      <c r="ANS36" s="3"/>
      <c r="ANT36" s="3"/>
      <c r="ANU36" s="3"/>
      <c r="ANV36" s="3"/>
      <c r="ANW36" s="3"/>
      <c r="ANY36" s="3"/>
      <c r="ANZ36" s="3"/>
      <c r="AOA36" s="3"/>
      <c r="AOB36" s="3"/>
      <c r="AOD36" s="3"/>
      <c r="AOK36" s="1"/>
      <c r="AOM36" s="3"/>
      <c r="AOO36" s="3"/>
      <c r="AOP36" s="3"/>
      <c r="AOQ36" s="3"/>
      <c r="AOR36" s="3"/>
      <c r="AOT36" s="3"/>
      <c r="AOU36" s="3"/>
      <c r="AOV36" s="3"/>
      <c r="AOW36" s="3"/>
      <c r="AOX36" s="3"/>
      <c r="AOZ36" s="3"/>
      <c r="APA36" s="3"/>
      <c r="APB36" s="3"/>
      <c r="APC36" s="3"/>
      <c r="APE36" s="3"/>
    </row>
    <row r="37" spans="2:1097" ht="28.35" customHeight="1" x14ac:dyDescent="0.4">
      <c r="G37" s="3"/>
      <c r="K37" s="3"/>
      <c r="L37" s="3"/>
      <c r="M37" s="3"/>
      <c r="N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G37" s="3"/>
      <c r="AK37" s="3"/>
      <c r="AL37" s="3"/>
      <c r="AM37" s="3"/>
      <c r="AN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G37" s="3"/>
      <c r="BK37" s="3"/>
      <c r="BL37" s="3"/>
      <c r="BM37" s="3"/>
      <c r="BN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G37" s="3"/>
      <c r="CK37" s="3"/>
      <c r="CL37" s="3"/>
      <c r="CM37" s="3"/>
      <c r="CN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G37" s="3"/>
      <c r="DK37" s="3"/>
      <c r="DL37" s="3"/>
      <c r="DM37" s="3"/>
      <c r="DN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G37" s="3"/>
      <c r="EK37" s="3"/>
      <c r="EL37" s="3"/>
      <c r="EM37" s="3"/>
      <c r="EN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G37" s="3"/>
      <c r="FK37" s="3"/>
      <c r="FL37" s="3"/>
      <c r="FM37" s="3"/>
      <c r="FN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G37" s="3"/>
      <c r="GK37" s="3"/>
      <c r="GL37" s="3"/>
      <c r="GM37" s="3"/>
      <c r="GN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G37" s="3"/>
      <c r="HK37" s="3"/>
      <c r="HL37" s="3"/>
      <c r="HM37" s="3"/>
      <c r="HN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G37" s="3"/>
      <c r="IK37" s="3"/>
      <c r="IL37" s="3"/>
      <c r="IM37" s="3"/>
      <c r="IN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G37" s="3"/>
      <c r="JK37" s="3"/>
      <c r="JL37" s="3"/>
      <c r="JM37" s="3"/>
      <c r="JN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G37" s="3"/>
      <c r="KK37" s="3"/>
      <c r="KL37" s="3"/>
      <c r="KM37" s="3"/>
      <c r="KN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G37" s="3"/>
      <c r="LK37" s="3"/>
      <c r="LL37" s="3"/>
      <c r="LM37" s="3"/>
      <c r="LN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G37" s="3"/>
      <c r="MK37" s="3"/>
      <c r="ML37" s="3"/>
      <c r="MM37" s="3"/>
      <c r="MN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G37" s="3"/>
      <c r="NK37" s="3"/>
      <c r="NL37" s="3"/>
      <c r="NM37" s="3"/>
      <c r="NN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G37" s="3"/>
      <c r="OK37" s="3"/>
      <c r="OL37" s="3"/>
      <c r="OM37" s="3"/>
      <c r="ON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G37" s="3"/>
      <c r="PK37" s="3"/>
      <c r="PL37" s="3"/>
      <c r="PM37" s="3"/>
      <c r="PN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G37" s="3"/>
      <c r="QK37" s="3"/>
      <c r="QL37" s="3"/>
      <c r="QM37" s="3"/>
      <c r="QN37" s="3"/>
      <c r="QP37" s="3"/>
      <c r="QQ37" s="3"/>
      <c r="QR37" s="3"/>
      <c r="QS37" s="3"/>
      <c r="QT37" s="3"/>
      <c r="QU37" s="3"/>
      <c r="QV37" s="3"/>
      <c r="QW37" s="3"/>
      <c r="QX37" s="3"/>
      <c r="QZ37" s="3"/>
      <c r="RG37" s="3"/>
      <c r="RK37" s="3"/>
      <c r="RL37" s="3"/>
      <c r="RM37" s="3"/>
      <c r="RN37" s="3"/>
      <c r="RP37" s="3"/>
      <c r="RQ37" s="3"/>
      <c r="RR37" s="3"/>
      <c r="RS37" s="3"/>
      <c r="RU37" s="3"/>
      <c r="RV37" s="3"/>
      <c r="RW37" s="3"/>
      <c r="RX37" s="3"/>
      <c r="RY37" s="3"/>
      <c r="RZ37" s="3"/>
      <c r="SG37" s="3"/>
      <c r="SK37" s="3"/>
      <c r="SL37" s="3"/>
      <c r="SM37" s="3"/>
      <c r="SN37" s="3"/>
      <c r="SP37" s="3"/>
      <c r="SQ37" s="3"/>
      <c r="SR37" s="3"/>
      <c r="SS37" s="3"/>
      <c r="SU37" s="3"/>
      <c r="SV37" s="3"/>
      <c r="SW37" s="3"/>
      <c r="SX37" s="3"/>
      <c r="SY37" s="3"/>
      <c r="SZ37" s="3"/>
      <c r="TG37" s="3"/>
      <c r="TK37" s="3"/>
      <c r="TL37" s="3"/>
      <c r="TM37" s="3"/>
      <c r="TN37" s="3"/>
      <c r="TP37" s="3"/>
      <c r="TQ37" s="3"/>
      <c r="TR37" s="3"/>
      <c r="TS37" s="3"/>
      <c r="TT37" s="3"/>
      <c r="TV37" s="3"/>
      <c r="TW37" s="3"/>
      <c r="TX37" s="3"/>
      <c r="TY37" s="3"/>
      <c r="UA37" s="3"/>
      <c r="UH37" s="3"/>
      <c r="UL37" s="3"/>
      <c r="UM37" s="3"/>
      <c r="UN37" s="3"/>
      <c r="UO37" s="3"/>
      <c r="UQ37" s="3"/>
      <c r="UR37" s="3"/>
      <c r="US37" s="3"/>
      <c r="UT37" s="3"/>
      <c r="UV37" s="3"/>
      <c r="UW37" s="3"/>
      <c r="UX37" s="3"/>
      <c r="UY37" s="3"/>
      <c r="VA37" s="3"/>
      <c r="VH37" s="3"/>
      <c r="VL37" s="3"/>
      <c r="VM37" s="3"/>
      <c r="VN37" s="3"/>
      <c r="VO37" s="3"/>
      <c r="VQ37" s="3"/>
      <c r="VR37" s="3"/>
      <c r="VS37" s="3"/>
      <c r="VT37" s="3"/>
      <c r="VV37" s="3"/>
      <c r="VW37" s="3"/>
      <c r="VX37" s="3"/>
      <c r="VY37" s="3"/>
      <c r="WA37" s="3"/>
      <c r="WH37" s="3"/>
      <c r="WL37" s="3"/>
      <c r="WM37" s="3"/>
      <c r="WN37" s="3"/>
      <c r="WO37" s="3"/>
      <c r="WQ37" s="3"/>
      <c r="WR37" s="3"/>
      <c r="WS37" s="3"/>
      <c r="WT37" s="3"/>
      <c r="WV37" s="3"/>
      <c r="WW37" s="3"/>
      <c r="WX37" s="3"/>
      <c r="WY37" s="3"/>
      <c r="XA37" s="3"/>
      <c r="XH37" s="3"/>
      <c r="XL37" s="3"/>
      <c r="XM37" s="3"/>
      <c r="XN37" s="3"/>
      <c r="XO37" s="3"/>
      <c r="XQ37" s="3"/>
      <c r="XR37" s="3"/>
      <c r="XS37" s="3"/>
      <c r="XT37" s="3"/>
      <c r="XV37" s="3"/>
      <c r="XW37" s="3"/>
      <c r="XX37" s="3"/>
      <c r="XY37" s="3"/>
      <c r="YA37" s="3"/>
      <c r="YH37" s="3"/>
      <c r="YL37" s="3"/>
      <c r="YM37" s="3"/>
      <c r="YN37" s="3"/>
      <c r="YO37" s="3"/>
      <c r="YQ37" s="3"/>
      <c r="YR37" s="3"/>
      <c r="YS37" s="3"/>
      <c r="YT37" s="3"/>
      <c r="YV37" s="3"/>
      <c r="YW37" s="3"/>
      <c r="YX37" s="3"/>
      <c r="YY37" s="3"/>
      <c r="ZA37" s="3"/>
      <c r="ZH37" s="3"/>
      <c r="ZL37" s="3"/>
      <c r="ZM37" s="3"/>
      <c r="ZN37" s="3"/>
      <c r="ZO37" s="3"/>
      <c r="ZQ37" s="3"/>
      <c r="ZR37" s="3"/>
      <c r="ZS37" s="3"/>
      <c r="ZT37" s="3"/>
      <c r="ZV37" s="3"/>
      <c r="ZW37" s="3"/>
      <c r="ZX37" s="3"/>
      <c r="ZY37" s="3"/>
      <c r="AAA37" s="3"/>
      <c r="AAH37" s="3"/>
      <c r="AAL37" s="3"/>
      <c r="AAM37" s="3"/>
      <c r="AAN37" s="3"/>
      <c r="AAO37" s="3"/>
      <c r="AAQ37" s="3"/>
      <c r="AAR37" s="3"/>
      <c r="AAS37" s="3"/>
      <c r="AAT37" s="3"/>
      <c r="AAV37" s="3"/>
      <c r="AAW37" s="3"/>
      <c r="AAX37" s="3"/>
      <c r="AAY37" s="3"/>
      <c r="ABA37" s="3"/>
      <c r="ABH37" s="3"/>
      <c r="ABL37" s="3"/>
      <c r="ABM37" s="3"/>
      <c r="ABN37" s="3"/>
      <c r="ABO37" s="3"/>
      <c r="ABQ37" s="3"/>
      <c r="ABR37" s="3"/>
      <c r="ABS37" s="3"/>
      <c r="ABT37" s="3"/>
      <c r="ABV37" s="3"/>
      <c r="ABW37" s="3"/>
      <c r="ABX37" s="3"/>
      <c r="ABY37" s="3"/>
      <c r="ACA37" s="3"/>
      <c r="ACH37" s="3"/>
      <c r="ACL37" s="3"/>
      <c r="ACM37" s="3"/>
      <c r="ACN37" s="3"/>
      <c r="ACO37" s="3"/>
      <c r="ACQ37" s="3"/>
      <c r="ACR37" s="3"/>
      <c r="ACS37" s="3"/>
      <c r="ACT37" s="3"/>
      <c r="ACV37" s="3"/>
      <c r="ACW37" s="3"/>
      <c r="ACX37" s="3"/>
      <c r="ACY37" s="3"/>
      <c r="ADA37" s="3"/>
      <c r="ADH37" s="3"/>
      <c r="ADL37" s="3"/>
      <c r="ADM37" s="3"/>
      <c r="ADN37" s="3"/>
      <c r="ADO37" s="3"/>
      <c r="ADQ37" s="3"/>
      <c r="ADR37" s="3"/>
      <c r="ADS37" s="3"/>
      <c r="ADT37" s="3"/>
      <c r="ADV37" s="3"/>
      <c r="ADW37" s="3"/>
      <c r="ADX37" s="3"/>
      <c r="ADY37" s="3"/>
      <c r="AEA37" s="3"/>
      <c r="AEH37" s="3"/>
      <c r="AEL37" s="3"/>
      <c r="AEM37" s="3"/>
      <c r="AEN37" s="3"/>
      <c r="AEO37" s="3"/>
      <c r="AEQ37" s="3"/>
      <c r="AER37" s="3"/>
      <c r="AES37" s="3"/>
      <c r="AET37" s="3"/>
      <c r="AEU37" s="3"/>
      <c r="AEW37" s="3"/>
      <c r="AEX37" s="3"/>
      <c r="AEY37" s="3"/>
      <c r="AEZ37" s="3"/>
      <c r="AFB37" s="3"/>
      <c r="AFI37" s="3"/>
      <c r="AFM37" s="3"/>
      <c r="AFN37" s="3"/>
      <c r="AFO37" s="3"/>
      <c r="AFP37" s="3"/>
      <c r="AFR37" s="3"/>
      <c r="AFS37" s="3"/>
      <c r="AFT37" s="3"/>
      <c r="AFU37" s="3"/>
      <c r="AFW37" s="3"/>
      <c r="AFX37" s="3"/>
      <c r="AFY37" s="3"/>
      <c r="AFZ37" s="3"/>
      <c r="AGB37" s="3"/>
      <c r="AGI37" s="3"/>
      <c r="AGM37" s="3"/>
      <c r="AGN37" s="3"/>
      <c r="AGO37" s="3"/>
      <c r="AGP37" s="3"/>
      <c r="AGR37" s="3"/>
      <c r="AGS37" s="3"/>
      <c r="AGT37" s="3"/>
      <c r="AGU37" s="3"/>
      <c r="AGW37" s="3"/>
      <c r="AGX37" s="3"/>
      <c r="AGY37" s="3"/>
      <c r="AGZ37" s="3"/>
      <c r="AHB37" s="3"/>
      <c r="AHI37" s="3"/>
      <c r="AHM37" s="3"/>
      <c r="AHN37" s="3"/>
      <c r="AHO37" s="3"/>
      <c r="AHP37" s="3"/>
      <c r="AHR37" s="3"/>
      <c r="AHS37" s="3"/>
      <c r="AHT37" s="3"/>
      <c r="AHU37" s="3"/>
      <c r="AHW37" s="3"/>
      <c r="AHX37" s="3"/>
      <c r="AHY37" s="3"/>
      <c r="AHZ37" s="3"/>
      <c r="AIB37" s="3"/>
      <c r="AII37" s="3"/>
      <c r="AIM37" s="3"/>
      <c r="AIN37" s="3"/>
      <c r="AIO37" s="3"/>
      <c r="AIP37" s="3"/>
      <c r="AIR37" s="3"/>
      <c r="AIS37" s="3"/>
      <c r="AIT37" s="3"/>
      <c r="AIU37" s="3"/>
      <c r="AIW37" s="3"/>
      <c r="AIX37" s="3"/>
      <c r="AIY37" s="3"/>
      <c r="AIZ37" s="3"/>
      <c r="AJB37" s="3"/>
      <c r="AJI37" s="3"/>
      <c r="AJM37" s="3"/>
      <c r="AJN37" s="3"/>
      <c r="AJO37" s="3"/>
      <c r="AJP37" s="3"/>
      <c r="AJR37" s="3"/>
      <c r="AJS37" s="3"/>
      <c r="AJT37" s="3"/>
      <c r="AJU37" s="3"/>
      <c r="AJW37" s="3"/>
      <c r="AJX37" s="3"/>
      <c r="AJY37" s="3"/>
      <c r="AJZ37" s="3"/>
      <c r="AKI37" s="3"/>
      <c r="AKM37" s="3"/>
      <c r="AKN37" s="3"/>
      <c r="AKO37" s="3"/>
      <c r="AKP37" s="3"/>
      <c r="AKR37" s="3"/>
      <c r="AKS37" s="3"/>
      <c r="AKT37" s="3"/>
      <c r="AKU37" s="3"/>
      <c r="AKW37" s="3"/>
      <c r="AKX37" s="3"/>
      <c r="AKY37" s="3"/>
      <c r="AKZ37" s="3"/>
      <c r="ALI37" s="3"/>
      <c r="ALM37" s="3"/>
      <c r="ALN37" s="3"/>
      <c r="ALO37" s="3"/>
      <c r="ALP37" s="3"/>
      <c r="ALR37" s="3"/>
      <c r="ALS37" s="3"/>
      <c r="ALT37" s="3"/>
      <c r="ALU37" s="3"/>
      <c r="ALW37" s="3"/>
      <c r="ALX37" s="3"/>
      <c r="ALY37" s="3"/>
      <c r="ALZ37" s="3"/>
      <c r="AMI37" s="3"/>
      <c r="AMM37" s="3"/>
      <c r="AMN37" s="3"/>
      <c r="AMO37" s="3"/>
      <c r="AMP37" s="3"/>
      <c r="AMR37" s="3"/>
      <c r="AMS37" s="3"/>
      <c r="AMT37" s="3"/>
      <c r="AMU37" s="3"/>
      <c r="AMV37" s="3"/>
      <c r="AMX37" s="3"/>
      <c r="AMY37" s="3"/>
      <c r="AMZ37" s="3"/>
      <c r="ANA37" s="3"/>
      <c r="ANC37" s="3"/>
      <c r="ANJ37" s="3"/>
      <c r="ANN37" s="3"/>
      <c r="ANO37" s="3"/>
      <c r="ANP37" s="3"/>
      <c r="ANQ37" s="3"/>
      <c r="ANS37" s="3"/>
      <c r="ANT37" s="3"/>
      <c r="ANU37" s="3"/>
      <c r="ANV37" s="3"/>
      <c r="ANW37" s="3"/>
      <c r="ANY37" s="3"/>
      <c r="ANZ37" s="3"/>
      <c r="AOA37" s="3"/>
      <c r="AOB37" s="3"/>
      <c r="AOD37" s="3"/>
      <c r="AOK37" s="3"/>
      <c r="AOO37" s="3"/>
      <c r="AOP37" s="3"/>
      <c r="AOQ37" s="3"/>
      <c r="AOR37" s="3"/>
      <c r="AOT37" s="3"/>
      <c r="AOU37" s="3"/>
      <c r="AOV37" s="3"/>
      <c r="AOW37" s="3"/>
      <c r="AOX37" s="3"/>
      <c r="AOZ37" s="3"/>
      <c r="APA37" s="3"/>
      <c r="APB37" s="3"/>
      <c r="APC37" s="3"/>
      <c r="APE37" s="3"/>
    </row>
    <row r="38" spans="2:1097" ht="14.25" customHeight="1" x14ac:dyDescent="0.4">
      <c r="B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B38" s="1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B38" s="1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B38" s="1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B38" s="1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B38" s="1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B38" s="1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B38" s="1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B38" s="1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B38" s="1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B38" s="1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B38" s="1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B38" s="1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B38" s="1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B38" s="1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B38" s="1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B38" s="1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B38" s="1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B38" s="1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B38" s="1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B38" s="1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C38" s="1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C38" s="1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C38" s="1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C38" s="1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C38" s="1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C38" s="1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C38" s="1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C38" s="1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C38" s="1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C38" s="1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C38" s="1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D38" s="1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D38" s="1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D38" s="1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D38" s="1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D38" s="1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D38" s="1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D38" s="1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D38" s="1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E38" s="1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F38" s="1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</row>
    <row r="39" spans="2:1097" ht="14.25" customHeight="1" x14ac:dyDescent="0.4"/>
    <row r="40" spans="2:1097" ht="14.25" customHeight="1" x14ac:dyDescent="0.4"/>
    <row r="41" spans="2:1097" ht="14.25" customHeight="1" x14ac:dyDescent="0.4"/>
    <row r="42" spans="2:1097" ht="14.25" customHeight="1" x14ac:dyDescent="0.4"/>
    <row r="43" spans="2:1097" ht="14.25" customHeight="1" x14ac:dyDescent="0.4"/>
    <row r="44" spans="2:1097" ht="14.25" customHeight="1" x14ac:dyDescent="0.4"/>
    <row r="45" spans="2:1097" ht="14.25" customHeight="1" x14ac:dyDescent="0.4"/>
    <row r="46" spans="2:1097" ht="14.25" customHeight="1" x14ac:dyDescent="0.4"/>
    <row r="47" spans="2:1097" ht="14.25" customHeight="1" x14ac:dyDescent="0.4"/>
    <row r="48" spans="2:1097" ht="14.25" customHeight="1" x14ac:dyDescent="0.4"/>
    <row r="49" ht="14.25" customHeight="1" x14ac:dyDescent="0.4"/>
  </sheetData>
  <mergeCells count="3277">
    <mergeCell ref="AOV25:AOY25"/>
    <mergeCell ref="APA25:APD25"/>
    <mergeCell ref="ANO25:ANR25"/>
    <mergeCell ref="ANU25:ANX25"/>
    <mergeCell ref="ANZ25:AOC25"/>
    <mergeCell ref="AOF25:AOI25"/>
    <mergeCell ref="AOK25:AON25"/>
    <mergeCell ref="AOP25:AOS25"/>
    <mergeCell ref="AMI25:AML25"/>
    <mergeCell ref="AMN25:AMQ25"/>
    <mergeCell ref="AMT25:AMW25"/>
    <mergeCell ref="AMY25:ANB25"/>
    <mergeCell ref="ANE25:ANH25"/>
    <mergeCell ref="ANJ25:ANM25"/>
    <mergeCell ref="ALD25:ALG25"/>
    <mergeCell ref="ALI25:ALL25"/>
    <mergeCell ref="ALN25:ALQ25"/>
    <mergeCell ref="ALS25:ALV25"/>
    <mergeCell ref="ALX25:AMA25"/>
    <mergeCell ref="AMD25:AMG25"/>
    <mergeCell ref="AJX25:AKA25"/>
    <mergeCell ref="AKD25:AKG25"/>
    <mergeCell ref="AKI25:AKL25"/>
    <mergeCell ref="AKN25:AKQ25"/>
    <mergeCell ref="AKS25:AKV25"/>
    <mergeCell ref="AKX25:ALA25"/>
    <mergeCell ref="AIS25:AIV25"/>
    <mergeCell ref="AIX25:AJA25"/>
    <mergeCell ref="AJD25:AJG25"/>
    <mergeCell ref="AJI25:AJL25"/>
    <mergeCell ref="AJN25:AJQ25"/>
    <mergeCell ref="AJS25:AJV25"/>
    <mergeCell ref="AHN25:AHQ25"/>
    <mergeCell ref="AHS25:AHV25"/>
    <mergeCell ref="AHX25:AIA25"/>
    <mergeCell ref="AID25:AIG25"/>
    <mergeCell ref="AII25:AIL25"/>
    <mergeCell ref="AIN25:AIQ25"/>
    <mergeCell ref="AGI25:AGL25"/>
    <mergeCell ref="AGN25:AGQ25"/>
    <mergeCell ref="AGS25:AGV25"/>
    <mergeCell ref="AGX25:AHA25"/>
    <mergeCell ref="AHD25:AHG25"/>
    <mergeCell ref="AHI25:AHL25"/>
    <mergeCell ref="AFD25:AFG25"/>
    <mergeCell ref="AFI25:AFL25"/>
    <mergeCell ref="AFN25:AFQ25"/>
    <mergeCell ref="AFS25:AFV25"/>
    <mergeCell ref="AFX25:AGA25"/>
    <mergeCell ref="AGD25:AGG25"/>
    <mergeCell ref="ADW25:ADZ25"/>
    <mergeCell ref="AEC25:AEF25"/>
    <mergeCell ref="AEH25:AEK25"/>
    <mergeCell ref="AEM25:AEP25"/>
    <mergeCell ref="AES25:AEV25"/>
    <mergeCell ref="AEX25:AFA25"/>
    <mergeCell ref="ACR25:ACU25"/>
    <mergeCell ref="ACW25:ACZ25"/>
    <mergeCell ref="ADC25:ADF25"/>
    <mergeCell ref="ADH25:ADK25"/>
    <mergeCell ref="ADM25:ADP25"/>
    <mergeCell ref="ADR25:ADU25"/>
    <mergeCell ref="ABM25:ABP25"/>
    <mergeCell ref="ABR25:ABU25"/>
    <mergeCell ref="ABW25:ABZ25"/>
    <mergeCell ref="ACC25:ACF25"/>
    <mergeCell ref="ACH25:ACK25"/>
    <mergeCell ref="ACM25:ACP25"/>
    <mergeCell ref="AAH25:AAK25"/>
    <mergeCell ref="AAM25:AAP25"/>
    <mergeCell ref="AAR25:AAU25"/>
    <mergeCell ref="AAW25:AAZ25"/>
    <mergeCell ref="ABC25:ABF25"/>
    <mergeCell ref="ABH25:ABK25"/>
    <mergeCell ref="ZC25:ZF25"/>
    <mergeCell ref="ZH25:ZK25"/>
    <mergeCell ref="ZM25:ZP25"/>
    <mergeCell ref="ZR25:ZU25"/>
    <mergeCell ref="ZW25:ZZ25"/>
    <mergeCell ref="AAC25:AAF25"/>
    <mergeCell ref="XW25:XZ25"/>
    <mergeCell ref="YC25:YF25"/>
    <mergeCell ref="YH25:YK25"/>
    <mergeCell ref="YM25:YP25"/>
    <mergeCell ref="YR25:YU25"/>
    <mergeCell ref="YW25:YZ25"/>
    <mergeCell ref="WR25:WU25"/>
    <mergeCell ref="WW25:WZ25"/>
    <mergeCell ref="XC25:XF25"/>
    <mergeCell ref="XH25:XK25"/>
    <mergeCell ref="XM25:XP25"/>
    <mergeCell ref="XR25:XU25"/>
    <mergeCell ref="VM25:VP25"/>
    <mergeCell ref="VR25:VU25"/>
    <mergeCell ref="VW25:VZ25"/>
    <mergeCell ref="WC25:WF25"/>
    <mergeCell ref="WH25:WK25"/>
    <mergeCell ref="WM25:WP25"/>
    <mergeCell ref="UH25:UK25"/>
    <mergeCell ref="UM25:UP25"/>
    <mergeCell ref="UR25:UU25"/>
    <mergeCell ref="UW25:UZ25"/>
    <mergeCell ref="VC25:VF25"/>
    <mergeCell ref="VH25:VK25"/>
    <mergeCell ref="TB25:TE25"/>
    <mergeCell ref="TG25:TJ25"/>
    <mergeCell ref="TL25:TO25"/>
    <mergeCell ref="TR25:TU25"/>
    <mergeCell ref="TW25:TZ25"/>
    <mergeCell ref="UC25:UF25"/>
    <mergeCell ref="RV25:RY25"/>
    <mergeCell ref="SB25:SE25"/>
    <mergeCell ref="SG25:SJ25"/>
    <mergeCell ref="SL25:SO25"/>
    <mergeCell ref="SQ25:ST25"/>
    <mergeCell ref="SV25:SY25"/>
    <mergeCell ref="QQ25:QT25"/>
    <mergeCell ref="QV25:QY25"/>
    <mergeCell ref="RB25:RE25"/>
    <mergeCell ref="RG25:RJ25"/>
    <mergeCell ref="RL25:RO25"/>
    <mergeCell ref="RQ25:RT25"/>
    <mergeCell ref="PL25:PO25"/>
    <mergeCell ref="PQ25:PT25"/>
    <mergeCell ref="PV25:PY25"/>
    <mergeCell ref="QB25:QE25"/>
    <mergeCell ref="QG25:QJ25"/>
    <mergeCell ref="QL25:QO25"/>
    <mergeCell ref="OG25:OJ25"/>
    <mergeCell ref="OL25:OO25"/>
    <mergeCell ref="OQ25:OT25"/>
    <mergeCell ref="OV25:OY25"/>
    <mergeCell ref="PB25:PE25"/>
    <mergeCell ref="PG25:PJ25"/>
    <mergeCell ref="NB25:NE25"/>
    <mergeCell ref="NG25:NJ25"/>
    <mergeCell ref="NL25:NO25"/>
    <mergeCell ref="NQ25:NT25"/>
    <mergeCell ref="NV25:NY25"/>
    <mergeCell ref="OB25:OE25"/>
    <mergeCell ref="LV25:LY25"/>
    <mergeCell ref="MB25:ME25"/>
    <mergeCell ref="MG25:MJ25"/>
    <mergeCell ref="ML25:MO25"/>
    <mergeCell ref="MQ25:MT25"/>
    <mergeCell ref="MV25:MY25"/>
    <mergeCell ref="KQ25:KT25"/>
    <mergeCell ref="KV25:KY25"/>
    <mergeCell ref="LB25:LE25"/>
    <mergeCell ref="LG25:LJ25"/>
    <mergeCell ref="LL25:LO25"/>
    <mergeCell ref="LQ25:LT25"/>
    <mergeCell ref="JL25:JO25"/>
    <mergeCell ref="JQ25:JT25"/>
    <mergeCell ref="JV25:JY25"/>
    <mergeCell ref="KB25:KE25"/>
    <mergeCell ref="KG25:KJ25"/>
    <mergeCell ref="KL25:KO25"/>
    <mergeCell ref="IG25:IJ25"/>
    <mergeCell ref="IL25:IO25"/>
    <mergeCell ref="IQ25:IT25"/>
    <mergeCell ref="IV25:IY25"/>
    <mergeCell ref="JB25:JE25"/>
    <mergeCell ref="JG25:JJ25"/>
    <mergeCell ref="HB25:HE25"/>
    <mergeCell ref="HG25:HJ25"/>
    <mergeCell ref="HL25:HO25"/>
    <mergeCell ref="HQ25:HT25"/>
    <mergeCell ref="HV25:HY25"/>
    <mergeCell ref="IB25:IE25"/>
    <mergeCell ref="FV25:FY25"/>
    <mergeCell ref="GB25:GE25"/>
    <mergeCell ref="GG25:GJ25"/>
    <mergeCell ref="GL25:GO25"/>
    <mergeCell ref="GQ25:GT25"/>
    <mergeCell ref="GV25:GY25"/>
    <mergeCell ref="EQ25:ET25"/>
    <mergeCell ref="EV25:EY25"/>
    <mergeCell ref="FB25:FE25"/>
    <mergeCell ref="FG25:FJ25"/>
    <mergeCell ref="FL25:FO25"/>
    <mergeCell ref="FQ25:FT25"/>
    <mergeCell ref="DL25:DO25"/>
    <mergeCell ref="DQ25:DT25"/>
    <mergeCell ref="DV25:DY25"/>
    <mergeCell ref="EB25:EE25"/>
    <mergeCell ref="EG25:EJ25"/>
    <mergeCell ref="EL25:EO25"/>
    <mergeCell ref="CG25:CJ25"/>
    <mergeCell ref="CL25:CO25"/>
    <mergeCell ref="CQ25:CT25"/>
    <mergeCell ref="CV25:CY25"/>
    <mergeCell ref="DB25:DE25"/>
    <mergeCell ref="DG25:DJ25"/>
    <mergeCell ref="BB25:BE25"/>
    <mergeCell ref="BG25:BJ25"/>
    <mergeCell ref="BL25:BO25"/>
    <mergeCell ref="BQ25:BT25"/>
    <mergeCell ref="BV25:BY25"/>
    <mergeCell ref="CB25:CE25"/>
    <mergeCell ref="V25:Y25"/>
    <mergeCell ref="AB25:AE25"/>
    <mergeCell ref="AG25:AJ25"/>
    <mergeCell ref="AL25:AO25"/>
    <mergeCell ref="AQ25:AT25"/>
    <mergeCell ref="AV25:AY25"/>
    <mergeCell ref="AOP24:AOS24"/>
    <mergeCell ref="AOV24:AOY24"/>
    <mergeCell ref="APA24:APD24"/>
    <mergeCell ref="B25:E25"/>
    <mergeCell ref="G25:J25"/>
    <mergeCell ref="L25:O25"/>
    <mergeCell ref="Q25:T25"/>
    <mergeCell ref="ANJ24:ANM24"/>
    <mergeCell ref="ANO24:ANR24"/>
    <mergeCell ref="ANU24:ANX24"/>
    <mergeCell ref="ANZ24:AOC24"/>
    <mergeCell ref="AOG24:AOJ24"/>
    <mergeCell ref="AOK24:AON24"/>
    <mergeCell ref="AME24:AMH24"/>
    <mergeCell ref="AMI24:AML24"/>
    <mergeCell ref="AMN24:AMQ24"/>
    <mergeCell ref="AMT24:AMW24"/>
    <mergeCell ref="AMY24:ANB24"/>
    <mergeCell ref="ANF24:ANI24"/>
    <mergeCell ref="AKX24:ALA24"/>
    <mergeCell ref="ALE24:ALH24"/>
    <mergeCell ref="ALI24:ALL24"/>
    <mergeCell ref="ALN24:ALQ24"/>
    <mergeCell ref="ALS24:ALV24"/>
    <mergeCell ref="ALX24:AMA24"/>
    <mergeCell ref="AJS24:AJV24"/>
    <mergeCell ref="AJX24:AKA24"/>
    <mergeCell ref="AKE24:AKH24"/>
    <mergeCell ref="AKI24:AKL24"/>
    <mergeCell ref="AKN24:AKQ24"/>
    <mergeCell ref="AKS24:AKV24"/>
    <mergeCell ref="AIN24:AIQ24"/>
    <mergeCell ref="AIS24:AIV24"/>
    <mergeCell ref="AIX24:AJA24"/>
    <mergeCell ref="AJE24:AJH24"/>
    <mergeCell ref="AJI24:AJL24"/>
    <mergeCell ref="AJN24:AJQ24"/>
    <mergeCell ref="AHI24:AHL24"/>
    <mergeCell ref="AHN24:AHQ24"/>
    <mergeCell ref="AHS24:AHV24"/>
    <mergeCell ref="AHX24:AIA24"/>
    <mergeCell ref="AIE24:AIH24"/>
    <mergeCell ref="AII24:AIL24"/>
    <mergeCell ref="AGE24:AGH24"/>
    <mergeCell ref="AGI24:AGL24"/>
    <mergeCell ref="AGN24:AGQ24"/>
    <mergeCell ref="AGS24:AGV24"/>
    <mergeCell ref="AGX24:AHA24"/>
    <mergeCell ref="AHE24:AHH24"/>
    <mergeCell ref="AEX24:AFA24"/>
    <mergeCell ref="AFE24:AFH24"/>
    <mergeCell ref="AFI24:AFL24"/>
    <mergeCell ref="AFN24:AFQ24"/>
    <mergeCell ref="AFS24:AFV24"/>
    <mergeCell ref="AFX24:AGA24"/>
    <mergeCell ref="ADR24:ADU24"/>
    <mergeCell ref="ADW24:ADZ24"/>
    <mergeCell ref="AED24:AEG24"/>
    <mergeCell ref="AEH24:AEK24"/>
    <mergeCell ref="AEM24:AEP24"/>
    <mergeCell ref="AES24:AEV24"/>
    <mergeCell ref="ACM24:ACP24"/>
    <mergeCell ref="ACR24:ACU24"/>
    <mergeCell ref="ACW24:ACZ24"/>
    <mergeCell ref="ADD24:ADG24"/>
    <mergeCell ref="ADH24:ADK24"/>
    <mergeCell ref="ADM24:ADP24"/>
    <mergeCell ref="ABH24:ABK24"/>
    <mergeCell ref="ABM24:ABP24"/>
    <mergeCell ref="ABR24:ABU24"/>
    <mergeCell ref="ABW24:ABZ24"/>
    <mergeCell ref="ACD24:ACG24"/>
    <mergeCell ref="ACH24:ACK24"/>
    <mergeCell ref="AAD24:AAG24"/>
    <mergeCell ref="AAH24:AAK24"/>
    <mergeCell ref="AAM24:AAP24"/>
    <mergeCell ref="AAR24:AAU24"/>
    <mergeCell ref="AAW24:AAZ24"/>
    <mergeCell ref="ABD24:ABG24"/>
    <mergeCell ref="YW24:YZ24"/>
    <mergeCell ref="ZD24:ZG24"/>
    <mergeCell ref="ZH24:ZK24"/>
    <mergeCell ref="ZM24:ZP24"/>
    <mergeCell ref="ZR24:ZU24"/>
    <mergeCell ref="ZW24:ZZ24"/>
    <mergeCell ref="XR24:XU24"/>
    <mergeCell ref="XW24:XZ24"/>
    <mergeCell ref="YD24:YG24"/>
    <mergeCell ref="YH24:YK24"/>
    <mergeCell ref="YM24:YP24"/>
    <mergeCell ref="YR24:YU24"/>
    <mergeCell ref="WM24:WP24"/>
    <mergeCell ref="WR24:WU24"/>
    <mergeCell ref="WW24:WZ24"/>
    <mergeCell ref="XD24:XG24"/>
    <mergeCell ref="XH24:XK24"/>
    <mergeCell ref="XM24:XP24"/>
    <mergeCell ref="VH24:VK24"/>
    <mergeCell ref="VM24:VP24"/>
    <mergeCell ref="VR24:VU24"/>
    <mergeCell ref="VW24:VZ24"/>
    <mergeCell ref="WD24:WG24"/>
    <mergeCell ref="WH24:WK24"/>
    <mergeCell ref="UD24:UG24"/>
    <mergeCell ref="UH24:UK24"/>
    <mergeCell ref="UM24:UP24"/>
    <mergeCell ref="UR24:UU24"/>
    <mergeCell ref="UW24:UZ24"/>
    <mergeCell ref="VD24:VG24"/>
    <mergeCell ref="SV24:SY24"/>
    <mergeCell ref="TC24:TF24"/>
    <mergeCell ref="TG24:TJ24"/>
    <mergeCell ref="TL24:TO24"/>
    <mergeCell ref="TR24:TU24"/>
    <mergeCell ref="TW24:TZ24"/>
    <mergeCell ref="RQ24:RT24"/>
    <mergeCell ref="RV24:RY24"/>
    <mergeCell ref="SC24:SF24"/>
    <mergeCell ref="SG24:SJ24"/>
    <mergeCell ref="SL24:SO24"/>
    <mergeCell ref="SQ24:ST24"/>
    <mergeCell ref="QL24:QO24"/>
    <mergeCell ref="QQ24:QT24"/>
    <mergeCell ref="QV24:QY24"/>
    <mergeCell ref="RC24:RF24"/>
    <mergeCell ref="RG24:RJ24"/>
    <mergeCell ref="RL24:RO24"/>
    <mergeCell ref="PG24:PJ24"/>
    <mergeCell ref="PL24:PO24"/>
    <mergeCell ref="PQ24:PT24"/>
    <mergeCell ref="PV24:PY24"/>
    <mergeCell ref="QC24:QF24"/>
    <mergeCell ref="QG24:QJ24"/>
    <mergeCell ref="OC24:OF24"/>
    <mergeCell ref="OG24:OJ24"/>
    <mergeCell ref="OL24:OO24"/>
    <mergeCell ref="OQ24:OT24"/>
    <mergeCell ref="OV24:OY24"/>
    <mergeCell ref="PC24:PF24"/>
    <mergeCell ref="MV24:MY24"/>
    <mergeCell ref="NC24:NF24"/>
    <mergeCell ref="NG24:NJ24"/>
    <mergeCell ref="NL24:NO24"/>
    <mergeCell ref="NQ24:NT24"/>
    <mergeCell ref="NV24:NY24"/>
    <mergeCell ref="LQ24:LT24"/>
    <mergeCell ref="LV24:LY24"/>
    <mergeCell ref="MC24:MF24"/>
    <mergeCell ref="MG24:MJ24"/>
    <mergeCell ref="ML24:MO24"/>
    <mergeCell ref="MQ24:MT24"/>
    <mergeCell ref="KL24:KO24"/>
    <mergeCell ref="KQ24:KT24"/>
    <mergeCell ref="KV24:KY24"/>
    <mergeCell ref="LC24:LF24"/>
    <mergeCell ref="LG24:LJ24"/>
    <mergeCell ref="LL24:LO24"/>
    <mergeCell ref="JG24:JJ24"/>
    <mergeCell ref="JL24:JO24"/>
    <mergeCell ref="JQ24:JT24"/>
    <mergeCell ref="JV24:JY24"/>
    <mergeCell ref="KC24:KF24"/>
    <mergeCell ref="KG24:KJ24"/>
    <mergeCell ref="IC24:IF24"/>
    <mergeCell ref="IG24:IJ24"/>
    <mergeCell ref="IL24:IO24"/>
    <mergeCell ref="IQ24:IT24"/>
    <mergeCell ref="IV24:IY24"/>
    <mergeCell ref="JC24:JF24"/>
    <mergeCell ref="GV24:GY24"/>
    <mergeCell ref="HC24:HF24"/>
    <mergeCell ref="HG24:HJ24"/>
    <mergeCell ref="HL24:HO24"/>
    <mergeCell ref="HQ24:HT24"/>
    <mergeCell ref="HV24:HY24"/>
    <mergeCell ref="FQ24:FT24"/>
    <mergeCell ref="FV24:FY24"/>
    <mergeCell ref="GC24:GF24"/>
    <mergeCell ref="GG24:GJ24"/>
    <mergeCell ref="GL24:GO24"/>
    <mergeCell ref="GQ24:GT24"/>
    <mergeCell ref="EL24:EO24"/>
    <mergeCell ref="EQ24:ET24"/>
    <mergeCell ref="EV24:EY24"/>
    <mergeCell ref="FC24:FF24"/>
    <mergeCell ref="FG24:FJ24"/>
    <mergeCell ref="FL24:FO24"/>
    <mergeCell ref="DG24:DJ24"/>
    <mergeCell ref="DL24:DO24"/>
    <mergeCell ref="DQ24:DT24"/>
    <mergeCell ref="DV24:DY24"/>
    <mergeCell ref="EC24:EF24"/>
    <mergeCell ref="EG24:EJ24"/>
    <mergeCell ref="CC24:CF24"/>
    <mergeCell ref="CG24:CJ24"/>
    <mergeCell ref="CL24:CO24"/>
    <mergeCell ref="CQ24:CT24"/>
    <mergeCell ref="CV24:CY24"/>
    <mergeCell ref="DC24:DF24"/>
    <mergeCell ref="AV24:AY24"/>
    <mergeCell ref="BC24:BF24"/>
    <mergeCell ref="BG24:BJ24"/>
    <mergeCell ref="BL24:BO24"/>
    <mergeCell ref="BQ24:BT24"/>
    <mergeCell ref="BV24:BY24"/>
    <mergeCell ref="Q24:T24"/>
    <mergeCell ref="V24:Y24"/>
    <mergeCell ref="AC24:AF24"/>
    <mergeCell ref="AG24:AJ24"/>
    <mergeCell ref="AL24:AO24"/>
    <mergeCell ref="AQ24:AT24"/>
    <mergeCell ref="AOK23:AON23"/>
    <mergeCell ref="AOP23:AOS23"/>
    <mergeCell ref="AOV23:AOY23"/>
    <mergeCell ref="APA23:APD23"/>
    <mergeCell ref="C24:F24"/>
    <mergeCell ref="G24:J24"/>
    <mergeCell ref="L24:O24"/>
    <mergeCell ref="ANE23:ANH23"/>
    <mergeCell ref="ANJ23:ANM23"/>
    <mergeCell ref="ANO23:ANR23"/>
    <mergeCell ref="ANU23:ANX23"/>
    <mergeCell ref="ANZ23:AOC23"/>
    <mergeCell ref="AOF23:AOI23"/>
    <mergeCell ref="ALX23:AMA23"/>
    <mergeCell ref="AMD23:AMG23"/>
    <mergeCell ref="AMI23:AML23"/>
    <mergeCell ref="AMN23:AMQ23"/>
    <mergeCell ref="AMT23:AMW23"/>
    <mergeCell ref="AMY23:ANB23"/>
    <mergeCell ref="AKS23:AKV23"/>
    <mergeCell ref="AKX23:ALA23"/>
    <mergeCell ref="ALD23:ALG23"/>
    <mergeCell ref="ALI23:ALL23"/>
    <mergeCell ref="AJN23:AJQ23"/>
    <mergeCell ref="AJS23:AJV23"/>
    <mergeCell ref="AJX23:AKA23"/>
    <mergeCell ref="AKD23:AKG23"/>
    <mergeCell ref="AKI23:AKL23"/>
    <mergeCell ref="AKN23:AKQ23"/>
    <mergeCell ref="AII23:AIL23"/>
    <mergeCell ref="AIN23:AIQ23"/>
    <mergeCell ref="AIS23:AIV23"/>
    <mergeCell ref="AIX23:AJA23"/>
    <mergeCell ref="AJD23:AJG23"/>
    <mergeCell ref="AJI23:AJL23"/>
    <mergeCell ref="AHD23:AHG23"/>
    <mergeCell ref="AHI23:AHL23"/>
    <mergeCell ref="AHN23:AHQ23"/>
    <mergeCell ref="AHS23:AHV23"/>
    <mergeCell ref="AHX23:AIA23"/>
    <mergeCell ref="AID23:AIG23"/>
    <mergeCell ref="AFX23:AGA23"/>
    <mergeCell ref="AGD23:AGG23"/>
    <mergeCell ref="AGI23:AGL23"/>
    <mergeCell ref="AGN23:AGQ23"/>
    <mergeCell ref="AGS23:AGV23"/>
    <mergeCell ref="AGX23:AHA23"/>
    <mergeCell ref="AES23:AEV23"/>
    <mergeCell ref="AEX23:AFA23"/>
    <mergeCell ref="AFD23:AFG23"/>
    <mergeCell ref="AFI23:AFL23"/>
    <mergeCell ref="AFN23:AFQ23"/>
    <mergeCell ref="AFS23:AFV23"/>
    <mergeCell ref="ADM23:ADP23"/>
    <mergeCell ref="ADR23:ADU23"/>
    <mergeCell ref="ADW23:ADZ23"/>
    <mergeCell ref="AEC23:AEF23"/>
    <mergeCell ref="AEH23:AEK23"/>
    <mergeCell ref="AEM23:AEP23"/>
    <mergeCell ref="ACH23:ACK23"/>
    <mergeCell ref="ACM23:ACP23"/>
    <mergeCell ref="ACR23:ACU23"/>
    <mergeCell ref="ACW23:ACZ23"/>
    <mergeCell ref="ADC23:ADF23"/>
    <mergeCell ref="ADH23:ADK23"/>
    <mergeCell ref="ABC23:ABF23"/>
    <mergeCell ref="ABH23:ABK23"/>
    <mergeCell ref="ABM23:ABP23"/>
    <mergeCell ref="ABR23:ABU23"/>
    <mergeCell ref="ABW23:ABZ23"/>
    <mergeCell ref="ACC23:ACF23"/>
    <mergeCell ref="ZW23:ZZ23"/>
    <mergeCell ref="AAC23:AAF23"/>
    <mergeCell ref="AAH23:AAK23"/>
    <mergeCell ref="AAM23:AAP23"/>
    <mergeCell ref="AAR23:AAU23"/>
    <mergeCell ref="AAW23:AAZ23"/>
    <mergeCell ref="YR23:YU23"/>
    <mergeCell ref="YW23:YZ23"/>
    <mergeCell ref="ZC23:ZF23"/>
    <mergeCell ref="ZH23:ZK23"/>
    <mergeCell ref="ZM23:ZP23"/>
    <mergeCell ref="ZR23:ZU23"/>
    <mergeCell ref="XM23:XP23"/>
    <mergeCell ref="XR23:XU23"/>
    <mergeCell ref="XW23:XZ23"/>
    <mergeCell ref="YC23:YF23"/>
    <mergeCell ref="YH23:YK23"/>
    <mergeCell ref="YM23:YP23"/>
    <mergeCell ref="WH23:WK23"/>
    <mergeCell ref="WM23:WP23"/>
    <mergeCell ref="WR23:WU23"/>
    <mergeCell ref="WW23:WZ23"/>
    <mergeCell ref="XC23:XF23"/>
    <mergeCell ref="XH23:XK23"/>
    <mergeCell ref="VC23:VF23"/>
    <mergeCell ref="VH23:VK23"/>
    <mergeCell ref="VM23:VP23"/>
    <mergeCell ref="VR23:VU23"/>
    <mergeCell ref="VW23:VZ23"/>
    <mergeCell ref="WC23:WF23"/>
    <mergeCell ref="TW23:TZ23"/>
    <mergeCell ref="UC23:UF23"/>
    <mergeCell ref="UH23:UK23"/>
    <mergeCell ref="UM23:UP23"/>
    <mergeCell ref="UR23:UU23"/>
    <mergeCell ref="UW23:UZ23"/>
    <mergeCell ref="SQ23:ST23"/>
    <mergeCell ref="SV23:SY23"/>
    <mergeCell ref="TB23:TE23"/>
    <mergeCell ref="TG23:TJ23"/>
    <mergeCell ref="TL23:TO23"/>
    <mergeCell ref="TR23:TU23"/>
    <mergeCell ref="RL23:RO23"/>
    <mergeCell ref="RQ23:RT23"/>
    <mergeCell ref="RV23:RY23"/>
    <mergeCell ref="SB23:SE23"/>
    <mergeCell ref="SG23:SJ23"/>
    <mergeCell ref="SL23:SO23"/>
    <mergeCell ref="QG23:QJ23"/>
    <mergeCell ref="QL23:QO23"/>
    <mergeCell ref="QQ23:QT23"/>
    <mergeCell ref="QV23:QY23"/>
    <mergeCell ref="RB23:RE23"/>
    <mergeCell ref="RG23:RJ23"/>
    <mergeCell ref="PB23:PE23"/>
    <mergeCell ref="PG23:PJ23"/>
    <mergeCell ref="PL23:PO23"/>
    <mergeCell ref="PQ23:PT23"/>
    <mergeCell ref="PV23:PY23"/>
    <mergeCell ref="QB23:QE23"/>
    <mergeCell ref="NV23:NY23"/>
    <mergeCell ref="OB23:OE23"/>
    <mergeCell ref="OG23:OJ23"/>
    <mergeCell ref="OL23:OO23"/>
    <mergeCell ref="OQ23:OT23"/>
    <mergeCell ref="OV23:OY23"/>
    <mergeCell ref="MQ23:MT23"/>
    <mergeCell ref="MV23:MY23"/>
    <mergeCell ref="NB23:NE23"/>
    <mergeCell ref="NG23:NJ23"/>
    <mergeCell ref="NL23:NO23"/>
    <mergeCell ref="NQ23:NT23"/>
    <mergeCell ref="LL23:LO23"/>
    <mergeCell ref="LQ23:LT23"/>
    <mergeCell ref="LV23:LY23"/>
    <mergeCell ref="MB23:ME23"/>
    <mergeCell ref="MG23:MJ23"/>
    <mergeCell ref="ML23:MO23"/>
    <mergeCell ref="EG23:EJ23"/>
    <mergeCell ref="EL23:EO23"/>
    <mergeCell ref="EQ23:ET23"/>
    <mergeCell ref="EV23:EY23"/>
    <mergeCell ref="FB23:FE23"/>
    <mergeCell ref="FG23:FJ23"/>
    <mergeCell ref="KG23:KJ23"/>
    <mergeCell ref="KL23:KO23"/>
    <mergeCell ref="KQ23:KT23"/>
    <mergeCell ref="KV23:KY23"/>
    <mergeCell ref="LB23:LE23"/>
    <mergeCell ref="LG23:LJ23"/>
    <mergeCell ref="JB23:JE23"/>
    <mergeCell ref="JG23:JJ23"/>
    <mergeCell ref="JL23:JO23"/>
    <mergeCell ref="JQ23:JT23"/>
    <mergeCell ref="JV23:JY23"/>
    <mergeCell ref="KB23:KE23"/>
    <mergeCell ref="HV23:HY23"/>
    <mergeCell ref="IB23:IE23"/>
    <mergeCell ref="IG23:IJ23"/>
    <mergeCell ref="IL23:IO23"/>
    <mergeCell ref="IQ23:IT23"/>
    <mergeCell ref="IV23:IY23"/>
    <mergeCell ref="AJX22:AKA22"/>
    <mergeCell ref="AKD22:AKH22"/>
    <mergeCell ref="AKI22:AKL22"/>
    <mergeCell ref="AKN22:AKQ22"/>
    <mergeCell ref="DB23:DE23"/>
    <mergeCell ref="DG23:DJ23"/>
    <mergeCell ref="DL23:DO23"/>
    <mergeCell ref="DQ23:DT23"/>
    <mergeCell ref="DV23:DY23"/>
    <mergeCell ref="EB23:EE23"/>
    <mergeCell ref="BV23:BY23"/>
    <mergeCell ref="CB23:CE23"/>
    <mergeCell ref="CG23:CJ23"/>
    <mergeCell ref="CL23:CO23"/>
    <mergeCell ref="CQ23:CT23"/>
    <mergeCell ref="CV23:CY23"/>
    <mergeCell ref="AIN22:AIQ22"/>
    <mergeCell ref="ABW22:ABZ22"/>
    <mergeCell ref="ACC22:ACG22"/>
    <mergeCell ref="ACH22:ACK22"/>
    <mergeCell ref="ACM22:ACP22"/>
    <mergeCell ref="AAH22:AAK22"/>
    <mergeCell ref="AAM22:AAP22"/>
    <mergeCell ref="AAR22:AAU22"/>
    <mergeCell ref="AAW22:AAZ22"/>
    <mergeCell ref="ABC22:ABG22"/>
    <mergeCell ref="ABH22:ABK22"/>
    <mergeCell ref="ZC22:ZG22"/>
    <mergeCell ref="AB23:AE23"/>
    <mergeCell ref="AG23:AJ23"/>
    <mergeCell ref="AL23:AO23"/>
    <mergeCell ref="AQ23:AT23"/>
    <mergeCell ref="AV23:AY23"/>
    <mergeCell ref="BB23:BE23"/>
    <mergeCell ref="GQ23:GT23"/>
    <mergeCell ref="GV23:GY23"/>
    <mergeCell ref="HB23:HE23"/>
    <mergeCell ref="HG23:HJ23"/>
    <mergeCell ref="HL23:HO23"/>
    <mergeCell ref="HQ23:HT23"/>
    <mergeCell ref="FL23:FO23"/>
    <mergeCell ref="FQ23:FT23"/>
    <mergeCell ref="FV23:FY23"/>
    <mergeCell ref="GB23:GE23"/>
    <mergeCell ref="AII22:AIL22"/>
    <mergeCell ref="AGI22:AGL22"/>
    <mergeCell ref="AGN22:AGQ22"/>
    <mergeCell ref="AGS22:AGV22"/>
    <mergeCell ref="AGX22:AHA22"/>
    <mergeCell ref="AHD22:AHH22"/>
    <mergeCell ref="AHI22:AHL22"/>
    <mergeCell ref="AEX22:AFA22"/>
    <mergeCell ref="ACR22:ACU22"/>
    <mergeCell ref="ACW22:ACZ22"/>
    <mergeCell ref="ADC22:ADG22"/>
    <mergeCell ref="ADH22:ADK22"/>
    <mergeCell ref="ADM22:ADP22"/>
    <mergeCell ref="ADR22:ADU22"/>
    <mergeCell ref="ABM22:ABP22"/>
    <mergeCell ref="ABR22:ABU22"/>
    <mergeCell ref="AOV22:AOY22"/>
    <mergeCell ref="APA22:APD22"/>
    <mergeCell ref="B23:E23"/>
    <mergeCell ref="G23:J23"/>
    <mergeCell ref="L23:O23"/>
    <mergeCell ref="Q23:T23"/>
    <mergeCell ref="V23:Y23"/>
    <mergeCell ref="ANO22:ANR22"/>
    <mergeCell ref="ANU22:ANX22"/>
    <mergeCell ref="ANZ22:AOC22"/>
    <mergeCell ref="AOF22:AOJ22"/>
    <mergeCell ref="AOK22:AON22"/>
    <mergeCell ref="AOP22:AOS22"/>
    <mergeCell ref="AMI22:AML22"/>
    <mergeCell ref="AMN22:AMQ22"/>
    <mergeCell ref="AMT22:AMW22"/>
    <mergeCell ref="AMY22:ANB22"/>
    <mergeCell ref="ANE22:ANI22"/>
    <mergeCell ref="ANJ22:ANM22"/>
    <mergeCell ref="ALD22:ALH22"/>
    <mergeCell ref="ALI22:ALL22"/>
    <mergeCell ref="AFD22:AFH22"/>
    <mergeCell ref="AFI22:AFL22"/>
    <mergeCell ref="AFN22:AFQ22"/>
    <mergeCell ref="AFS22:AFV22"/>
    <mergeCell ref="AFX22:AGA22"/>
    <mergeCell ref="AGD22:AGH22"/>
    <mergeCell ref="ADW22:ADZ22"/>
    <mergeCell ref="AEC22:AEG22"/>
    <mergeCell ref="AEH22:AEK22"/>
    <mergeCell ref="AEM22:AEP22"/>
    <mergeCell ref="AES22:AEV22"/>
    <mergeCell ref="ZH22:ZK22"/>
    <mergeCell ref="ZM22:ZP22"/>
    <mergeCell ref="ZR22:ZU22"/>
    <mergeCell ref="ZW22:ZZ22"/>
    <mergeCell ref="AAC22:AAG22"/>
    <mergeCell ref="XW22:XZ22"/>
    <mergeCell ref="YC22:YG22"/>
    <mergeCell ref="YH22:YK22"/>
    <mergeCell ref="YM22:YP22"/>
    <mergeCell ref="YR22:YU22"/>
    <mergeCell ref="YW22:YZ22"/>
    <mergeCell ref="WR22:WU22"/>
    <mergeCell ref="WW22:WZ22"/>
    <mergeCell ref="XC22:XG22"/>
    <mergeCell ref="XH22:XK22"/>
    <mergeCell ref="XM22:XP22"/>
    <mergeCell ref="XR22:XU22"/>
    <mergeCell ref="VM22:VP22"/>
    <mergeCell ref="VR22:VU22"/>
    <mergeCell ref="VW22:VZ22"/>
    <mergeCell ref="WC22:WG22"/>
    <mergeCell ref="WH22:WK22"/>
    <mergeCell ref="WM22:WP22"/>
    <mergeCell ref="UH22:UK22"/>
    <mergeCell ref="UM22:UP22"/>
    <mergeCell ref="UR22:UU22"/>
    <mergeCell ref="UW22:UZ22"/>
    <mergeCell ref="VC22:VG22"/>
    <mergeCell ref="VH22:VK22"/>
    <mergeCell ref="TB22:TF22"/>
    <mergeCell ref="TG22:TJ22"/>
    <mergeCell ref="TL22:TO22"/>
    <mergeCell ref="TR22:TU22"/>
    <mergeCell ref="TW22:TZ22"/>
    <mergeCell ref="UC22:UG22"/>
    <mergeCell ref="SB22:SF22"/>
    <mergeCell ref="SG22:SJ22"/>
    <mergeCell ref="SL22:SO22"/>
    <mergeCell ref="SQ22:ST22"/>
    <mergeCell ref="SV22:SY22"/>
    <mergeCell ref="QQ22:QT22"/>
    <mergeCell ref="QV22:QY22"/>
    <mergeCell ref="RB22:RF22"/>
    <mergeCell ref="RG22:RJ22"/>
    <mergeCell ref="RL22:RO22"/>
    <mergeCell ref="RQ22:RT22"/>
    <mergeCell ref="PL22:PO22"/>
    <mergeCell ref="PQ22:PT22"/>
    <mergeCell ref="PV22:PY22"/>
    <mergeCell ref="QB22:QF22"/>
    <mergeCell ref="QG22:QJ22"/>
    <mergeCell ref="QL22:QO22"/>
    <mergeCell ref="OQ22:OT22"/>
    <mergeCell ref="OV22:OY22"/>
    <mergeCell ref="PB22:PF22"/>
    <mergeCell ref="PG22:PJ22"/>
    <mergeCell ref="NB22:NF22"/>
    <mergeCell ref="NG22:NJ22"/>
    <mergeCell ref="NL22:NO22"/>
    <mergeCell ref="NQ22:NT22"/>
    <mergeCell ref="NV22:NY22"/>
    <mergeCell ref="OB22:OF22"/>
    <mergeCell ref="LV22:LY22"/>
    <mergeCell ref="MB22:MF22"/>
    <mergeCell ref="MG22:MJ22"/>
    <mergeCell ref="ML22:MO22"/>
    <mergeCell ref="MQ22:MT22"/>
    <mergeCell ref="MV22:MY22"/>
    <mergeCell ref="RV22:RY22"/>
    <mergeCell ref="LG22:LJ22"/>
    <mergeCell ref="LL22:LO22"/>
    <mergeCell ref="LQ22:LT22"/>
    <mergeCell ref="JL22:JO22"/>
    <mergeCell ref="JQ22:JT22"/>
    <mergeCell ref="JV22:JY22"/>
    <mergeCell ref="KB22:KF22"/>
    <mergeCell ref="KG22:KJ22"/>
    <mergeCell ref="KL22:KO22"/>
    <mergeCell ref="IG22:IJ22"/>
    <mergeCell ref="IL22:IO22"/>
    <mergeCell ref="IQ22:IT22"/>
    <mergeCell ref="IV22:IY22"/>
    <mergeCell ref="JB22:JF22"/>
    <mergeCell ref="JG22:JJ22"/>
    <mergeCell ref="OG22:OJ22"/>
    <mergeCell ref="OL22:OO22"/>
    <mergeCell ref="HV22:HY22"/>
    <mergeCell ref="IB22:IF22"/>
    <mergeCell ref="FV22:FY22"/>
    <mergeCell ref="GB22:GF22"/>
    <mergeCell ref="GG22:GJ22"/>
    <mergeCell ref="GL22:GO22"/>
    <mergeCell ref="GQ22:GT22"/>
    <mergeCell ref="GV22:GY22"/>
    <mergeCell ref="EQ22:ET22"/>
    <mergeCell ref="EV22:EY22"/>
    <mergeCell ref="FB22:FF22"/>
    <mergeCell ref="FG22:FJ22"/>
    <mergeCell ref="FL22:FO22"/>
    <mergeCell ref="FQ22:FT22"/>
    <mergeCell ref="KQ22:KT22"/>
    <mergeCell ref="KV22:KY22"/>
    <mergeCell ref="LB22:LF22"/>
    <mergeCell ref="DL22:DO22"/>
    <mergeCell ref="DQ22:DT22"/>
    <mergeCell ref="DV22:DY22"/>
    <mergeCell ref="EB22:EF22"/>
    <mergeCell ref="EG22:EJ22"/>
    <mergeCell ref="EL22:EO22"/>
    <mergeCell ref="CG22:CJ22"/>
    <mergeCell ref="CL22:CO22"/>
    <mergeCell ref="CQ22:CT22"/>
    <mergeCell ref="CV22:CY22"/>
    <mergeCell ref="DB22:DF22"/>
    <mergeCell ref="DG22:DJ22"/>
    <mergeCell ref="AV22:AY22"/>
    <mergeCell ref="BB22:BF22"/>
    <mergeCell ref="BG22:BJ22"/>
    <mergeCell ref="BL22:BO22"/>
    <mergeCell ref="BQ22:BT22"/>
    <mergeCell ref="BV22:BY22"/>
    <mergeCell ref="Q22:T22"/>
    <mergeCell ref="V22:Y22"/>
    <mergeCell ref="AB22:AF22"/>
    <mergeCell ref="AG22:AJ22"/>
    <mergeCell ref="AL22:AO22"/>
    <mergeCell ref="AQ22:AT22"/>
    <mergeCell ref="AOK21:AON21"/>
    <mergeCell ref="AOP21:AOS21"/>
    <mergeCell ref="AOV21:AOY21"/>
    <mergeCell ref="APA21:APD21"/>
    <mergeCell ref="B22:F22"/>
    <mergeCell ref="G22:J22"/>
    <mergeCell ref="L22:O22"/>
    <mergeCell ref="AMI21:AML21"/>
    <mergeCell ref="AMN21:AMQ21"/>
    <mergeCell ref="AMT21:AMW21"/>
    <mergeCell ref="AMY21:ANB21"/>
    <mergeCell ref="ANF21:ANH21"/>
    <mergeCell ref="ANJ21:ANM21"/>
    <mergeCell ref="AKI21:AKL21"/>
    <mergeCell ref="AKN21:AKQ21"/>
    <mergeCell ref="AKS21:AKV21"/>
    <mergeCell ref="AKX21:ALA21"/>
    <mergeCell ref="ALE21:ALG21"/>
    <mergeCell ref="ALI21:ALL21"/>
    <mergeCell ref="AII21:AIL21"/>
    <mergeCell ref="AIN21:AIQ21"/>
    <mergeCell ref="AIS21:AIV21"/>
    <mergeCell ref="AIX21:AJA21"/>
    <mergeCell ref="AJE21:AJG21"/>
    <mergeCell ref="AJI21:AJL21"/>
    <mergeCell ref="AGI21:AGL21"/>
    <mergeCell ref="AGN21:AGQ21"/>
    <mergeCell ref="AGS21:AGV21"/>
    <mergeCell ref="AGX21:AHA21"/>
    <mergeCell ref="V21:Y21"/>
    <mergeCell ref="AC21:AE21"/>
    <mergeCell ref="AG21:AJ21"/>
    <mergeCell ref="AL21:AO21"/>
    <mergeCell ref="AQ21:AT21"/>
    <mergeCell ref="AV21:AY21"/>
    <mergeCell ref="AOK20:AON20"/>
    <mergeCell ref="AOP20:AOS20"/>
    <mergeCell ref="AOV20:AOY20"/>
    <mergeCell ref="APA20:APD20"/>
    <mergeCell ref="C21:E21"/>
    <mergeCell ref="G21:J21"/>
    <mergeCell ref="L21:O21"/>
    <mergeCell ref="ANF20:ANH20"/>
    <mergeCell ref="ANJ20:ANM20"/>
    <mergeCell ref="ANO20:ANR20"/>
    <mergeCell ref="ANU20:ANX20"/>
    <mergeCell ref="ANZ20:AOC20"/>
    <mergeCell ref="AOG20:AOI20"/>
    <mergeCell ref="ALE20:ALG20"/>
    <mergeCell ref="ALI20:ALL20"/>
    <mergeCell ref="ALN20:ALQ20"/>
    <mergeCell ref="ALS20:ALV20"/>
    <mergeCell ref="GG21:GJ21"/>
    <mergeCell ref="GL21:GO21"/>
    <mergeCell ref="GQ21:GT21"/>
    <mergeCell ref="GV21:GY21"/>
    <mergeCell ref="HC21:HE21"/>
    <mergeCell ref="HG21:HJ21"/>
    <mergeCell ref="AOK19:AON19"/>
    <mergeCell ref="AOP19:AOS19"/>
    <mergeCell ref="AOV19:AOY19"/>
    <mergeCell ref="APA19:APD19"/>
    <mergeCell ref="C20:E20"/>
    <mergeCell ref="G20:J20"/>
    <mergeCell ref="L20:O20"/>
    <mergeCell ref="ANJ19:ANM19"/>
    <mergeCell ref="ANO19:ANR19"/>
    <mergeCell ref="ANU19:ANX19"/>
    <mergeCell ref="ANZ19:AOC19"/>
    <mergeCell ref="AOE19:AOE23"/>
    <mergeCell ref="AOG19:AOI19"/>
    <mergeCell ref="ANO21:ANR21"/>
    <mergeCell ref="ANU21:ANX21"/>
    <mergeCell ref="ANZ21:AOC21"/>
    <mergeCell ref="AOG21:AOI21"/>
    <mergeCell ref="AMI19:AML19"/>
    <mergeCell ref="AMN19:AMQ19"/>
    <mergeCell ref="AMT19:AMW19"/>
    <mergeCell ref="AMY19:ANB19"/>
    <mergeCell ref="AND19:AND23"/>
    <mergeCell ref="ANF19:ANH19"/>
    <mergeCell ref="AMI20:AML20"/>
    <mergeCell ref="AMN20:AMQ20"/>
    <mergeCell ref="AMT20:AMW20"/>
    <mergeCell ref="AMY20:ANB20"/>
    <mergeCell ref="ALI19:ALL19"/>
    <mergeCell ref="ALN19:ALQ19"/>
    <mergeCell ref="ALS19:ALV19"/>
    <mergeCell ref="ALX19:AMA19"/>
    <mergeCell ref="AMC19:AMC23"/>
    <mergeCell ref="AME19:AMG19"/>
    <mergeCell ref="ALN21:ALQ21"/>
    <mergeCell ref="ALS21:ALV21"/>
    <mergeCell ref="ALX21:AMA21"/>
    <mergeCell ref="AME21:AMG21"/>
    <mergeCell ref="AKI19:AKL19"/>
    <mergeCell ref="AKN19:AKQ19"/>
    <mergeCell ref="AKS19:AKV19"/>
    <mergeCell ref="AKX19:ALA19"/>
    <mergeCell ref="ALC19:ALC23"/>
    <mergeCell ref="ALE19:ALG19"/>
    <mergeCell ref="AKI20:AKL20"/>
    <mergeCell ref="AKN20:AKQ20"/>
    <mergeCell ref="AKS20:AKV20"/>
    <mergeCell ref="AKX20:ALA20"/>
    <mergeCell ref="ALX20:AMA20"/>
    <mergeCell ref="AME20:AMG20"/>
    <mergeCell ref="AKS22:AKV22"/>
    <mergeCell ref="AKX22:ALA22"/>
    <mergeCell ref="ALN22:ALQ22"/>
    <mergeCell ref="ALS22:ALV22"/>
    <mergeCell ref="ALX22:AMA22"/>
    <mergeCell ref="AMD22:AMH22"/>
    <mergeCell ref="ALN23:ALQ23"/>
    <mergeCell ref="ALS23:ALV23"/>
    <mergeCell ref="AJI19:AJL19"/>
    <mergeCell ref="AJN19:AJQ19"/>
    <mergeCell ref="AJS19:AJV19"/>
    <mergeCell ref="AJX19:AKA19"/>
    <mergeCell ref="AKC19:AKC23"/>
    <mergeCell ref="AKE19:AKG19"/>
    <mergeCell ref="AJN21:AJQ21"/>
    <mergeCell ref="AJS21:AJV21"/>
    <mergeCell ref="AJX21:AKA21"/>
    <mergeCell ref="AKE21:AKG21"/>
    <mergeCell ref="AII19:AIL19"/>
    <mergeCell ref="AIN19:AIQ19"/>
    <mergeCell ref="AIS19:AIV19"/>
    <mergeCell ref="AIX19:AJA19"/>
    <mergeCell ref="AJC19:AJC23"/>
    <mergeCell ref="AJE19:AJG19"/>
    <mergeCell ref="AII20:AIL20"/>
    <mergeCell ref="AIN20:AIQ20"/>
    <mergeCell ref="AIS20:AIV20"/>
    <mergeCell ref="AIX20:AJA20"/>
    <mergeCell ref="AJE20:AJG20"/>
    <mergeCell ref="AJI20:AJL20"/>
    <mergeCell ref="AJN20:AJQ20"/>
    <mergeCell ref="AJS20:AJV20"/>
    <mergeCell ref="AJX20:AKA20"/>
    <mergeCell ref="AKE20:AKG20"/>
    <mergeCell ref="AIS22:AIV22"/>
    <mergeCell ref="AIX22:AJA22"/>
    <mergeCell ref="AJD22:AJH22"/>
    <mergeCell ref="AJI22:AJL22"/>
    <mergeCell ref="AJN22:AJQ22"/>
    <mergeCell ref="AJS22:AJV22"/>
    <mergeCell ref="AHI19:AHL19"/>
    <mergeCell ref="AHN19:AHQ19"/>
    <mergeCell ref="AHS19:AHV19"/>
    <mergeCell ref="AHX19:AIA19"/>
    <mergeCell ref="AIC19:AIC23"/>
    <mergeCell ref="AIE19:AIG19"/>
    <mergeCell ref="AHN21:AHQ21"/>
    <mergeCell ref="AHS21:AHV21"/>
    <mergeCell ref="AHX21:AIA21"/>
    <mergeCell ref="AIE21:AIG21"/>
    <mergeCell ref="AGI19:AGL19"/>
    <mergeCell ref="AGN19:AGQ19"/>
    <mergeCell ref="AGS19:AGV19"/>
    <mergeCell ref="AGX19:AHA19"/>
    <mergeCell ref="AHC19:AHC23"/>
    <mergeCell ref="AHE19:AHG19"/>
    <mergeCell ref="AGI20:AGL20"/>
    <mergeCell ref="AGN20:AGQ20"/>
    <mergeCell ref="AGS20:AGV20"/>
    <mergeCell ref="AGX20:AHA20"/>
    <mergeCell ref="AHE20:AHG20"/>
    <mergeCell ref="AHI20:AHL20"/>
    <mergeCell ref="AHN20:AHQ20"/>
    <mergeCell ref="AHS20:AHV20"/>
    <mergeCell ref="AHX20:AIA20"/>
    <mergeCell ref="AIE20:AIG20"/>
    <mergeCell ref="AHE21:AHG21"/>
    <mergeCell ref="AHI21:AHL21"/>
    <mergeCell ref="AHN22:AHQ22"/>
    <mergeCell ref="AHS22:AHV22"/>
    <mergeCell ref="AHX22:AIA22"/>
    <mergeCell ref="AID22:AIH22"/>
    <mergeCell ref="AFI19:AFL19"/>
    <mergeCell ref="AFN19:AFQ19"/>
    <mergeCell ref="AFS19:AFV19"/>
    <mergeCell ref="AFX19:AGA19"/>
    <mergeCell ref="AGC19:AGC23"/>
    <mergeCell ref="AGE19:AGG19"/>
    <mergeCell ref="AFN21:AFQ21"/>
    <mergeCell ref="AFS21:AFV21"/>
    <mergeCell ref="AFX21:AGA21"/>
    <mergeCell ref="AGE21:AGG21"/>
    <mergeCell ref="AEH19:AEK19"/>
    <mergeCell ref="AEM19:AEP19"/>
    <mergeCell ref="AES19:AEV19"/>
    <mergeCell ref="AEX19:AFA19"/>
    <mergeCell ref="AFC19:AFC23"/>
    <mergeCell ref="AFE19:AFG19"/>
    <mergeCell ref="AEH20:AEK20"/>
    <mergeCell ref="AEM20:AEP20"/>
    <mergeCell ref="AES20:AEV20"/>
    <mergeCell ref="AEX20:AFA20"/>
    <mergeCell ref="AFE20:AFG20"/>
    <mergeCell ref="AFI20:AFL20"/>
    <mergeCell ref="AFN20:AFQ20"/>
    <mergeCell ref="AFS20:AFV20"/>
    <mergeCell ref="AFX20:AGA20"/>
    <mergeCell ref="AGE20:AGG20"/>
    <mergeCell ref="AEH21:AEK21"/>
    <mergeCell ref="AEM21:AEP21"/>
    <mergeCell ref="AES21:AEV21"/>
    <mergeCell ref="AEX21:AFA21"/>
    <mergeCell ref="AFE21:AFG21"/>
    <mergeCell ref="AFI21:AFL21"/>
    <mergeCell ref="ADH19:ADK19"/>
    <mergeCell ref="ADM19:ADP19"/>
    <mergeCell ref="ADR19:ADU19"/>
    <mergeCell ref="ADW19:ADZ19"/>
    <mergeCell ref="AEB19:AEB23"/>
    <mergeCell ref="AED19:AEF19"/>
    <mergeCell ref="ADM21:ADP21"/>
    <mergeCell ref="ADR21:ADU21"/>
    <mergeCell ref="ADW21:ADZ21"/>
    <mergeCell ref="AED21:AEF21"/>
    <mergeCell ref="ACH19:ACK19"/>
    <mergeCell ref="ACM19:ACP19"/>
    <mergeCell ref="ACR19:ACU19"/>
    <mergeCell ref="ACW19:ACZ19"/>
    <mergeCell ref="ADB19:ADB23"/>
    <mergeCell ref="ADD19:ADF19"/>
    <mergeCell ref="ACH20:ACK20"/>
    <mergeCell ref="ACM20:ACP20"/>
    <mergeCell ref="ACR20:ACU20"/>
    <mergeCell ref="ACW20:ACZ20"/>
    <mergeCell ref="ADD20:ADF20"/>
    <mergeCell ref="ADH20:ADK20"/>
    <mergeCell ref="ADM20:ADP20"/>
    <mergeCell ref="ADR20:ADU20"/>
    <mergeCell ref="ADW20:ADZ20"/>
    <mergeCell ref="AED20:AEF20"/>
    <mergeCell ref="ACH21:ACK21"/>
    <mergeCell ref="ACM21:ACP21"/>
    <mergeCell ref="ACR21:ACU21"/>
    <mergeCell ref="ACW21:ACZ21"/>
    <mergeCell ref="ADD21:ADF21"/>
    <mergeCell ref="ADH21:ADK21"/>
    <mergeCell ref="ABH19:ABK19"/>
    <mergeCell ref="ABM19:ABP19"/>
    <mergeCell ref="ABR19:ABU19"/>
    <mergeCell ref="ABW19:ABZ19"/>
    <mergeCell ref="ACB19:ACB23"/>
    <mergeCell ref="ACD19:ACF19"/>
    <mergeCell ref="ABM21:ABP21"/>
    <mergeCell ref="ABR21:ABU21"/>
    <mergeCell ref="ABW21:ABZ21"/>
    <mergeCell ref="ACD21:ACF21"/>
    <mergeCell ref="AAH19:AAK19"/>
    <mergeCell ref="AAM19:AAP19"/>
    <mergeCell ref="AAR19:AAU19"/>
    <mergeCell ref="AAW19:AAZ19"/>
    <mergeCell ref="ABB19:ABB23"/>
    <mergeCell ref="ABD19:ABF19"/>
    <mergeCell ref="AAH20:AAK20"/>
    <mergeCell ref="AAM20:AAP20"/>
    <mergeCell ref="AAR20:AAU20"/>
    <mergeCell ref="AAW20:AAZ20"/>
    <mergeCell ref="ABD20:ABF20"/>
    <mergeCell ref="ABH20:ABK20"/>
    <mergeCell ref="ABM20:ABP20"/>
    <mergeCell ref="ABR20:ABU20"/>
    <mergeCell ref="ABW20:ABZ20"/>
    <mergeCell ref="ACD20:ACF20"/>
    <mergeCell ref="AAH21:AAK21"/>
    <mergeCell ref="AAM21:AAP21"/>
    <mergeCell ref="AAR21:AAU21"/>
    <mergeCell ref="AAW21:AAZ21"/>
    <mergeCell ref="ABD21:ABF21"/>
    <mergeCell ref="ABH21:ABK21"/>
    <mergeCell ref="ZH19:ZK19"/>
    <mergeCell ref="ZM19:ZP19"/>
    <mergeCell ref="ZR19:ZU19"/>
    <mergeCell ref="ZW19:ZZ19"/>
    <mergeCell ref="AAB19:AAB23"/>
    <mergeCell ref="AAD19:AAF19"/>
    <mergeCell ref="ZM21:ZP21"/>
    <mergeCell ref="ZR21:ZU21"/>
    <mergeCell ref="ZW21:ZZ21"/>
    <mergeCell ref="AAD21:AAF21"/>
    <mergeCell ref="YH19:YK19"/>
    <mergeCell ref="YM19:YP19"/>
    <mergeCell ref="YR19:YU19"/>
    <mergeCell ref="YW19:YZ19"/>
    <mergeCell ref="ZB19:ZB23"/>
    <mergeCell ref="ZD19:ZF19"/>
    <mergeCell ref="YH20:YK20"/>
    <mergeCell ref="YM20:YP20"/>
    <mergeCell ref="YR20:YU20"/>
    <mergeCell ref="YW20:YZ20"/>
    <mergeCell ref="ZD20:ZF20"/>
    <mergeCell ref="ZH20:ZK20"/>
    <mergeCell ref="ZM20:ZP20"/>
    <mergeCell ref="ZR20:ZU20"/>
    <mergeCell ref="ZW20:ZZ20"/>
    <mergeCell ref="AAD20:AAF20"/>
    <mergeCell ref="YH21:YK21"/>
    <mergeCell ref="YM21:YP21"/>
    <mergeCell ref="YR21:YU21"/>
    <mergeCell ref="YW21:YZ21"/>
    <mergeCell ref="ZD21:ZF21"/>
    <mergeCell ref="ZH21:ZK21"/>
    <mergeCell ref="XH19:XK19"/>
    <mergeCell ref="XM19:XP19"/>
    <mergeCell ref="XR19:XU19"/>
    <mergeCell ref="XW19:XZ19"/>
    <mergeCell ref="YB19:YB23"/>
    <mergeCell ref="YD19:YF19"/>
    <mergeCell ref="XM21:XP21"/>
    <mergeCell ref="XR21:XU21"/>
    <mergeCell ref="XW21:XZ21"/>
    <mergeCell ref="YD21:YF21"/>
    <mergeCell ref="WH19:WK19"/>
    <mergeCell ref="WM19:WP19"/>
    <mergeCell ref="WR19:WU19"/>
    <mergeCell ref="WW19:WZ19"/>
    <mergeCell ref="XB19:XB23"/>
    <mergeCell ref="XD19:XF19"/>
    <mergeCell ref="WH20:WK20"/>
    <mergeCell ref="WM20:WP20"/>
    <mergeCell ref="WR20:WU20"/>
    <mergeCell ref="WW20:WZ20"/>
    <mergeCell ref="XD20:XF20"/>
    <mergeCell ref="XH20:XK20"/>
    <mergeCell ref="XM20:XP20"/>
    <mergeCell ref="XR20:XU20"/>
    <mergeCell ref="XW20:XZ20"/>
    <mergeCell ref="YD20:YF20"/>
    <mergeCell ref="WH21:WK21"/>
    <mergeCell ref="WM21:WP21"/>
    <mergeCell ref="WR21:WU21"/>
    <mergeCell ref="WW21:WZ21"/>
    <mergeCell ref="XD21:XF21"/>
    <mergeCell ref="XH21:XK21"/>
    <mergeCell ref="VH19:VK19"/>
    <mergeCell ref="VM19:VP19"/>
    <mergeCell ref="VR19:VU19"/>
    <mergeCell ref="VW19:VZ19"/>
    <mergeCell ref="WB19:WB23"/>
    <mergeCell ref="WD19:WF19"/>
    <mergeCell ref="VM21:VP21"/>
    <mergeCell ref="VR21:VU21"/>
    <mergeCell ref="VW21:VZ21"/>
    <mergeCell ref="WD21:WF21"/>
    <mergeCell ref="UH19:UK19"/>
    <mergeCell ref="UM19:UP19"/>
    <mergeCell ref="UR19:UU19"/>
    <mergeCell ref="UW19:UZ19"/>
    <mergeCell ref="VB19:VB23"/>
    <mergeCell ref="VD19:VF19"/>
    <mergeCell ref="UH20:UK20"/>
    <mergeCell ref="UM20:UP20"/>
    <mergeCell ref="UR20:UU20"/>
    <mergeCell ref="UW20:UZ20"/>
    <mergeCell ref="VD20:VF20"/>
    <mergeCell ref="VH20:VK20"/>
    <mergeCell ref="VM20:VP20"/>
    <mergeCell ref="VR20:VU20"/>
    <mergeCell ref="VW20:VZ20"/>
    <mergeCell ref="WD20:WF20"/>
    <mergeCell ref="UH21:UK21"/>
    <mergeCell ref="UM21:UP21"/>
    <mergeCell ref="UR21:UU21"/>
    <mergeCell ref="UW21:UZ21"/>
    <mergeCell ref="VD21:VF21"/>
    <mergeCell ref="VH21:VK21"/>
    <mergeCell ref="TG19:TJ19"/>
    <mergeCell ref="TL19:TO19"/>
    <mergeCell ref="TR19:TU19"/>
    <mergeCell ref="TW19:TZ19"/>
    <mergeCell ref="UB19:UB23"/>
    <mergeCell ref="UD19:UF19"/>
    <mergeCell ref="TL21:TO21"/>
    <mergeCell ref="TR21:TU21"/>
    <mergeCell ref="TW21:TZ21"/>
    <mergeCell ref="UD21:UF21"/>
    <mergeCell ref="SG19:SJ19"/>
    <mergeCell ref="SL19:SO19"/>
    <mergeCell ref="SQ19:ST19"/>
    <mergeCell ref="SV19:SY19"/>
    <mergeCell ref="TA19:TA23"/>
    <mergeCell ref="TC19:TE19"/>
    <mergeCell ref="SG20:SJ20"/>
    <mergeCell ref="SL20:SO20"/>
    <mergeCell ref="SQ20:ST20"/>
    <mergeCell ref="SV20:SY20"/>
    <mergeCell ref="TC20:TE20"/>
    <mergeCell ref="TG20:TJ20"/>
    <mergeCell ref="TL20:TO20"/>
    <mergeCell ref="TR20:TU20"/>
    <mergeCell ref="TW20:TZ20"/>
    <mergeCell ref="UD20:UF20"/>
    <mergeCell ref="SG21:SJ21"/>
    <mergeCell ref="SL21:SO21"/>
    <mergeCell ref="SQ21:ST21"/>
    <mergeCell ref="SV21:SY21"/>
    <mergeCell ref="TC21:TE21"/>
    <mergeCell ref="TG21:TJ21"/>
    <mergeCell ref="RG19:RJ19"/>
    <mergeCell ref="RL19:RO19"/>
    <mergeCell ref="RQ19:RT19"/>
    <mergeCell ref="RV19:RY19"/>
    <mergeCell ref="SA19:SA23"/>
    <mergeCell ref="SC19:SE19"/>
    <mergeCell ref="RL21:RO21"/>
    <mergeCell ref="RQ21:RT21"/>
    <mergeCell ref="RV21:RY21"/>
    <mergeCell ref="SC21:SE21"/>
    <mergeCell ref="QG19:QJ19"/>
    <mergeCell ref="QL19:QO19"/>
    <mergeCell ref="QQ19:QT19"/>
    <mergeCell ref="QV19:QY19"/>
    <mergeCell ref="RA19:RA23"/>
    <mergeCell ref="RC19:RE19"/>
    <mergeCell ref="QG20:QJ20"/>
    <mergeCell ref="QL20:QO20"/>
    <mergeCell ref="QQ20:QT20"/>
    <mergeCell ref="QV20:QY20"/>
    <mergeCell ref="RC20:RE20"/>
    <mergeCell ref="RG20:RJ20"/>
    <mergeCell ref="RL20:RO20"/>
    <mergeCell ref="RQ20:RT20"/>
    <mergeCell ref="RV20:RY20"/>
    <mergeCell ref="SC20:SE20"/>
    <mergeCell ref="QG21:QJ21"/>
    <mergeCell ref="QL21:QO21"/>
    <mergeCell ref="QQ21:QT21"/>
    <mergeCell ref="QV21:QY21"/>
    <mergeCell ref="RC21:RE21"/>
    <mergeCell ref="RG21:RJ21"/>
    <mergeCell ref="PG19:PJ19"/>
    <mergeCell ref="PL19:PO19"/>
    <mergeCell ref="PQ19:PT19"/>
    <mergeCell ref="PV19:PY19"/>
    <mergeCell ref="QA19:QA23"/>
    <mergeCell ref="QC19:QE19"/>
    <mergeCell ref="PL21:PO21"/>
    <mergeCell ref="PQ21:PT21"/>
    <mergeCell ref="PV21:PY21"/>
    <mergeCell ref="QC21:QE21"/>
    <mergeCell ref="OG19:OJ19"/>
    <mergeCell ref="OL19:OO19"/>
    <mergeCell ref="OQ19:OT19"/>
    <mergeCell ref="OV19:OY19"/>
    <mergeCell ref="PA19:PA23"/>
    <mergeCell ref="PC19:PE19"/>
    <mergeCell ref="OG20:OJ20"/>
    <mergeCell ref="OL20:OO20"/>
    <mergeCell ref="OQ20:OT20"/>
    <mergeCell ref="OV20:OY20"/>
    <mergeCell ref="PC20:PE20"/>
    <mergeCell ref="PG20:PJ20"/>
    <mergeCell ref="PL20:PO20"/>
    <mergeCell ref="PQ20:PT20"/>
    <mergeCell ref="PV20:PY20"/>
    <mergeCell ref="QC20:QE20"/>
    <mergeCell ref="OG21:OJ21"/>
    <mergeCell ref="OL21:OO21"/>
    <mergeCell ref="OQ21:OT21"/>
    <mergeCell ref="OV21:OY21"/>
    <mergeCell ref="PC21:PE21"/>
    <mergeCell ref="PG21:PJ21"/>
    <mergeCell ref="NG19:NJ19"/>
    <mergeCell ref="NL19:NO19"/>
    <mergeCell ref="NQ19:NT19"/>
    <mergeCell ref="NV19:NY19"/>
    <mergeCell ref="OA19:OA23"/>
    <mergeCell ref="OC19:OE19"/>
    <mergeCell ref="NL21:NO21"/>
    <mergeCell ref="NQ21:NT21"/>
    <mergeCell ref="NV21:NY21"/>
    <mergeCell ref="OC21:OE21"/>
    <mergeCell ref="MG19:MJ19"/>
    <mergeCell ref="ML19:MO19"/>
    <mergeCell ref="MQ19:MT19"/>
    <mergeCell ref="MV19:MY19"/>
    <mergeCell ref="NA19:NA23"/>
    <mergeCell ref="NC19:NE19"/>
    <mergeCell ref="MG20:MJ20"/>
    <mergeCell ref="ML20:MO20"/>
    <mergeCell ref="MQ20:MT20"/>
    <mergeCell ref="MV20:MY20"/>
    <mergeCell ref="NC20:NE20"/>
    <mergeCell ref="NG20:NJ20"/>
    <mergeCell ref="NL20:NO20"/>
    <mergeCell ref="NQ20:NT20"/>
    <mergeCell ref="NV20:NY20"/>
    <mergeCell ref="OC20:OE20"/>
    <mergeCell ref="MG21:MJ21"/>
    <mergeCell ref="ML21:MO21"/>
    <mergeCell ref="MQ21:MT21"/>
    <mergeCell ref="MV21:MY21"/>
    <mergeCell ref="NC21:NE21"/>
    <mergeCell ref="NG21:NJ21"/>
    <mergeCell ref="LG19:LJ19"/>
    <mergeCell ref="LL19:LO19"/>
    <mergeCell ref="LQ19:LT19"/>
    <mergeCell ref="LV19:LY19"/>
    <mergeCell ref="MA19:MA23"/>
    <mergeCell ref="MC19:ME19"/>
    <mergeCell ref="LL21:LO21"/>
    <mergeCell ref="LQ21:LT21"/>
    <mergeCell ref="LV21:LY21"/>
    <mergeCell ref="MC21:ME21"/>
    <mergeCell ref="KG19:KJ19"/>
    <mergeCell ref="KL19:KO19"/>
    <mergeCell ref="KQ19:KT19"/>
    <mergeCell ref="KV19:KY19"/>
    <mergeCell ref="LA19:LA23"/>
    <mergeCell ref="LC19:LE19"/>
    <mergeCell ref="KG20:KJ20"/>
    <mergeCell ref="KL20:KO20"/>
    <mergeCell ref="KQ20:KT20"/>
    <mergeCell ref="KV20:KY20"/>
    <mergeCell ref="LC20:LE20"/>
    <mergeCell ref="LG20:LJ20"/>
    <mergeCell ref="LL20:LO20"/>
    <mergeCell ref="LQ20:LT20"/>
    <mergeCell ref="LV20:LY20"/>
    <mergeCell ref="MC20:ME20"/>
    <mergeCell ref="KG21:KJ21"/>
    <mergeCell ref="KL21:KO21"/>
    <mergeCell ref="KQ21:KT21"/>
    <mergeCell ref="KV21:KY21"/>
    <mergeCell ref="LC21:LE21"/>
    <mergeCell ref="LG21:LJ21"/>
    <mergeCell ref="JG19:JJ19"/>
    <mergeCell ref="JL19:JO19"/>
    <mergeCell ref="JQ19:JT19"/>
    <mergeCell ref="JV19:JY19"/>
    <mergeCell ref="KA19:KA23"/>
    <mergeCell ref="KC19:KE19"/>
    <mergeCell ref="JL21:JO21"/>
    <mergeCell ref="JQ21:JT21"/>
    <mergeCell ref="JV21:JY21"/>
    <mergeCell ref="KC21:KE21"/>
    <mergeCell ref="IG19:IJ19"/>
    <mergeCell ref="IL19:IO19"/>
    <mergeCell ref="IQ19:IT19"/>
    <mergeCell ref="IV19:IY19"/>
    <mergeCell ref="JA19:JA23"/>
    <mergeCell ref="JC19:JE19"/>
    <mergeCell ref="IG20:IJ20"/>
    <mergeCell ref="IL20:IO20"/>
    <mergeCell ref="IQ20:IT20"/>
    <mergeCell ref="IV20:IY20"/>
    <mergeCell ref="JC20:JE20"/>
    <mergeCell ref="JG20:JJ20"/>
    <mergeCell ref="JL20:JO20"/>
    <mergeCell ref="JQ20:JT20"/>
    <mergeCell ref="JV20:JY20"/>
    <mergeCell ref="KC20:KE20"/>
    <mergeCell ref="IG21:IJ21"/>
    <mergeCell ref="IL21:IO21"/>
    <mergeCell ref="IQ21:IT21"/>
    <mergeCell ref="IV21:IY21"/>
    <mergeCell ref="JC21:JE21"/>
    <mergeCell ref="JG21:JJ21"/>
    <mergeCell ref="HG19:HJ19"/>
    <mergeCell ref="HL19:HO19"/>
    <mergeCell ref="HQ19:HT19"/>
    <mergeCell ref="HV19:HY19"/>
    <mergeCell ref="IA19:IA23"/>
    <mergeCell ref="IC19:IE19"/>
    <mergeCell ref="HL21:HO21"/>
    <mergeCell ref="HQ21:HT21"/>
    <mergeCell ref="HV21:HY21"/>
    <mergeCell ref="IC21:IE21"/>
    <mergeCell ref="GG19:GJ19"/>
    <mergeCell ref="GL19:GO19"/>
    <mergeCell ref="GQ19:GT19"/>
    <mergeCell ref="GV19:GY19"/>
    <mergeCell ref="HA19:HA23"/>
    <mergeCell ref="HC19:HE19"/>
    <mergeCell ref="GG20:GJ20"/>
    <mergeCell ref="GL20:GO20"/>
    <mergeCell ref="GQ20:GT20"/>
    <mergeCell ref="GV20:GY20"/>
    <mergeCell ref="HC20:HE20"/>
    <mergeCell ref="HG20:HJ20"/>
    <mergeCell ref="HL20:HO20"/>
    <mergeCell ref="HQ20:HT20"/>
    <mergeCell ref="HV20:HY20"/>
    <mergeCell ref="IC20:IE20"/>
    <mergeCell ref="GG23:GJ23"/>
    <mergeCell ref="GL23:GO23"/>
    <mergeCell ref="HB22:HF22"/>
    <mergeCell ref="HG22:HJ22"/>
    <mergeCell ref="HL22:HO22"/>
    <mergeCell ref="HQ22:HT22"/>
    <mergeCell ref="FG19:FJ19"/>
    <mergeCell ref="FL19:FO19"/>
    <mergeCell ref="FQ19:FT19"/>
    <mergeCell ref="FV19:FY19"/>
    <mergeCell ref="GA19:GA23"/>
    <mergeCell ref="GC19:GE19"/>
    <mergeCell ref="FL21:FO21"/>
    <mergeCell ref="FQ21:FT21"/>
    <mergeCell ref="FV21:FY21"/>
    <mergeCell ref="GC21:GE21"/>
    <mergeCell ref="EG19:EJ19"/>
    <mergeCell ref="EL19:EO19"/>
    <mergeCell ref="EQ19:ET19"/>
    <mergeCell ref="EV19:EY19"/>
    <mergeCell ref="FA19:FA23"/>
    <mergeCell ref="FC19:FE19"/>
    <mergeCell ref="EG20:EJ20"/>
    <mergeCell ref="EL20:EO20"/>
    <mergeCell ref="EQ20:ET20"/>
    <mergeCell ref="EV20:EY20"/>
    <mergeCell ref="FC20:FE20"/>
    <mergeCell ref="FG20:FJ20"/>
    <mergeCell ref="FL20:FO20"/>
    <mergeCell ref="FQ20:FT20"/>
    <mergeCell ref="FV20:FY20"/>
    <mergeCell ref="GC20:GE20"/>
    <mergeCell ref="EG21:EJ21"/>
    <mergeCell ref="EL21:EO21"/>
    <mergeCell ref="EQ21:ET21"/>
    <mergeCell ref="EV21:EY21"/>
    <mergeCell ref="FC21:FE21"/>
    <mergeCell ref="FG21:FJ21"/>
    <mergeCell ref="DG19:DJ19"/>
    <mergeCell ref="DL19:DO19"/>
    <mergeCell ref="DQ19:DT19"/>
    <mergeCell ref="DV19:DY19"/>
    <mergeCell ref="EA19:EA23"/>
    <mergeCell ref="EC19:EE19"/>
    <mergeCell ref="DL21:DO21"/>
    <mergeCell ref="DQ21:DT21"/>
    <mergeCell ref="DV21:DY21"/>
    <mergeCell ref="EC21:EE21"/>
    <mergeCell ref="CG19:CJ19"/>
    <mergeCell ref="CL19:CO19"/>
    <mergeCell ref="CQ19:CT19"/>
    <mergeCell ref="CV19:CY19"/>
    <mergeCell ref="DA19:DA23"/>
    <mergeCell ref="DC19:DE19"/>
    <mergeCell ref="CG20:CJ20"/>
    <mergeCell ref="CL20:CO20"/>
    <mergeCell ref="CQ20:CT20"/>
    <mergeCell ref="CV20:CY20"/>
    <mergeCell ref="DC20:DE20"/>
    <mergeCell ref="DG20:DJ20"/>
    <mergeCell ref="DL20:DO20"/>
    <mergeCell ref="DQ20:DT20"/>
    <mergeCell ref="DV20:DY20"/>
    <mergeCell ref="EC20:EE20"/>
    <mergeCell ref="CG21:CJ21"/>
    <mergeCell ref="CL21:CO21"/>
    <mergeCell ref="CQ21:CT21"/>
    <mergeCell ref="CV21:CY21"/>
    <mergeCell ref="DC21:DE21"/>
    <mergeCell ref="DG21:DJ21"/>
    <mergeCell ref="BG19:BJ19"/>
    <mergeCell ref="BL19:BO19"/>
    <mergeCell ref="BQ19:BT19"/>
    <mergeCell ref="BV19:BY19"/>
    <mergeCell ref="CA19:CA23"/>
    <mergeCell ref="CC19:CE19"/>
    <mergeCell ref="CB22:CF22"/>
    <mergeCell ref="BG23:BJ23"/>
    <mergeCell ref="BL23:BO23"/>
    <mergeCell ref="BQ23:BT23"/>
    <mergeCell ref="AG19:AJ19"/>
    <mergeCell ref="AL19:AO19"/>
    <mergeCell ref="AQ19:AT19"/>
    <mergeCell ref="AV19:AY19"/>
    <mergeCell ref="BA19:BA23"/>
    <mergeCell ref="BC19:BE19"/>
    <mergeCell ref="AG20:AJ20"/>
    <mergeCell ref="AL20:AO20"/>
    <mergeCell ref="AQ20:AT20"/>
    <mergeCell ref="AV20:AY20"/>
    <mergeCell ref="BC20:BE20"/>
    <mergeCell ref="BG20:BJ20"/>
    <mergeCell ref="BL20:BO20"/>
    <mergeCell ref="BQ20:BT20"/>
    <mergeCell ref="BV20:BY20"/>
    <mergeCell ref="CC20:CE20"/>
    <mergeCell ref="BC21:BE21"/>
    <mergeCell ref="BG21:BJ21"/>
    <mergeCell ref="BL21:BO21"/>
    <mergeCell ref="BQ21:BT21"/>
    <mergeCell ref="BV21:BY21"/>
    <mergeCell ref="CC21:CE21"/>
    <mergeCell ref="G19:J19"/>
    <mergeCell ref="L19:O19"/>
    <mergeCell ref="Q19:T19"/>
    <mergeCell ref="V19:Y19"/>
    <mergeCell ref="AA19:AA23"/>
    <mergeCell ref="AC19:AE19"/>
    <mergeCell ref="Q20:T20"/>
    <mergeCell ref="V20:Y20"/>
    <mergeCell ref="AC20:AE20"/>
    <mergeCell ref="Q21:T21"/>
    <mergeCell ref="AKD18:AKH18"/>
    <mergeCell ref="ALD18:ALH18"/>
    <mergeCell ref="AMD18:AMH18"/>
    <mergeCell ref="ANE18:ANI18"/>
    <mergeCell ref="AOF18:AOJ18"/>
    <mergeCell ref="A19:A23"/>
    <mergeCell ref="C19:E19"/>
    <mergeCell ref="ADC18:ADG18"/>
    <mergeCell ref="AEC18:AEG18"/>
    <mergeCell ref="AFD18:AFH18"/>
    <mergeCell ref="AGD18:AGH18"/>
    <mergeCell ref="AHD18:AHH18"/>
    <mergeCell ref="AID18:AIH18"/>
    <mergeCell ref="XC18:XG18"/>
    <mergeCell ref="YC18:YG18"/>
    <mergeCell ref="ZC18:ZG18"/>
    <mergeCell ref="AAC18:AAG18"/>
    <mergeCell ref="ABC18:ABG18"/>
    <mergeCell ref="ACC18:ACG18"/>
    <mergeCell ref="RB18:RF18"/>
    <mergeCell ref="SB18:SF18"/>
    <mergeCell ref="TB18:TF18"/>
    <mergeCell ref="UC18:UG18"/>
    <mergeCell ref="VC18:VG18"/>
    <mergeCell ref="WC18:WG18"/>
    <mergeCell ref="LB18:LF18"/>
    <mergeCell ref="MB18:MF18"/>
    <mergeCell ref="NB18:NF18"/>
    <mergeCell ref="OB18:OF18"/>
    <mergeCell ref="PB18:PF18"/>
    <mergeCell ref="QB18:QF18"/>
    <mergeCell ref="FB18:FF18"/>
    <mergeCell ref="GB18:GF18"/>
    <mergeCell ref="HB18:HF18"/>
    <mergeCell ref="IB18:IF18"/>
    <mergeCell ref="JB18:JF18"/>
    <mergeCell ref="KB18:KF18"/>
    <mergeCell ref="UV13:UV18"/>
    <mergeCell ref="UW13:UZ13"/>
    <mergeCell ref="VC13:VG14"/>
    <mergeCell ref="VH13:VK13"/>
    <mergeCell ref="UW14:UZ14"/>
    <mergeCell ref="VH14:VK14"/>
    <mergeCell ref="UW15:UZ15"/>
    <mergeCell ref="TK13:TK18"/>
    <mergeCell ref="TL13:TO13"/>
    <mergeCell ref="TQ13:TQ18"/>
    <mergeCell ref="TR13:TU13"/>
    <mergeCell ref="TG14:TJ14"/>
    <mergeCell ref="TL14:TO14"/>
    <mergeCell ref="TR14:TU14"/>
    <mergeCell ref="TL17:TO17"/>
    <mergeCell ref="TR17:TU17"/>
    <mergeCell ref="TW17:TZ17"/>
    <mergeCell ref="B18:F18"/>
    <mergeCell ref="AB18:AF18"/>
    <mergeCell ref="BB18:BF18"/>
    <mergeCell ref="CB18:CF18"/>
    <mergeCell ref="DB18:DF18"/>
    <mergeCell ref="EB18:EF18"/>
    <mergeCell ref="ANU17:ANX17"/>
    <mergeCell ref="ANZ17:AOC17"/>
    <mergeCell ref="AOK17:AON17"/>
    <mergeCell ref="AOP17:AOS17"/>
    <mergeCell ref="AOV17:AOY17"/>
    <mergeCell ref="APA17:APD17"/>
    <mergeCell ref="AMI17:AML17"/>
    <mergeCell ref="AMN17:AMQ17"/>
    <mergeCell ref="AMT17:AMW17"/>
    <mergeCell ref="AMY17:ANB17"/>
    <mergeCell ref="ANJ17:ANM17"/>
    <mergeCell ref="ANO17:ANR17"/>
    <mergeCell ref="AJX17:AKA17"/>
    <mergeCell ref="AKI17:AKL17"/>
    <mergeCell ref="AKN17:AKQ17"/>
    <mergeCell ref="AKS17:AKV17"/>
    <mergeCell ref="AKX17:ALA17"/>
    <mergeCell ref="ALI17:ALL17"/>
    <mergeCell ref="AIN17:AIQ17"/>
    <mergeCell ref="AIS17:AIV17"/>
    <mergeCell ref="AIX17:AJA17"/>
    <mergeCell ref="AJI17:AJL17"/>
    <mergeCell ref="AJN17:AJQ17"/>
    <mergeCell ref="AJS17:AJV17"/>
    <mergeCell ref="AFX17:AGA17"/>
    <mergeCell ref="AGI17:AGL17"/>
    <mergeCell ref="WM17:WP17"/>
    <mergeCell ref="WR17:WU17"/>
    <mergeCell ref="WW17:WZ17"/>
    <mergeCell ref="XH17:XK17"/>
    <mergeCell ref="XM17:XP17"/>
    <mergeCell ref="XR17:XU17"/>
    <mergeCell ref="UW17:UZ17"/>
    <mergeCell ref="VH17:VK17"/>
    <mergeCell ref="VM17:VP17"/>
    <mergeCell ref="VR17:VU17"/>
    <mergeCell ref="VW17:VZ17"/>
    <mergeCell ref="WH17:WK17"/>
    <mergeCell ref="AGN17:AGQ17"/>
    <mergeCell ref="AGS17:AGV17"/>
    <mergeCell ref="AGX17:AHA17"/>
    <mergeCell ref="AHI17:AHL17"/>
    <mergeCell ref="AEM17:AEP17"/>
    <mergeCell ref="AES17:AEV17"/>
    <mergeCell ref="AEX17:AFA17"/>
    <mergeCell ref="AFI17:AFL17"/>
    <mergeCell ref="AFN17:AFQ17"/>
    <mergeCell ref="AFS17:AFV17"/>
    <mergeCell ref="ABW17:ABZ17"/>
    <mergeCell ref="ACH17:ACK17"/>
    <mergeCell ref="ACM17:ACP17"/>
    <mergeCell ref="ACR17:ACU17"/>
    <mergeCell ref="ACW17:ACZ17"/>
    <mergeCell ref="ADH17:ADK17"/>
    <mergeCell ref="AAH17:AAK17"/>
    <mergeCell ref="AAM17:AAP17"/>
    <mergeCell ref="AAR17:AAU17"/>
    <mergeCell ref="AAW17:AAZ17"/>
    <mergeCell ref="UH17:UK17"/>
    <mergeCell ref="UM17:UP17"/>
    <mergeCell ref="UR17:UU17"/>
    <mergeCell ref="RV17:RY17"/>
    <mergeCell ref="SG17:SJ17"/>
    <mergeCell ref="SL17:SO17"/>
    <mergeCell ref="SQ17:ST17"/>
    <mergeCell ref="SV17:SY17"/>
    <mergeCell ref="TG17:TJ17"/>
    <mergeCell ref="QL17:QO17"/>
    <mergeCell ref="QQ17:QT17"/>
    <mergeCell ref="QV17:QY17"/>
    <mergeCell ref="RG17:RJ17"/>
    <mergeCell ref="RL17:RO17"/>
    <mergeCell ref="RQ17:RT17"/>
    <mergeCell ref="UQ13:UQ18"/>
    <mergeCell ref="UR13:UU13"/>
    <mergeCell ref="UR14:UU14"/>
    <mergeCell ref="TV13:TV18"/>
    <mergeCell ref="TW13:TZ13"/>
    <mergeCell ref="UA13:UA18"/>
    <mergeCell ref="UC13:UG14"/>
    <mergeCell ref="UH13:UK13"/>
    <mergeCell ref="UM13:UP13"/>
    <mergeCell ref="TW14:TZ14"/>
    <mergeCell ref="UH14:UK14"/>
    <mergeCell ref="UM14:UP14"/>
    <mergeCell ref="TB13:TF14"/>
    <mergeCell ref="TG13:TJ13"/>
    <mergeCell ref="UC15:UG17"/>
    <mergeCell ref="UH15:UK15"/>
    <mergeCell ref="UM15:UP15"/>
    <mergeCell ref="EL17:EO17"/>
    <mergeCell ref="EQ17:ET17"/>
    <mergeCell ref="EV17:EY17"/>
    <mergeCell ref="OG17:OJ17"/>
    <mergeCell ref="OL17:OO17"/>
    <mergeCell ref="OQ17:OT17"/>
    <mergeCell ref="OV17:OY17"/>
    <mergeCell ref="PG17:PJ17"/>
    <mergeCell ref="PL17:PO17"/>
    <mergeCell ref="MG17:MJ17"/>
    <mergeCell ref="ML17:MO17"/>
    <mergeCell ref="MQ17:MT17"/>
    <mergeCell ref="MV17:MY17"/>
    <mergeCell ref="NG17:NJ17"/>
    <mergeCell ref="NL17:NO17"/>
    <mergeCell ref="JL17:JO17"/>
    <mergeCell ref="JQ17:JT17"/>
    <mergeCell ref="JV17:JY17"/>
    <mergeCell ref="KG17:KJ17"/>
    <mergeCell ref="KL17:KO17"/>
    <mergeCell ref="KQ17:KT17"/>
    <mergeCell ref="MB15:MF17"/>
    <mergeCell ref="LV16:LY16"/>
    <mergeCell ref="LV17:LY17"/>
    <mergeCell ref="MV15:MY15"/>
    <mergeCell ref="KL16:KO16"/>
    <mergeCell ref="KQ16:KT16"/>
    <mergeCell ref="KV16:KY16"/>
    <mergeCell ref="GG16:GJ16"/>
    <mergeCell ref="GL16:GO16"/>
    <mergeCell ref="BQ17:BT17"/>
    <mergeCell ref="BV17:BY17"/>
    <mergeCell ref="CG17:CJ17"/>
    <mergeCell ref="CL17:CO17"/>
    <mergeCell ref="AOP16:AOS16"/>
    <mergeCell ref="AOV16:AOY16"/>
    <mergeCell ref="APA16:APD16"/>
    <mergeCell ref="G17:J17"/>
    <mergeCell ref="L17:O17"/>
    <mergeCell ref="Q17:T17"/>
    <mergeCell ref="V17:Y17"/>
    <mergeCell ref="AKX16:ALA16"/>
    <mergeCell ref="ALI16:ALL16"/>
    <mergeCell ref="ALN16:ALQ16"/>
    <mergeCell ref="ALS16:ALV16"/>
    <mergeCell ref="ALX16:AMA16"/>
    <mergeCell ref="AMI16:AML16"/>
    <mergeCell ref="AIN16:AIQ16"/>
    <mergeCell ref="AIS16:AIV16"/>
    <mergeCell ref="AIX16:AJA16"/>
    <mergeCell ref="AJI16:AJL16"/>
    <mergeCell ref="AJN16:AJQ16"/>
    <mergeCell ref="AJS16:AJV16"/>
    <mergeCell ref="AGX16:AHA16"/>
    <mergeCell ref="AHI16:AHL16"/>
    <mergeCell ref="AHN16:AHQ16"/>
    <mergeCell ref="AHS16:AHV16"/>
    <mergeCell ref="WC15:WG17"/>
    <mergeCell ref="TR15:TU15"/>
    <mergeCell ref="TW15:TZ15"/>
    <mergeCell ref="DV17:DY17"/>
    <mergeCell ref="EG17:EJ17"/>
    <mergeCell ref="UR15:UU15"/>
    <mergeCell ref="WA13:WA18"/>
    <mergeCell ref="WC13:WG14"/>
    <mergeCell ref="AHX16:AIA16"/>
    <mergeCell ref="AII16:AIL16"/>
    <mergeCell ref="AEM16:AEP16"/>
    <mergeCell ref="AES16:AEV16"/>
    <mergeCell ref="AEX16:AFA16"/>
    <mergeCell ref="AFI16:AFL16"/>
    <mergeCell ref="AFN16:AFQ16"/>
    <mergeCell ref="AFS16:AFV16"/>
    <mergeCell ref="ACW16:ACZ16"/>
    <mergeCell ref="ADH16:ADK16"/>
    <mergeCell ref="ADM16:ADP16"/>
    <mergeCell ref="ADR16:ADU16"/>
    <mergeCell ref="ADW16:ADZ16"/>
    <mergeCell ref="AEH16:AEK16"/>
    <mergeCell ref="AAH16:AAK16"/>
    <mergeCell ref="AAM16:AAP16"/>
    <mergeCell ref="AAR16:AAU16"/>
    <mergeCell ref="AAW16:AAZ16"/>
    <mergeCell ref="ABH16:ABK16"/>
    <mergeCell ref="ABM16:ABP16"/>
    <mergeCell ref="XW17:XZ17"/>
    <mergeCell ref="YH17:YK17"/>
    <mergeCell ref="YM17:YP17"/>
    <mergeCell ref="AID15:AIH17"/>
    <mergeCell ref="AII15:AIL15"/>
    <mergeCell ref="AHN17:AHQ17"/>
    <mergeCell ref="AHS17:AHV17"/>
    <mergeCell ref="AHX17:AIA17"/>
    <mergeCell ref="AII17:AIL17"/>
    <mergeCell ref="SG16:SJ16"/>
    <mergeCell ref="SL16:SO16"/>
    <mergeCell ref="SQ16:ST16"/>
    <mergeCell ref="SV16:SY16"/>
    <mergeCell ref="TG16:TJ16"/>
    <mergeCell ref="PG16:PJ16"/>
    <mergeCell ref="PL16:PO16"/>
    <mergeCell ref="PQ16:PT16"/>
    <mergeCell ref="PV16:PY16"/>
    <mergeCell ref="QG16:QJ16"/>
    <mergeCell ref="QL16:QO16"/>
    <mergeCell ref="MG16:MJ16"/>
    <mergeCell ref="ML16:MO16"/>
    <mergeCell ref="MQ16:MT16"/>
    <mergeCell ref="MV16:MY16"/>
    <mergeCell ref="NG16:NJ16"/>
    <mergeCell ref="NL16:NO16"/>
    <mergeCell ref="RB15:RF17"/>
    <mergeCell ref="RG15:RJ15"/>
    <mergeCell ref="RL15:RO15"/>
    <mergeCell ref="RQ15:RT15"/>
    <mergeCell ref="RV15:RY15"/>
    <mergeCell ref="QV16:QY16"/>
    <mergeCell ref="RG16:RJ16"/>
    <mergeCell ref="RL16:RO16"/>
    <mergeCell ref="RQ16:RT16"/>
    <mergeCell ref="PQ15:PT15"/>
    <mergeCell ref="PV15:PY15"/>
    <mergeCell ref="QB15:QF17"/>
    <mergeCell ref="QG15:QJ15"/>
    <mergeCell ref="QL15:QO15"/>
    <mergeCell ref="QQ15:QT15"/>
    <mergeCell ref="LG16:LJ16"/>
    <mergeCell ref="LL16:LO16"/>
    <mergeCell ref="LQ16:LT16"/>
    <mergeCell ref="EQ16:ET16"/>
    <mergeCell ref="EV16:EY16"/>
    <mergeCell ref="FG16:FJ16"/>
    <mergeCell ref="FL16:FO16"/>
    <mergeCell ref="FQ16:FT16"/>
    <mergeCell ref="FV16:FY16"/>
    <mergeCell ref="IK13:IK18"/>
    <mergeCell ref="IL13:IO13"/>
    <mergeCell ref="IG14:IJ14"/>
    <mergeCell ref="IL14:IO14"/>
    <mergeCell ref="HV15:HY15"/>
    <mergeCell ref="IB15:IF17"/>
    <mergeCell ref="GV13:GY13"/>
    <mergeCell ref="HB13:HF14"/>
    <mergeCell ref="HG13:HJ13"/>
    <mergeCell ref="HK13:HK18"/>
    <mergeCell ref="HL13:HO13"/>
    <mergeCell ref="HQ13:HT13"/>
    <mergeCell ref="HG15:HJ15"/>
    <mergeCell ref="HL15:HO15"/>
    <mergeCell ref="HQ17:HT17"/>
    <mergeCell ref="HV17:HY17"/>
    <mergeCell ref="IG17:IJ17"/>
    <mergeCell ref="IL17:IO17"/>
    <mergeCell ref="GG17:GJ17"/>
    <mergeCell ref="GL17:GO17"/>
    <mergeCell ref="GQ17:GT17"/>
    <mergeCell ref="GV17:GY17"/>
    <mergeCell ref="HG17:HJ17"/>
    <mergeCell ref="ANE11:ANI12"/>
    <mergeCell ref="ANJ11:ANM11"/>
    <mergeCell ref="AIR13:AIR18"/>
    <mergeCell ref="AIS13:AIV13"/>
    <mergeCell ref="AII14:AIL14"/>
    <mergeCell ref="AIN14:AIQ14"/>
    <mergeCell ref="AOV15:AOY15"/>
    <mergeCell ref="APA15:APD15"/>
    <mergeCell ref="G16:J16"/>
    <mergeCell ref="L16:O16"/>
    <mergeCell ref="Q16:T16"/>
    <mergeCell ref="V16:Y16"/>
    <mergeCell ref="AG16:AJ16"/>
    <mergeCell ref="ANO15:ANR15"/>
    <mergeCell ref="ANU15:ANX15"/>
    <mergeCell ref="ANZ15:AOC15"/>
    <mergeCell ref="AOF15:AOJ17"/>
    <mergeCell ref="AOK15:AON15"/>
    <mergeCell ref="AOP15:AOS15"/>
    <mergeCell ref="ANO16:ANR16"/>
    <mergeCell ref="ANU16:ANX16"/>
    <mergeCell ref="ANZ16:AOC16"/>
    <mergeCell ref="AOK16:AON16"/>
    <mergeCell ref="AMI15:AML15"/>
    <mergeCell ref="AMN15:AMQ15"/>
    <mergeCell ref="AMT15:AMW15"/>
    <mergeCell ref="AMY15:ANB15"/>
    <mergeCell ref="ANE15:ANI17"/>
    <mergeCell ref="ANJ15:ANM15"/>
    <mergeCell ref="ALS15:ALV15"/>
    <mergeCell ref="ALX15:AMA15"/>
    <mergeCell ref="AMD15:AMH17"/>
    <mergeCell ref="AKD15:AKH17"/>
    <mergeCell ref="AKI15:AKL15"/>
    <mergeCell ref="AKN15:AKQ15"/>
    <mergeCell ref="AKS15:AKV15"/>
    <mergeCell ref="AKX15:ALA15"/>
    <mergeCell ref="AJX16:AKA16"/>
    <mergeCell ref="AKI16:AKL16"/>
    <mergeCell ref="AKN16:AKQ16"/>
    <mergeCell ref="AKS16:AKV16"/>
    <mergeCell ref="AND11:AND18"/>
    <mergeCell ref="ACW15:ACZ15"/>
    <mergeCell ref="ABW16:ABZ16"/>
    <mergeCell ref="ACH16:ACK16"/>
    <mergeCell ref="ACM16:ACP16"/>
    <mergeCell ref="ACR16:ACU16"/>
    <mergeCell ref="ADQ13:ADQ18"/>
    <mergeCell ref="ADR13:ADU13"/>
    <mergeCell ref="ADV13:ADV18"/>
    <mergeCell ref="ADW13:ADZ13"/>
    <mergeCell ref="AEA13:AEA18"/>
    <mergeCell ref="AEC13:AEG14"/>
    <mergeCell ref="AIS15:AIV15"/>
    <mergeCell ref="AIX15:AJA15"/>
    <mergeCell ref="AJD15:AJH17"/>
    <mergeCell ref="AHI15:AHL15"/>
    <mergeCell ref="AHN15:AHQ15"/>
    <mergeCell ref="AHS15:AHV15"/>
    <mergeCell ref="AAR15:AAU15"/>
    <mergeCell ref="AAW15:AAZ15"/>
    <mergeCell ref="ABC15:ABG17"/>
    <mergeCell ref="ABH15:ABK15"/>
    <mergeCell ref="ABM15:ABP15"/>
    <mergeCell ref="ABR15:ABU15"/>
    <mergeCell ref="ABR16:ABU16"/>
    <mergeCell ref="ABR17:ABU17"/>
    <mergeCell ref="ZC15:ZG17"/>
    <mergeCell ref="ZH15:ZK15"/>
    <mergeCell ref="ZM15:ZP15"/>
    <mergeCell ref="ZR15:ZU15"/>
    <mergeCell ref="ZW15:ZZ15"/>
    <mergeCell ref="AAC15:AAG17"/>
    <mergeCell ref="ZW16:ZZ16"/>
    <mergeCell ref="ZM17:ZP17"/>
    <mergeCell ref="ZR17:ZU17"/>
    <mergeCell ref="ZW17:ZZ17"/>
    <mergeCell ref="ZR16:ZU16"/>
    <mergeCell ref="ABH17:ABK17"/>
    <mergeCell ref="ABM17:ABP17"/>
    <mergeCell ref="AAQ13:AAQ18"/>
    <mergeCell ref="AAR13:AAU13"/>
    <mergeCell ref="QQ16:QT16"/>
    <mergeCell ref="PQ17:PT17"/>
    <mergeCell ref="PV17:PY17"/>
    <mergeCell ref="QG17:QJ17"/>
    <mergeCell ref="RV16:RY16"/>
    <mergeCell ref="KQ15:KT15"/>
    <mergeCell ref="KV15:KY15"/>
    <mergeCell ref="LB15:LF17"/>
    <mergeCell ref="LG15:LJ15"/>
    <mergeCell ref="LL15:LO15"/>
    <mergeCell ref="LQ15:LT15"/>
    <mergeCell ref="KV17:KY17"/>
    <mergeCell ref="LG17:LJ17"/>
    <mergeCell ref="LL17:LO17"/>
    <mergeCell ref="LQ17:LT17"/>
    <mergeCell ref="AAW13:AAZ13"/>
    <mergeCell ref="ABA13:ABA18"/>
    <mergeCell ref="ABC13:ABG14"/>
    <mergeCell ref="YM14:YP14"/>
    <mergeCell ref="YR14:YU14"/>
    <mergeCell ref="YR15:YU15"/>
    <mergeCell ref="XC13:XG14"/>
    <mergeCell ref="XH13:XK13"/>
    <mergeCell ref="XM13:XP13"/>
    <mergeCell ref="XR13:XU13"/>
    <mergeCell ref="AAR14:AAU14"/>
    <mergeCell ref="AAW14:AAZ14"/>
    <mergeCell ref="AAM15:AAP15"/>
    <mergeCell ref="IP13:IP18"/>
    <mergeCell ref="IQ13:IT13"/>
    <mergeCell ref="IV13:IY13"/>
    <mergeCell ref="IZ13:IZ18"/>
    <mergeCell ref="JB13:JF14"/>
    <mergeCell ref="JG13:JJ13"/>
    <mergeCell ref="IQ14:IT14"/>
    <mergeCell ref="IV14:IY14"/>
    <mergeCell ref="JG14:JJ14"/>
    <mergeCell ref="HV13:HY13"/>
    <mergeCell ref="HZ13:HZ18"/>
    <mergeCell ref="IB13:IF14"/>
    <mergeCell ref="IG13:IJ13"/>
    <mergeCell ref="HL16:HO16"/>
    <mergeCell ref="HQ16:HT16"/>
    <mergeCell ref="HV16:HY16"/>
    <mergeCell ref="IG16:IJ16"/>
    <mergeCell ref="IL16:IO16"/>
    <mergeCell ref="IQ16:IT16"/>
    <mergeCell ref="IQ17:IT17"/>
    <mergeCell ref="IV17:IY17"/>
    <mergeCell ref="HL17:HO17"/>
    <mergeCell ref="BQ15:BT15"/>
    <mergeCell ref="BV15:BY15"/>
    <mergeCell ref="CB15:CF17"/>
    <mergeCell ref="CG15:CJ15"/>
    <mergeCell ref="BG16:BJ16"/>
    <mergeCell ref="BL16:BO16"/>
    <mergeCell ref="BQ16:BT16"/>
    <mergeCell ref="BV16:BY16"/>
    <mergeCell ref="EV15:EY15"/>
    <mergeCell ref="FB15:FF17"/>
    <mergeCell ref="FG15:FJ15"/>
    <mergeCell ref="FL15:FO15"/>
    <mergeCell ref="FQ15:FT15"/>
    <mergeCell ref="FV15:FY15"/>
    <mergeCell ref="FG17:FJ17"/>
    <mergeCell ref="FL17:FO17"/>
    <mergeCell ref="FQ17:FT17"/>
    <mergeCell ref="FV17:FY17"/>
    <mergeCell ref="DQ15:DT15"/>
    <mergeCell ref="DV15:DY15"/>
    <mergeCell ref="EB15:EF17"/>
    <mergeCell ref="EG15:EJ15"/>
    <mergeCell ref="EL15:EO15"/>
    <mergeCell ref="EQ15:ET15"/>
    <mergeCell ref="DQ16:DT16"/>
    <mergeCell ref="DV16:DY16"/>
    <mergeCell ref="EG16:EJ16"/>
    <mergeCell ref="EL16:EO16"/>
    <mergeCell ref="CG16:CJ16"/>
    <mergeCell ref="CL16:CO16"/>
    <mergeCell ref="BG17:BJ17"/>
    <mergeCell ref="BL17:BO17"/>
    <mergeCell ref="AL15:AO15"/>
    <mergeCell ref="AQ15:AT15"/>
    <mergeCell ref="AV15:AY15"/>
    <mergeCell ref="AL16:AO16"/>
    <mergeCell ref="AQ16:AT16"/>
    <mergeCell ref="AV16:AY16"/>
    <mergeCell ref="AG17:AJ17"/>
    <mergeCell ref="AOP14:AOS14"/>
    <mergeCell ref="AOV14:AOY14"/>
    <mergeCell ref="APA14:APD14"/>
    <mergeCell ref="B15:F17"/>
    <mergeCell ref="G15:J15"/>
    <mergeCell ref="L15:O15"/>
    <mergeCell ref="Q15:T15"/>
    <mergeCell ref="LL14:LO14"/>
    <mergeCell ref="LQ14:LT14"/>
    <mergeCell ref="LV14:LY14"/>
    <mergeCell ref="MG14:MJ14"/>
    <mergeCell ref="ML14:MO14"/>
    <mergeCell ref="MQ14:MT14"/>
    <mergeCell ref="GQ14:GT14"/>
    <mergeCell ref="GV14:GY14"/>
    <mergeCell ref="HG14:HJ14"/>
    <mergeCell ref="HL14:HO14"/>
    <mergeCell ref="HQ14:HT14"/>
    <mergeCell ref="HV14:HY14"/>
    <mergeCell ref="CL15:CO15"/>
    <mergeCell ref="CQ15:CT15"/>
    <mergeCell ref="CV15:CY15"/>
    <mergeCell ref="EQ14:ET14"/>
    <mergeCell ref="GG15:GJ15"/>
    <mergeCell ref="GL15:GO15"/>
    <mergeCell ref="FL14:FO14"/>
    <mergeCell ref="Q14:T14"/>
    <mergeCell ref="V14:Y14"/>
    <mergeCell ref="AG14:AJ14"/>
    <mergeCell ref="AL14:AO14"/>
    <mergeCell ref="AQ14:AT14"/>
    <mergeCell ref="AV14:AY14"/>
    <mergeCell ref="AOP13:AOS13"/>
    <mergeCell ref="AOT13:AOT18"/>
    <mergeCell ref="AOV13:AOY13"/>
    <mergeCell ref="AOZ13:AOZ18"/>
    <mergeCell ref="APA13:APD13"/>
    <mergeCell ref="ALS14:ALV14"/>
    <mergeCell ref="ALX14:AMA14"/>
    <mergeCell ref="AMI14:AML14"/>
    <mergeCell ref="AKM13:AKM18"/>
    <mergeCell ref="AKN13:AKQ13"/>
    <mergeCell ref="AKS13:AKV13"/>
    <mergeCell ref="AKX13:ALA13"/>
    <mergeCell ref="ALD13:ALH14"/>
    <mergeCell ref="ALI13:ALL13"/>
    <mergeCell ref="AKN14:AKQ14"/>
    <mergeCell ref="AKS14:AKV14"/>
    <mergeCell ref="AKX14:ALA14"/>
    <mergeCell ref="ALI14:ALL14"/>
    <mergeCell ref="AJN13:AJQ13"/>
    <mergeCell ref="AJR13:AJR18"/>
    <mergeCell ref="V15:Y15"/>
    <mergeCell ref="AB15:AF17"/>
    <mergeCell ref="AJS13:AJV13"/>
    <mergeCell ref="CQ16:CT16"/>
    <mergeCell ref="CV16:CY16"/>
    <mergeCell ref="G14:J14"/>
    <mergeCell ref="L14:O14"/>
    <mergeCell ref="ANO13:ANR13"/>
    <mergeCell ref="ANU13:ANX13"/>
    <mergeCell ref="ANY13:ANY18"/>
    <mergeCell ref="ANZ13:AOC13"/>
    <mergeCell ref="AOF13:AOJ14"/>
    <mergeCell ref="AOK13:AON13"/>
    <mergeCell ref="ANO14:ANR14"/>
    <mergeCell ref="ANU14:ANX14"/>
    <mergeCell ref="ANZ14:AOC14"/>
    <mergeCell ref="AOK14:AON14"/>
    <mergeCell ref="AMN13:AMQ13"/>
    <mergeCell ref="AMT13:AMW13"/>
    <mergeCell ref="AMY13:ANB13"/>
    <mergeCell ref="ANE13:ANI14"/>
    <mergeCell ref="ANJ13:ANM13"/>
    <mergeCell ref="ANN13:ANN18"/>
    <mergeCell ref="AMN14:AMQ14"/>
    <mergeCell ref="AMT14:AMW14"/>
    <mergeCell ref="AMY14:ANB14"/>
    <mergeCell ref="ANJ14:ANM14"/>
    <mergeCell ref="ALN13:ALQ13"/>
    <mergeCell ref="ALS13:ALV13"/>
    <mergeCell ref="ALX13:AMA13"/>
    <mergeCell ref="AMD13:AMH14"/>
    <mergeCell ref="AMI13:AML13"/>
    <mergeCell ref="AMM13:AMM18"/>
    <mergeCell ref="ALN14:ALQ14"/>
    <mergeCell ref="AHN14:AHQ14"/>
    <mergeCell ref="EV14:EY14"/>
    <mergeCell ref="FG14:FJ14"/>
    <mergeCell ref="AHS14:AHV14"/>
    <mergeCell ref="AHX14:AIA14"/>
    <mergeCell ref="AJS14:AJV14"/>
    <mergeCell ref="AJX14:AKA14"/>
    <mergeCell ref="AIW13:AIW18"/>
    <mergeCell ref="AIX13:AJA13"/>
    <mergeCell ref="AJB13:AJB18"/>
    <mergeCell ref="AJD13:AJH14"/>
    <mergeCell ref="AJI13:AJL13"/>
    <mergeCell ref="AJM13:AJM18"/>
    <mergeCell ref="AIX14:AJA14"/>
    <mergeCell ref="AJI14:AJL14"/>
    <mergeCell ref="AJD18:AJH18"/>
    <mergeCell ref="AJI15:AJL15"/>
    <mergeCell ref="AJN15:AJQ15"/>
    <mergeCell ref="AJS15:AJV15"/>
    <mergeCell ref="AER13:AER18"/>
    <mergeCell ref="AES13:AEV13"/>
    <mergeCell ref="AEW13:AEW18"/>
    <mergeCell ref="AHX15:AIA15"/>
    <mergeCell ref="AJX13:AKA13"/>
    <mergeCell ref="AJN14:AJQ14"/>
    <mergeCell ref="AFX15:AGA15"/>
    <mergeCell ref="AGD15:AGH17"/>
    <mergeCell ref="AGI15:AGL15"/>
    <mergeCell ref="AGN15:AGQ15"/>
    <mergeCell ref="AGS15:AGV15"/>
    <mergeCell ref="AGN16:AGQ16"/>
    <mergeCell ref="AGS16:AGV16"/>
    <mergeCell ref="AJX15:AKA15"/>
    <mergeCell ref="AEH14:AEK14"/>
    <mergeCell ref="AEM14:AEP14"/>
    <mergeCell ref="AES14:AEV14"/>
    <mergeCell ref="AEM15:AEP15"/>
    <mergeCell ref="AGS13:AGV13"/>
    <mergeCell ref="AGW13:AGW18"/>
    <mergeCell ref="AGX13:AHA13"/>
    <mergeCell ref="AHB13:AHB18"/>
    <mergeCell ref="AHD13:AHH14"/>
    <mergeCell ref="AHI13:AHL13"/>
    <mergeCell ref="AGS14:AGV14"/>
    <mergeCell ref="AGX14:AHA14"/>
    <mergeCell ref="AHI14:AHL14"/>
    <mergeCell ref="AHD15:AHH17"/>
    <mergeCell ref="AFS13:AFV13"/>
    <mergeCell ref="AFX13:AGA13"/>
    <mergeCell ref="AGD13:AGH14"/>
    <mergeCell ref="AGI13:AGL13"/>
    <mergeCell ref="AGN13:AGQ13"/>
    <mergeCell ref="AGR13:AGR18"/>
    <mergeCell ref="AFS14:AFV14"/>
    <mergeCell ref="AFX14:AGA14"/>
    <mergeCell ref="AGI14:AGL14"/>
    <mergeCell ref="AGN14:AGQ14"/>
    <mergeCell ref="AES15:AEV15"/>
    <mergeCell ref="AEX15:AFA15"/>
    <mergeCell ref="AFD15:AFH17"/>
    <mergeCell ref="AFI15:AFL15"/>
    <mergeCell ref="AFN15:AFQ15"/>
    <mergeCell ref="ADR14:ADU14"/>
    <mergeCell ref="ADW14:ADZ14"/>
    <mergeCell ref="ACW13:ACZ13"/>
    <mergeCell ref="ADA13:ADA18"/>
    <mergeCell ref="ADC13:ADG14"/>
    <mergeCell ref="ADH13:ADK13"/>
    <mergeCell ref="ADL13:ADL18"/>
    <mergeCell ref="ADM13:ADP13"/>
    <mergeCell ref="ACW14:ACZ14"/>
    <mergeCell ref="ADH14:ADK14"/>
    <mergeCell ref="ADM14:ADP14"/>
    <mergeCell ref="ADC15:ADG17"/>
    <mergeCell ref="ACC13:ACG14"/>
    <mergeCell ref="ACH13:ACK13"/>
    <mergeCell ref="ACM13:ACP13"/>
    <mergeCell ref="ACQ13:ACQ18"/>
    <mergeCell ref="ACR13:ACU13"/>
    <mergeCell ref="ACV13:ACV18"/>
    <mergeCell ref="ACH14:ACK14"/>
    <mergeCell ref="ACM14:ACP14"/>
    <mergeCell ref="ACR14:ACU14"/>
    <mergeCell ref="ADH15:ADK15"/>
    <mergeCell ref="ADM15:ADP15"/>
    <mergeCell ref="ACH15:ACK15"/>
    <mergeCell ref="ACM15:ACP15"/>
    <mergeCell ref="XV13:XV18"/>
    <mergeCell ref="XW13:XZ13"/>
    <mergeCell ref="XH14:XK14"/>
    <mergeCell ref="XM14:XP14"/>
    <mergeCell ref="XR14:XU14"/>
    <mergeCell ref="XW14:XZ14"/>
    <mergeCell ref="ZR13:ZU13"/>
    <mergeCell ref="ZR14:ZU14"/>
    <mergeCell ref="YV13:YV18"/>
    <mergeCell ref="YW13:YZ13"/>
    <mergeCell ref="ZC13:ZG14"/>
    <mergeCell ref="ZH13:ZK13"/>
    <mergeCell ref="ZM13:ZP13"/>
    <mergeCell ref="ZQ13:ZQ18"/>
    <mergeCell ref="YW14:YZ14"/>
    <mergeCell ref="ZH14:ZK14"/>
    <mergeCell ref="ZM14:ZP14"/>
    <mergeCell ref="YW15:YZ15"/>
    <mergeCell ref="XM15:XP15"/>
    <mergeCell ref="XR15:XU15"/>
    <mergeCell ref="XW15:XZ15"/>
    <mergeCell ref="YC15:YG17"/>
    <mergeCell ref="YM16:YP16"/>
    <mergeCell ref="YR16:YU16"/>
    <mergeCell ref="YW16:YZ16"/>
    <mergeCell ref="YR17:YU17"/>
    <mergeCell ref="YW17:YZ17"/>
    <mergeCell ref="ZH17:ZK17"/>
    <mergeCell ref="YQ13:YQ18"/>
    <mergeCell ref="YR13:YU13"/>
    <mergeCell ref="YH14:YK14"/>
    <mergeCell ref="XH16:XK16"/>
    <mergeCell ref="RV14:RY14"/>
    <mergeCell ref="SB15:SF17"/>
    <mergeCell ref="WH13:WK13"/>
    <mergeCell ref="WM13:WP13"/>
    <mergeCell ref="WR13:WU13"/>
    <mergeCell ref="WW13:WZ13"/>
    <mergeCell ref="WH14:WK14"/>
    <mergeCell ref="WM14:WP14"/>
    <mergeCell ref="WR14:WU14"/>
    <mergeCell ref="WW14:WZ14"/>
    <mergeCell ref="VL13:VL18"/>
    <mergeCell ref="VM13:VP13"/>
    <mergeCell ref="VQ13:VQ18"/>
    <mergeCell ref="VR13:VU13"/>
    <mergeCell ref="VV13:VV18"/>
    <mergeCell ref="VW13:VZ13"/>
    <mergeCell ref="VM14:VP14"/>
    <mergeCell ref="VR14:VU14"/>
    <mergeCell ref="VW14:VZ14"/>
    <mergeCell ref="SG15:SJ15"/>
    <mergeCell ref="SL15:SO15"/>
    <mergeCell ref="SQ15:ST15"/>
    <mergeCell ref="SV15:SY15"/>
    <mergeCell ref="TB15:TF17"/>
    <mergeCell ref="TG15:TJ15"/>
    <mergeCell ref="WH15:WK15"/>
    <mergeCell ref="WM15:WP15"/>
    <mergeCell ref="WR15:WU15"/>
    <mergeCell ref="WW15:WZ15"/>
    <mergeCell ref="WM16:WP16"/>
    <mergeCell ref="WR16:WU16"/>
    <mergeCell ref="WW16:WZ16"/>
    <mergeCell ref="OV13:OY13"/>
    <mergeCell ref="OZ13:OZ18"/>
    <mergeCell ref="OL14:OO14"/>
    <mergeCell ref="OQ14:OT14"/>
    <mergeCell ref="OV14:OY14"/>
    <mergeCell ref="QL13:QO13"/>
    <mergeCell ref="QQ13:QT13"/>
    <mergeCell ref="QV13:QY13"/>
    <mergeCell ref="QZ13:QZ18"/>
    <mergeCell ref="RB13:RF14"/>
    <mergeCell ref="RG13:RJ13"/>
    <mergeCell ref="QL14:QO14"/>
    <mergeCell ref="QQ14:QT14"/>
    <mergeCell ref="QV14:QY14"/>
    <mergeCell ref="RG14:RJ14"/>
    <mergeCell ref="PU13:PU18"/>
    <mergeCell ref="PV13:PY13"/>
    <mergeCell ref="PZ13:PZ18"/>
    <mergeCell ref="QB13:QF14"/>
    <mergeCell ref="QG13:QJ13"/>
    <mergeCell ref="QK13:QK18"/>
    <mergeCell ref="PV14:PY14"/>
    <mergeCell ref="QG14:QJ14"/>
    <mergeCell ref="OL15:OO15"/>
    <mergeCell ref="OQ15:OT15"/>
    <mergeCell ref="OV15:OY15"/>
    <mergeCell ref="PB15:PF17"/>
    <mergeCell ref="PG15:PJ15"/>
    <mergeCell ref="OL16:OO16"/>
    <mergeCell ref="OQ16:OT16"/>
    <mergeCell ref="OV16:OY16"/>
    <mergeCell ref="QV15:QY15"/>
    <mergeCell ref="OB13:OF14"/>
    <mergeCell ref="OG13:OJ13"/>
    <mergeCell ref="NQ14:NT14"/>
    <mergeCell ref="NV14:NY14"/>
    <mergeCell ref="OG14:OJ14"/>
    <mergeCell ref="OB15:OF17"/>
    <mergeCell ref="MZ13:MZ18"/>
    <mergeCell ref="NB13:NF14"/>
    <mergeCell ref="NG13:NJ13"/>
    <mergeCell ref="NK13:NK18"/>
    <mergeCell ref="NL13:NO13"/>
    <mergeCell ref="NP13:NP18"/>
    <mergeCell ref="NG14:NJ14"/>
    <mergeCell ref="NL14:NO14"/>
    <mergeCell ref="OG15:OJ15"/>
    <mergeCell ref="OG16:OJ16"/>
    <mergeCell ref="NB15:NF17"/>
    <mergeCell ref="NG15:NJ15"/>
    <mergeCell ref="NL15:NO15"/>
    <mergeCell ref="NQ15:NT15"/>
    <mergeCell ref="NV15:NY15"/>
    <mergeCell ref="NQ16:NT16"/>
    <mergeCell ref="NV16:NY16"/>
    <mergeCell ref="NQ17:NT17"/>
    <mergeCell ref="FG13:FJ13"/>
    <mergeCell ref="FL13:FO13"/>
    <mergeCell ref="KL13:KO13"/>
    <mergeCell ref="KQ13:KT13"/>
    <mergeCell ref="KV13:KY13"/>
    <mergeCell ref="LB13:LF14"/>
    <mergeCell ref="LG13:LJ13"/>
    <mergeCell ref="LL13:LO13"/>
    <mergeCell ref="KL14:KO14"/>
    <mergeCell ref="KQ14:KT14"/>
    <mergeCell ref="KV14:KY14"/>
    <mergeCell ref="LG14:LJ14"/>
    <mergeCell ref="JL13:JO13"/>
    <mergeCell ref="JQ13:JT13"/>
    <mergeCell ref="JV13:JY13"/>
    <mergeCell ref="JZ13:JZ18"/>
    <mergeCell ref="KB13:KF14"/>
    <mergeCell ref="KG13:KJ13"/>
    <mergeCell ref="JL14:JO14"/>
    <mergeCell ref="JQ14:JT14"/>
    <mergeCell ref="JV14:JY14"/>
    <mergeCell ref="KG14:KJ14"/>
    <mergeCell ref="IG15:IJ15"/>
    <mergeCell ref="IL15:IO15"/>
    <mergeCell ref="IQ15:IT15"/>
    <mergeCell ref="IV15:IY15"/>
    <mergeCell ref="JB15:JF17"/>
    <mergeCell ref="JG15:JJ15"/>
    <mergeCell ref="IV16:IY16"/>
    <mergeCell ref="JG16:JJ16"/>
    <mergeCell ref="JG17:JJ17"/>
    <mergeCell ref="GB15:GF17"/>
    <mergeCell ref="AG13:AJ13"/>
    <mergeCell ref="AL13:AO13"/>
    <mergeCell ref="AQ13:AT13"/>
    <mergeCell ref="AU13:AU18"/>
    <mergeCell ref="AV13:AY13"/>
    <mergeCell ref="BB13:BF14"/>
    <mergeCell ref="BB15:BF17"/>
    <mergeCell ref="AL17:AO17"/>
    <mergeCell ref="AQ17:AT17"/>
    <mergeCell ref="AV17:AY17"/>
    <mergeCell ref="DG13:DJ13"/>
    <mergeCell ref="DL13:DO13"/>
    <mergeCell ref="DQ13:DT13"/>
    <mergeCell ref="DV13:DY13"/>
    <mergeCell ref="EB13:EF14"/>
    <mergeCell ref="EG13:EJ13"/>
    <mergeCell ref="DG14:DJ14"/>
    <mergeCell ref="DL14:DO14"/>
    <mergeCell ref="DQ14:DT14"/>
    <mergeCell ref="DV14:DY14"/>
    <mergeCell ref="CG13:CJ13"/>
    <mergeCell ref="CL13:CO13"/>
    <mergeCell ref="CP13:CP18"/>
    <mergeCell ref="CQ13:CT13"/>
    <mergeCell ref="CV13:CY13"/>
    <mergeCell ref="DB13:DF14"/>
    <mergeCell ref="CG14:CJ14"/>
    <mergeCell ref="CL14:CO14"/>
    <mergeCell ref="CQ14:CT14"/>
    <mergeCell ref="CV14:CY14"/>
    <mergeCell ref="EG14:EJ14"/>
    <mergeCell ref="AG15:AJ15"/>
    <mergeCell ref="AOV12:AOY12"/>
    <mergeCell ref="APA12:APD12"/>
    <mergeCell ref="B13:F14"/>
    <mergeCell ref="G13:J13"/>
    <mergeCell ref="L13:O13"/>
    <mergeCell ref="P13:P18"/>
    <mergeCell ref="Q13:T13"/>
    <mergeCell ref="AOV11:AOY11"/>
    <mergeCell ref="APA11:APD11"/>
    <mergeCell ref="G12:J12"/>
    <mergeCell ref="L12:O12"/>
    <mergeCell ref="Q12:T12"/>
    <mergeCell ref="V12:Y12"/>
    <mergeCell ref="AG12:AJ12"/>
    <mergeCell ref="ANU11:ANX11"/>
    <mergeCell ref="ANZ11:AOC11"/>
    <mergeCell ref="AOE11:AOE18"/>
    <mergeCell ref="AOF11:AOJ12"/>
    <mergeCell ref="AOK11:AON11"/>
    <mergeCell ref="AOP11:AOS11"/>
    <mergeCell ref="ANU12:ANX12"/>
    <mergeCell ref="ANZ12:AOC12"/>
    <mergeCell ref="AOK12:AON12"/>
    <mergeCell ref="AOP12:AOS12"/>
    <mergeCell ref="AMT11:AMW11"/>
    <mergeCell ref="AMY11:ANB11"/>
    <mergeCell ref="ANO11:ANR11"/>
    <mergeCell ref="AMT12:AMW12"/>
    <mergeCell ref="AMY12:ANB12"/>
    <mergeCell ref="ANJ12:ANM12"/>
    <mergeCell ref="ANO12:ANR12"/>
    <mergeCell ref="ALS11:ALV11"/>
    <mergeCell ref="AMD11:AMH12"/>
    <mergeCell ref="AMI11:AML11"/>
    <mergeCell ref="AMN11:AMQ11"/>
    <mergeCell ref="ALS12:ALV12"/>
    <mergeCell ref="ALX12:AMA12"/>
    <mergeCell ref="AMI12:AML12"/>
    <mergeCell ref="AMN12:AMQ12"/>
    <mergeCell ref="AKS11:AKV11"/>
    <mergeCell ref="AKX11:ALA11"/>
    <mergeCell ref="ALC11:ALC18"/>
    <mergeCell ref="ALD11:ALH12"/>
    <mergeCell ref="ALI11:ALL11"/>
    <mergeCell ref="ALN11:ALQ11"/>
    <mergeCell ref="AKS12:AKV12"/>
    <mergeCell ref="AKX12:ALA12"/>
    <mergeCell ref="ALI12:ALL12"/>
    <mergeCell ref="ALN12:ALQ12"/>
    <mergeCell ref="AMN16:AMQ16"/>
    <mergeCell ref="ALN17:ALQ17"/>
    <mergeCell ref="ALS17:ALV17"/>
    <mergeCell ref="ALX17:AMA17"/>
    <mergeCell ref="AMT16:AMW16"/>
    <mergeCell ref="AMY16:ANB16"/>
    <mergeCell ref="ANJ16:ANM16"/>
    <mergeCell ref="ALD15:ALH17"/>
    <mergeCell ref="ALI15:ALL15"/>
    <mergeCell ref="ALN15:ALQ15"/>
    <mergeCell ref="AJS11:AJV11"/>
    <mergeCell ref="AJX11:AKA11"/>
    <mergeCell ref="AKC11:AKC18"/>
    <mergeCell ref="AKD11:AKH12"/>
    <mergeCell ref="AKI11:AKL11"/>
    <mergeCell ref="AKN11:AKQ11"/>
    <mergeCell ref="AJS12:AJV12"/>
    <mergeCell ref="AJX12:AKA12"/>
    <mergeCell ref="AKI12:AKL12"/>
    <mergeCell ref="AKN12:AKQ12"/>
    <mergeCell ref="AIS11:AIV11"/>
    <mergeCell ref="AIX11:AJA11"/>
    <mergeCell ref="AJC11:AJC18"/>
    <mergeCell ref="AJD11:AJH12"/>
    <mergeCell ref="AJI11:AJL11"/>
    <mergeCell ref="AJN11:AJQ11"/>
    <mergeCell ref="AIS12:AIV12"/>
    <mergeCell ref="AIX12:AJA12"/>
    <mergeCell ref="AJI12:AJL12"/>
    <mergeCell ref="AJN12:AJQ12"/>
    <mergeCell ref="AKD13:AKH14"/>
    <mergeCell ref="AKI13:AKL13"/>
    <mergeCell ref="AKI14:AKL14"/>
    <mergeCell ref="AIS14:AIV14"/>
    <mergeCell ref="ALX11:AMA11"/>
    <mergeCell ref="AMC11:AMC18"/>
    <mergeCell ref="AHS11:AHV11"/>
    <mergeCell ref="AHX11:AIA11"/>
    <mergeCell ref="AIC11:AIC18"/>
    <mergeCell ref="AID11:AIH12"/>
    <mergeCell ref="AII11:AIL11"/>
    <mergeCell ref="AIN11:AIQ11"/>
    <mergeCell ref="AHS12:AHV12"/>
    <mergeCell ref="AHX12:AIA12"/>
    <mergeCell ref="AII12:AIL12"/>
    <mergeCell ref="AIN12:AIQ12"/>
    <mergeCell ref="AGS11:AGV11"/>
    <mergeCell ref="AGX11:AHA11"/>
    <mergeCell ref="AHC11:AHC18"/>
    <mergeCell ref="AHD11:AHH12"/>
    <mergeCell ref="AHI11:AHL11"/>
    <mergeCell ref="AHN11:AHQ11"/>
    <mergeCell ref="AGS12:AGV12"/>
    <mergeCell ref="AGX12:AHA12"/>
    <mergeCell ref="AHI12:AHL12"/>
    <mergeCell ref="AHN12:AHQ12"/>
    <mergeCell ref="AID13:AIH14"/>
    <mergeCell ref="AII13:AIL13"/>
    <mergeCell ref="AIM13:AIM18"/>
    <mergeCell ref="AIN13:AIQ13"/>
    <mergeCell ref="AGX15:AHA15"/>
    <mergeCell ref="AIN15:AIQ15"/>
    <mergeCell ref="AHN13:AHQ13"/>
    <mergeCell ref="AHR13:AHR18"/>
    <mergeCell ref="AHS13:AHV13"/>
    <mergeCell ref="AHW13:AHW18"/>
    <mergeCell ref="AHX13:AIA13"/>
    <mergeCell ref="AIB13:AIB18"/>
    <mergeCell ref="AFS11:AFV11"/>
    <mergeCell ref="AFX11:AGA11"/>
    <mergeCell ref="AGC11:AGC18"/>
    <mergeCell ref="AGD11:AGH12"/>
    <mergeCell ref="AGI11:AGL11"/>
    <mergeCell ref="AGN11:AGQ11"/>
    <mergeCell ref="AFS12:AFV12"/>
    <mergeCell ref="AFX12:AGA12"/>
    <mergeCell ref="AGI12:AGL12"/>
    <mergeCell ref="AGN12:AGQ12"/>
    <mergeCell ref="AES11:AEV11"/>
    <mergeCell ref="AEX11:AFA11"/>
    <mergeCell ref="AFC11:AFC18"/>
    <mergeCell ref="AFD11:AFH12"/>
    <mergeCell ref="AFI11:AFL11"/>
    <mergeCell ref="AFN11:AFQ11"/>
    <mergeCell ref="AES12:AEV12"/>
    <mergeCell ref="AEX12:AFA12"/>
    <mergeCell ref="AFI12:AFL12"/>
    <mergeCell ref="AFN12:AFQ12"/>
    <mergeCell ref="AEX13:AFA13"/>
    <mergeCell ref="AFB13:AFB18"/>
    <mergeCell ref="AFD13:AFH14"/>
    <mergeCell ref="AFI13:AFL13"/>
    <mergeCell ref="AFM13:AFM18"/>
    <mergeCell ref="AFN13:AFQ13"/>
    <mergeCell ref="AEX14:AFA14"/>
    <mergeCell ref="AFI14:AFL14"/>
    <mergeCell ref="AFN14:AFQ14"/>
    <mergeCell ref="AFS15:AFV15"/>
    <mergeCell ref="AFX16:AGA16"/>
    <mergeCell ref="AGI16:AGL16"/>
    <mergeCell ref="ADR11:ADU11"/>
    <mergeCell ref="ADW11:ADZ11"/>
    <mergeCell ref="AEB11:AEB18"/>
    <mergeCell ref="AEC11:AEG12"/>
    <mergeCell ref="AEH11:AEK11"/>
    <mergeCell ref="AEM11:AEP11"/>
    <mergeCell ref="ADR12:ADU12"/>
    <mergeCell ref="ADW12:ADZ12"/>
    <mergeCell ref="AEH12:AEK12"/>
    <mergeCell ref="AEM12:AEP12"/>
    <mergeCell ref="ACR11:ACU11"/>
    <mergeCell ref="ACW11:ACZ11"/>
    <mergeCell ref="ADB11:ADB18"/>
    <mergeCell ref="ADC11:ADG12"/>
    <mergeCell ref="ADH11:ADK11"/>
    <mergeCell ref="ADM11:ADP11"/>
    <mergeCell ref="ACR12:ACU12"/>
    <mergeCell ref="ACW12:ACZ12"/>
    <mergeCell ref="ADH12:ADK12"/>
    <mergeCell ref="ADM12:ADP12"/>
    <mergeCell ref="AEH13:AEK13"/>
    <mergeCell ref="AEL13:AEL18"/>
    <mergeCell ref="AEM13:AEP13"/>
    <mergeCell ref="ADR15:ADU15"/>
    <mergeCell ref="ADW15:ADZ15"/>
    <mergeCell ref="AEC15:AEG17"/>
    <mergeCell ref="AEH15:AEK15"/>
    <mergeCell ref="ADM17:ADP17"/>
    <mergeCell ref="ADR17:ADU17"/>
    <mergeCell ref="ADW17:ADZ17"/>
    <mergeCell ref="AEH17:AEK17"/>
    <mergeCell ref="ACR15:ACU15"/>
    <mergeCell ref="ABR11:ABU11"/>
    <mergeCell ref="ABW11:ABZ11"/>
    <mergeCell ref="ACB11:ACB18"/>
    <mergeCell ref="ACC11:ACG12"/>
    <mergeCell ref="ACH11:ACK11"/>
    <mergeCell ref="ACM11:ACP11"/>
    <mergeCell ref="ABR12:ABU12"/>
    <mergeCell ref="ABW12:ABZ12"/>
    <mergeCell ref="ACH12:ACK12"/>
    <mergeCell ref="ACM12:ACP12"/>
    <mergeCell ref="AAR11:AAU11"/>
    <mergeCell ref="AAW11:AAZ11"/>
    <mergeCell ref="ABB11:ABB18"/>
    <mergeCell ref="ABC11:ABG12"/>
    <mergeCell ref="ABH11:ABK11"/>
    <mergeCell ref="ABM11:ABP11"/>
    <mergeCell ref="AAR12:AAU12"/>
    <mergeCell ref="AAW12:AAZ12"/>
    <mergeCell ref="ABH12:ABK12"/>
    <mergeCell ref="ABM12:ABP12"/>
    <mergeCell ref="ABH13:ABK13"/>
    <mergeCell ref="ABM13:ABP13"/>
    <mergeCell ref="ABR13:ABU13"/>
    <mergeCell ref="ABV13:ABV18"/>
    <mergeCell ref="ABW13:ABZ13"/>
    <mergeCell ref="ACA13:ACA18"/>
    <mergeCell ref="ABH14:ABK14"/>
    <mergeCell ref="ABM14:ABP14"/>
    <mergeCell ref="ABR14:ABU14"/>
    <mergeCell ref="ABW14:ABZ14"/>
    <mergeCell ref="ABW15:ABZ15"/>
    <mergeCell ref="ACC15:ACG17"/>
    <mergeCell ref="ZR11:ZU11"/>
    <mergeCell ref="ZW11:ZZ11"/>
    <mergeCell ref="AAB11:AAB18"/>
    <mergeCell ref="AAC11:AAG12"/>
    <mergeCell ref="AAH11:AAK11"/>
    <mergeCell ref="AAM11:AAP11"/>
    <mergeCell ref="ZR12:ZU12"/>
    <mergeCell ref="ZW12:ZZ12"/>
    <mergeCell ref="AAH12:AAK12"/>
    <mergeCell ref="AAM12:AAP12"/>
    <mergeCell ref="YR11:YU11"/>
    <mergeCell ref="YW11:YZ11"/>
    <mergeCell ref="ZB11:ZB18"/>
    <mergeCell ref="ZC11:ZG12"/>
    <mergeCell ref="ZH11:ZK11"/>
    <mergeCell ref="ZM11:ZP11"/>
    <mergeCell ref="YR12:YU12"/>
    <mergeCell ref="YW12:YZ12"/>
    <mergeCell ref="ZH12:ZK12"/>
    <mergeCell ref="ZM12:ZP12"/>
    <mergeCell ref="ZW13:ZZ13"/>
    <mergeCell ref="AAA13:AAA18"/>
    <mergeCell ref="AAC13:AAG14"/>
    <mergeCell ref="AAH13:AAK13"/>
    <mergeCell ref="AAL13:AAL18"/>
    <mergeCell ref="ZW14:ZZ14"/>
    <mergeCell ref="AAH14:AAK14"/>
    <mergeCell ref="AAH15:AAK15"/>
    <mergeCell ref="AAM13:AAP13"/>
    <mergeCell ref="AAM14:AAP14"/>
    <mergeCell ref="ZH16:ZK16"/>
    <mergeCell ref="ZM16:ZP16"/>
    <mergeCell ref="XR11:XU11"/>
    <mergeCell ref="XW11:XZ11"/>
    <mergeCell ref="YB11:YB18"/>
    <mergeCell ref="YC11:YG12"/>
    <mergeCell ref="YH11:YK11"/>
    <mergeCell ref="YM11:YP11"/>
    <mergeCell ref="XR12:XU12"/>
    <mergeCell ref="XW12:XZ12"/>
    <mergeCell ref="YH12:YK12"/>
    <mergeCell ref="YM12:YP12"/>
    <mergeCell ref="WR11:WU11"/>
    <mergeCell ref="WW11:WZ11"/>
    <mergeCell ref="XB11:XB18"/>
    <mergeCell ref="XC11:XG12"/>
    <mergeCell ref="XH11:XK11"/>
    <mergeCell ref="XM11:XP11"/>
    <mergeCell ref="WR12:WU12"/>
    <mergeCell ref="WW12:WZ12"/>
    <mergeCell ref="XH12:XK12"/>
    <mergeCell ref="XM12:XP12"/>
    <mergeCell ref="YC13:YG14"/>
    <mergeCell ref="YH13:YK13"/>
    <mergeCell ref="YL13:YL18"/>
    <mergeCell ref="YM13:YP13"/>
    <mergeCell ref="YH15:YK15"/>
    <mergeCell ref="YM15:YP15"/>
    <mergeCell ref="XM16:XP16"/>
    <mergeCell ref="XR16:XU16"/>
    <mergeCell ref="XW16:XZ16"/>
    <mergeCell ref="YH16:YK16"/>
    <mergeCell ref="XC15:XG17"/>
    <mergeCell ref="XH15:XK15"/>
    <mergeCell ref="VR11:VU11"/>
    <mergeCell ref="VW11:VZ11"/>
    <mergeCell ref="WB11:WB18"/>
    <mergeCell ref="WC11:WG12"/>
    <mergeCell ref="WH11:WK11"/>
    <mergeCell ref="WM11:WP11"/>
    <mergeCell ref="VR12:VU12"/>
    <mergeCell ref="VW12:VZ12"/>
    <mergeCell ref="WH12:WK12"/>
    <mergeCell ref="WM12:WP12"/>
    <mergeCell ref="UR11:UU11"/>
    <mergeCell ref="UW11:UZ11"/>
    <mergeCell ref="VB11:VB18"/>
    <mergeCell ref="VC11:VG12"/>
    <mergeCell ref="VH11:VK11"/>
    <mergeCell ref="VM11:VP11"/>
    <mergeCell ref="UR12:UU12"/>
    <mergeCell ref="UW12:UZ12"/>
    <mergeCell ref="VH12:VK12"/>
    <mergeCell ref="VM12:VP12"/>
    <mergeCell ref="UW16:UZ16"/>
    <mergeCell ref="VH16:VK16"/>
    <mergeCell ref="VM16:VP16"/>
    <mergeCell ref="VR16:VU16"/>
    <mergeCell ref="VW16:VZ16"/>
    <mergeCell ref="WH16:WK16"/>
    <mergeCell ref="UR16:UU16"/>
    <mergeCell ref="VC15:VG17"/>
    <mergeCell ref="VH15:VK15"/>
    <mergeCell ref="VM15:VP15"/>
    <mergeCell ref="VR15:VU15"/>
    <mergeCell ref="VW15:VZ15"/>
    <mergeCell ref="TR11:TU11"/>
    <mergeCell ref="TW11:TZ11"/>
    <mergeCell ref="UB11:UB18"/>
    <mergeCell ref="UC11:UG12"/>
    <mergeCell ref="UH11:UK11"/>
    <mergeCell ref="UM11:UP11"/>
    <mergeCell ref="TR12:TU12"/>
    <mergeCell ref="TW12:TZ12"/>
    <mergeCell ref="UH12:UK12"/>
    <mergeCell ref="UM12:UP12"/>
    <mergeCell ref="SQ11:ST11"/>
    <mergeCell ref="SV11:SY11"/>
    <mergeCell ref="TA11:TA18"/>
    <mergeCell ref="TB11:TF12"/>
    <mergeCell ref="TG11:TJ11"/>
    <mergeCell ref="TL11:TO11"/>
    <mergeCell ref="SQ12:ST12"/>
    <mergeCell ref="SV12:SY12"/>
    <mergeCell ref="TG12:TJ12"/>
    <mergeCell ref="TL12:TO12"/>
    <mergeCell ref="TL15:TO15"/>
    <mergeCell ref="SQ13:ST13"/>
    <mergeCell ref="SU13:SU18"/>
    <mergeCell ref="SV13:SY13"/>
    <mergeCell ref="SZ13:SZ18"/>
    <mergeCell ref="SQ14:ST14"/>
    <mergeCell ref="SV14:SY14"/>
    <mergeCell ref="TL16:TO16"/>
    <mergeCell ref="TR16:TU16"/>
    <mergeCell ref="TW16:TZ16"/>
    <mergeCell ref="UH16:UK16"/>
    <mergeCell ref="UM16:UP16"/>
    <mergeCell ref="RQ11:RT11"/>
    <mergeCell ref="RV11:RY11"/>
    <mergeCell ref="SA11:SA18"/>
    <mergeCell ref="SB11:SF12"/>
    <mergeCell ref="SG11:SJ11"/>
    <mergeCell ref="SL11:SO11"/>
    <mergeCell ref="RQ12:RT12"/>
    <mergeCell ref="RV12:RY12"/>
    <mergeCell ref="SG12:SJ12"/>
    <mergeCell ref="SL12:SO12"/>
    <mergeCell ref="QQ11:QT11"/>
    <mergeCell ref="QV11:QY11"/>
    <mergeCell ref="RA11:RA18"/>
    <mergeCell ref="RB11:RF12"/>
    <mergeCell ref="RG11:RJ11"/>
    <mergeCell ref="RL11:RO11"/>
    <mergeCell ref="QQ12:QT12"/>
    <mergeCell ref="QV12:QY12"/>
    <mergeCell ref="RG12:RJ12"/>
    <mergeCell ref="RL12:RO12"/>
    <mergeCell ref="SG13:SJ13"/>
    <mergeCell ref="SL13:SO13"/>
    <mergeCell ref="SG14:SJ14"/>
    <mergeCell ref="SL14:SO14"/>
    <mergeCell ref="RK13:RK18"/>
    <mergeCell ref="RL13:RO13"/>
    <mergeCell ref="RQ13:RT13"/>
    <mergeCell ref="RV13:RY13"/>
    <mergeCell ref="RZ13:RZ18"/>
    <mergeCell ref="SB13:SF14"/>
    <mergeCell ref="RL14:RO14"/>
    <mergeCell ref="RQ14:RT14"/>
    <mergeCell ref="PQ11:PT11"/>
    <mergeCell ref="PV11:PY11"/>
    <mergeCell ref="QA11:QA18"/>
    <mergeCell ref="QB11:QF12"/>
    <mergeCell ref="QG11:QJ11"/>
    <mergeCell ref="QL11:QO11"/>
    <mergeCell ref="PQ12:PT12"/>
    <mergeCell ref="PV12:PY12"/>
    <mergeCell ref="QG12:QJ12"/>
    <mergeCell ref="QL12:QO12"/>
    <mergeCell ref="OQ11:OT11"/>
    <mergeCell ref="OV11:OY11"/>
    <mergeCell ref="PA11:PA18"/>
    <mergeCell ref="PB11:PF12"/>
    <mergeCell ref="PG11:PJ11"/>
    <mergeCell ref="PL11:PO11"/>
    <mergeCell ref="OQ12:OT12"/>
    <mergeCell ref="OV12:OY12"/>
    <mergeCell ref="PG12:PJ12"/>
    <mergeCell ref="PL12:PO12"/>
    <mergeCell ref="PB13:PF14"/>
    <mergeCell ref="PG13:PJ13"/>
    <mergeCell ref="PK13:PK18"/>
    <mergeCell ref="PL13:PO13"/>
    <mergeCell ref="PP13:PP18"/>
    <mergeCell ref="PQ13:PT13"/>
    <mergeCell ref="PG14:PJ14"/>
    <mergeCell ref="PL14:PO14"/>
    <mergeCell ref="PQ14:PT14"/>
    <mergeCell ref="PL15:PO15"/>
    <mergeCell ref="OQ13:OT13"/>
    <mergeCell ref="OU13:OU18"/>
    <mergeCell ref="NQ11:NT11"/>
    <mergeCell ref="NV11:NY11"/>
    <mergeCell ref="OA11:OA18"/>
    <mergeCell ref="OB11:OF12"/>
    <mergeCell ref="OG11:OJ11"/>
    <mergeCell ref="OL11:OO11"/>
    <mergeCell ref="NQ12:NT12"/>
    <mergeCell ref="NV12:NY12"/>
    <mergeCell ref="OG12:OJ12"/>
    <mergeCell ref="OL12:OO12"/>
    <mergeCell ref="MQ11:MT11"/>
    <mergeCell ref="MV11:MY11"/>
    <mergeCell ref="NA11:NA18"/>
    <mergeCell ref="NB11:NF12"/>
    <mergeCell ref="NG11:NJ11"/>
    <mergeCell ref="NL11:NO11"/>
    <mergeCell ref="MQ12:MT12"/>
    <mergeCell ref="MV12:MY12"/>
    <mergeCell ref="NG12:NJ12"/>
    <mergeCell ref="NL12:NO12"/>
    <mergeCell ref="MQ13:MT13"/>
    <mergeCell ref="MU13:MU18"/>
    <mergeCell ref="MV13:MY13"/>
    <mergeCell ref="MV14:MY14"/>
    <mergeCell ref="MQ15:MT15"/>
    <mergeCell ref="OK13:OK18"/>
    <mergeCell ref="OL13:OO13"/>
    <mergeCell ref="NV17:NY17"/>
    <mergeCell ref="NQ13:NT13"/>
    <mergeCell ref="NU13:NU18"/>
    <mergeCell ref="NV13:NY13"/>
    <mergeCell ref="NZ13:NZ18"/>
    <mergeCell ref="LQ11:LT11"/>
    <mergeCell ref="LV11:LY11"/>
    <mergeCell ref="MA11:MA18"/>
    <mergeCell ref="MB11:MF12"/>
    <mergeCell ref="MG11:MJ11"/>
    <mergeCell ref="ML11:MO11"/>
    <mergeCell ref="LQ12:LT12"/>
    <mergeCell ref="LV12:LY12"/>
    <mergeCell ref="MG12:MJ12"/>
    <mergeCell ref="ML12:MO12"/>
    <mergeCell ref="KQ11:KT11"/>
    <mergeCell ref="KV11:KY11"/>
    <mergeCell ref="LA11:LA18"/>
    <mergeCell ref="LB11:LF12"/>
    <mergeCell ref="LG11:LJ11"/>
    <mergeCell ref="LL11:LO11"/>
    <mergeCell ref="KQ12:KT12"/>
    <mergeCell ref="KV12:KY12"/>
    <mergeCell ref="LG12:LJ12"/>
    <mergeCell ref="LL12:LO12"/>
    <mergeCell ref="MG13:MJ13"/>
    <mergeCell ref="MK13:MK18"/>
    <mergeCell ref="ML13:MO13"/>
    <mergeCell ref="MG15:MJ15"/>
    <mergeCell ref="ML15:MO15"/>
    <mergeCell ref="LP13:LP18"/>
    <mergeCell ref="LQ13:LT13"/>
    <mergeCell ref="LU13:LU18"/>
    <mergeCell ref="LV13:LY13"/>
    <mergeCell ref="LZ13:LZ18"/>
    <mergeCell ref="MB13:MF14"/>
    <mergeCell ref="LV15:LY15"/>
    <mergeCell ref="JQ11:JT11"/>
    <mergeCell ref="JV11:JY11"/>
    <mergeCell ref="KA11:KA18"/>
    <mergeCell ref="KB11:KF12"/>
    <mergeCell ref="KG11:KJ11"/>
    <mergeCell ref="KL11:KO11"/>
    <mergeCell ref="JQ12:JT12"/>
    <mergeCell ref="JV12:JY12"/>
    <mergeCell ref="KG12:KJ12"/>
    <mergeCell ref="KL12:KO12"/>
    <mergeCell ref="IQ11:IT11"/>
    <mergeCell ref="IV11:IY11"/>
    <mergeCell ref="JA11:JA18"/>
    <mergeCell ref="JB11:JF12"/>
    <mergeCell ref="JG11:JJ11"/>
    <mergeCell ref="JL11:JO11"/>
    <mergeCell ref="IQ12:IT12"/>
    <mergeCell ref="IV12:IY12"/>
    <mergeCell ref="JG12:JJ12"/>
    <mergeCell ref="JL12:JO12"/>
    <mergeCell ref="JL15:JO15"/>
    <mergeCell ref="JQ15:JT15"/>
    <mergeCell ref="JV15:JY15"/>
    <mergeCell ref="KB15:KF17"/>
    <mergeCell ref="KG15:KJ15"/>
    <mergeCell ref="KL15:KO15"/>
    <mergeCell ref="JL16:JO16"/>
    <mergeCell ref="JQ16:JT16"/>
    <mergeCell ref="JV16:JY16"/>
    <mergeCell ref="KG16:KJ16"/>
    <mergeCell ref="HQ11:HT11"/>
    <mergeCell ref="HV11:HY11"/>
    <mergeCell ref="IA11:IA18"/>
    <mergeCell ref="IB11:IF12"/>
    <mergeCell ref="IG11:IJ11"/>
    <mergeCell ref="IL11:IO11"/>
    <mergeCell ref="HQ12:HT12"/>
    <mergeCell ref="HV12:HY12"/>
    <mergeCell ref="IG12:IJ12"/>
    <mergeCell ref="IL12:IO12"/>
    <mergeCell ref="GQ11:GT11"/>
    <mergeCell ref="GV11:GY11"/>
    <mergeCell ref="HA11:HA18"/>
    <mergeCell ref="HB11:HF12"/>
    <mergeCell ref="HG11:HJ11"/>
    <mergeCell ref="HL11:HO11"/>
    <mergeCell ref="GQ12:GT12"/>
    <mergeCell ref="GV12:GY12"/>
    <mergeCell ref="HG12:HJ12"/>
    <mergeCell ref="HL12:HO12"/>
    <mergeCell ref="HQ15:HT15"/>
    <mergeCell ref="HG16:HJ16"/>
    <mergeCell ref="GQ13:GT13"/>
    <mergeCell ref="GQ15:GT15"/>
    <mergeCell ref="GV15:GY15"/>
    <mergeCell ref="HB15:HF17"/>
    <mergeCell ref="GQ16:GT16"/>
    <mergeCell ref="GV16:GY16"/>
    <mergeCell ref="FQ11:FT11"/>
    <mergeCell ref="FV11:FY11"/>
    <mergeCell ref="GA11:GA18"/>
    <mergeCell ref="GB11:GF12"/>
    <mergeCell ref="GG11:GJ11"/>
    <mergeCell ref="GL11:GO11"/>
    <mergeCell ref="FQ12:FT12"/>
    <mergeCell ref="FV12:FY12"/>
    <mergeCell ref="GG12:GJ12"/>
    <mergeCell ref="GL12:GO12"/>
    <mergeCell ref="EQ11:ET11"/>
    <mergeCell ref="EV11:EY11"/>
    <mergeCell ref="FA11:FA18"/>
    <mergeCell ref="FB11:FF12"/>
    <mergeCell ref="FG11:FJ11"/>
    <mergeCell ref="FL11:FO11"/>
    <mergeCell ref="EQ12:ET12"/>
    <mergeCell ref="EV12:EY12"/>
    <mergeCell ref="FG12:FJ12"/>
    <mergeCell ref="FL12:FO12"/>
    <mergeCell ref="FQ13:FT13"/>
    <mergeCell ref="FV13:FY13"/>
    <mergeCell ref="GB13:GF14"/>
    <mergeCell ref="GG13:GJ13"/>
    <mergeCell ref="GL13:GO13"/>
    <mergeCell ref="FQ14:FT14"/>
    <mergeCell ref="FV14:FY14"/>
    <mergeCell ref="GG14:GJ14"/>
    <mergeCell ref="GL14:GO14"/>
    <mergeCell ref="EQ13:ET13"/>
    <mergeCell ref="EV13:EY13"/>
    <mergeCell ref="FB13:FF14"/>
    <mergeCell ref="DQ11:DT11"/>
    <mergeCell ref="DV11:DY11"/>
    <mergeCell ref="EA11:EA18"/>
    <mergeCell ref="EB11:EF12"/>
    <mergeCell ref="EG11:EJ11"/>
    <mergeCell ref="EL11:EO11"/>
    <mergeCell ref="DQ12:DT12"/>
    <mergeCell ref="DV12:DY12"/>
    <mergeCell ref="EG12:EJ12"/>
    <mergeCell ref="EL12:EO12"/>
    <mergeCell ref="CQ11:CT11"/>
    <mergeCell ref="CV11:CY11"/>
    <mergeCell ref="DA11:DA18"/>
    <mergeCell ref="DB11:DF12"/>
    <mergeCell ref="DG11:DJ11"/>
    <mergeCell ref="DL11:DO11"/>
    <mergeCell ref="CQ12:CT12"/>
    <mergeCell ref="CV12:CY12"/>
    <mergeCell ref="DG12:DJ12"/>
    <mergeCell ref="DL12:DO12"/>
    <mergeCell ref="EL13:EO13"/>
    <mergeCell ref="EL14:EO14"/>
    <mergeCell ref="DB15:DF17"/>
    <mergeCell ref="DG15:DJ15"/>
    <mergeCell ref="DL15:DO15"/>
    <mergeCell ref="CQ17:CT17"/>
    <mergeCell ref="CV17:CY17"/>
    <mergeCell ref="DG17:DJ17"/>
    <mergeCell ref="DL17:DO17"/>
    <mergeCell ref="DG16:DJ16"/>
    <mergeCell ref="DL16:DO16"/>
    <mergeCell ref="DQ17:DT17"/>
    <mergeCell ref="BQ11:BT11"/>
    <mergeCell ref="BV11:BY11"/>
    <mergeCell ref="CA11:CA18"/>
    <mergeCell ref="CB11:CF12"/>
    <mergeCell ref="CG11:CJ11"/>
    <mergeCell ref="CL11:CO11"/>
    <mergeCell ref="BQ12:BT12"/>
    <mergeCell ref="BV12:BY12"/>
    <mergeCell ref="CG12:CJ12"/>
    <mergeCell ref="CL12:CO12"/>
    <mergeCell ref="AQ11:AT11"/>
    <mergeCell ref="AV11:AY11"/>
    <mergeCell ref="BA11:BA18"/>
    <mergeCell ref="BB11:BF12"/>
    <mergeCell ref="BG11:BJ11"/>
    <mergeCell ref="BL11:BO11"/>
    <mergeCell ref="AQ12:AT12"/>
    <mergeCell ref="AV12:AY12"/>
    <mergeCell ref="BG12:BJ12"/>
    <mergeCell ref="BL12:BO12"/>
    <mergeCell ref="BG13:BJ13"/>
    <mergeCell ref="BL13:BO13"/>
    <mergeCell ref="BQ13:BT13"/>
    <mergeCell ref="BU13:BU18"/>
    <mergeCell ref="BV13:BY13"/>
    <mergeCell ref="CB13:CF14"/>
    <mergeCell ref="BG14:BJ14"/>
    <mergeCell ref="BL14:BO14"/>
    <mergeCell ref="BQ14:BT14"/>
    <mergeCell ref="BV14:BY14"/>
    <mergeCell ref="BG15:BJ15"/>
    <mergeCell ref="BL15:BO15"/>
    <mergeCell ref="Q11:T11"/>
    <mergeCell ref="V11:Y11"/>
    <mergeCell ref="AA11:AA18"/>
    <mergeCell ref="AB11:AF12"/>
    <mergeCell ref="AG11:AJ11"/>
    <mergeCell ref="AL11:AO11"/>
    <mergeCell ref="AL12:AO12"/>
    <mergeCell ref="U13:U18"/>
    <mergeCell ref="V13:Y13"/>
    <mergeCell ref="AB13:AF14"/>
    <mergeCell ref="AOP10:AOT10"/>
    <mergeCell ref="AOV10:AOZ10"/>
    <mergeCell ref="APA10:APE10"/>
    <mergeCell ref="A11:A18"/>
    <mergeCell ref="B11:F12"/>
    <mergeCell ref="G11:J11"/>
    <mergeCell ref="L11:O11"/>
    <mergeCell ref="ANJ10:ANN10"/>
    <mergeCell ref="ANO10:ANS10"/>
    <mergeCell ref="ANU10:ANY10"/>
    <mergeCell ref="ANZ10:AOD10"/>
    <mergeCell ref="AOE10:AOJ10"/>
    <mergeCell ref="AOK10:AOO10"/>
    <mergeCell ref="AMC10:AMH10"/>
    <mergeCell ref="AMI10:AMM10"/>
    <mergeCell ref="AMN10:AMR10"/>
    <mergeCell ref="AMT10:AMX10"/>
    <mergeCell ref="AMY10:ANC10"/>
    <mergeCell ref="AND10:ANI10"/>
    <mergeCell ref="AKX10:ALB10"/>
    <mergeCell ref="ALC10:ALH10"/>
    <mergeCell ref="ALI10:ALM10"/>
    <mergeCell ref="ALN10:ALR10"/>
    <mergeCell ref="ALS10:ALW10"/>
    <mergeCell ref="ALX10:AMB10"/>
    <mergeCell ref="AJS10:AJW10"/>
    <mergeCell ref="AJX10:AKB10"/>
    <mergeCell ref="AKC10:AKH10"/>
    <mergeCell ref="AKI10:AKM10"/>
    <mergeCell ref="AKN10:AKR10"/>
    <mergeCell ref="AKS10:AKW10"/>
    <mergeCell ref="AIN10:AIR10"/>
    <mergeCell ref="AIS10:AIW10"/>
    <mergeCell ref="AIX10:AJB10"/>
    <mergeCell ref="AJC10:AJH10"/>
    <mergeCell ref="AJI10:AJM10"/>
    <mergeCell ref="AJN10:AJR10"/>
    <mergeCell ref="AHI10:AHM10"/>
    <mergeCell ref="AHN10:AHR10"/>
    <mergeCell ref="AHS10:AHW10"/>
    <mergeCell ref="AHX10:AIB10"/>
    <mergeCell ref="AIC10:AIH10"/>
    <mergeCell ref="AII10:AIM10"/>
    <mergeCell ref="AGC10:AGH10"/>
    <mergeCell ref="AGI10:AGM10"/>
    <mergeCell ref="AGN10:AGR10"/>
    <mergeCell ref="AGS10:AGW10"/>
    <mergeCell ref="AGX10:AHB10"/>
    <mergeCell ref="AHC10:AHH10"/>
    <mergeCell ref="AEX10:AFB10"/>
    <mergeCell ref="AFC10:AFH10"/>
    <mergeCell ref="AFI10:AFM10"/>
    <mergeCell ref="AFN10:AFR10"/>
    <mergeCell ref="AFS10:AFW10"/>
    <mergeCell ref="AFX10:AGB10"/>
    <mergeCell ref="ADR10:ADV10"/>
    <mergeCell ref="ADW10:AEA10"/>
    <mergeCell ref="AEB10:AEG10"/>
    <mergeCell ref="AEH10:AEL10"/>
    <mergeCell ref="AEM10:AER10"/>
    <mergeCell ref="AES10:AEW10"/>
    <mergeCell ref="ACM10:ACQ10"/>
    <mergeCell ref="ACR10:ACV10"/>
    <mergeCell ref="ACW10:ADA10"/>
    <mergeCell ref="ADB10:ADG10"/>
    <mergeCell ref="ADH10:ADL10"/>
    <mergeCell ref="ADM10:ADQ10"/>
    <mergeCell ref="ABH10:ABL10"/>
    <mergeCell ref="ABM10:ABQ10"/>
    <mergeCell ref="ABR10:ABV10"/>
    <mergeCell ref="ABW10:ACA10"/>
    <mergeCell ref="ACB10:ACG10"/>
    <mergeCell ref="ACH10:ACL10"/>
    <mergeCell ref="AAB10:AAG10"/>
    <mergeCell ref="AAH10:AAL10"/>
    <mergeCell ref="AAM10:AAQ10"/>
    <mergeCell ref="AAR10:AAV10"/>
    <mergeCell ref="AAW10:ABA10"/>
    <mergeCell ref="ABB10:ABG10"/>
    <mergeCell ref="YW10:ZA10"/>
    <mergeCell ref="ZB10:ZG10"/>
    <mergeCell ref="ZH10:ZL10"/>
    <mergeCell ref="ZM10:ZQ10"/>
    <mergeCell ref="ZR10:ZV10"/>
    <mergeCell ref="ZW10:AAA10"/>
    <mergeCell ref="XR10:XV10"/>
    <mergeCell ref="XW10:YA10"/>
    <mergeCell ref="YB10:YG10"/>
    <mergeCell ref="YH10:YL10"/>
    <mergeCell ref="YM10:YQ10"/>
    <mergeCell ref="YR10:YV10"/>
    <mergeCell ref="WM10:WQ10"/>
    <mergeCell ref="WR10:WV10"/>
    <mergeCell ref="WW10:XA10"/>
    <mergeCell ref="XB10:XG10"/>
    <mergeCell ref="XH10:XL10"/>
    <mergeCell ref="XM10:XQ10"/>
    <mergeCell ref="VM10:VQ10"/>
    <mergeCell ref="VR10:VV10"/>
    <mergeCell ref="VW10:WA10"/>
    <mergeCell ref="WB10:WG10"/>
    <mergeCell ref="WH10:WL10"/>
    <mergeCell ref="UB10:UG10"/>
    <mergeCell ref="UH10:UL10"/>
    <mergeCell ref="UM10:UQ10"/>
    <mergeCell ref="UR10:UV10"/>
    <mergeCell ref="UW10:VA10"/>
    <mergeCell ref="VB10:VG10"/>
    <mergeCell ref="SV10:SZ10"/>
    <mergeCell ref="TA10:TF10"/>
    <mergeCell ref="TG10:TK10"/>
    <mergeCell ref="TL10:TQ10"/>
    <mergeCell ref="TR10:TV10"/>
    <mergeCell ref="TW10:UA10"/>
    <mergeCell ref="SA10:SF10"/>
    <mergeCell ref="SG10:SK10"/>
    <mergeCell ref="SL10:SP10"/>
    <mergeCell ref="SQ10:SU10"/>
    <mergeCell ref="QL10:QP10"/>
    <mergeCell ref="QQ10:QU10"/>
    <mergeCell ref="QV10:QZ10"/>
    <mergeCell ref="RA10:RF10"/>
    <mergeCell ref="RG10:RK10"/>
    <mergeCell ref="RL10:RP10"/>
    <mergeCell ref="PG10:PK10"/>
    <mergeCell ref="PL10:PP10"/>
    <mergeCell ref="PQ10:PU10"/>
    <mergeCell ref="PV10:PZ10"/>
    <mergeCell ref="QA10:QF10"/>
    <mergeCell ref="QG10:QK10"/>
    <mergeCell ref="VH10:VL10"/>
    <mergeCell ref="CV10:CZ10"/>
    <mergeCell ref="DA10:DF10"/>
    <mergeCell ref="IA10:IF10"/>
    <mergeCell ref="IG10:IK10"/>
    <mergeCell ref="IL10:IP10"/>
    <mergeCell ref="IQ10:IU10"/>
    <mergeCell ref="IV10:IZ10"/>
    <mergeCell ref="JA10:JF10"/>
    <mergeCell ref="GV10:GZ10"/>
    <mergeCell ref="HA10:HF10"/>
    <mergeCell ref="HG10:HK10"/>
    <mergeCell ref="HL10:HP10"/>
    <mergeCell ref="HQ10:HU10"/>
    <mergeCell ref="HV10:HZ10"/>
    <mergeCell ref="FQ10:FU10"/>
    <mergeCell ref="FV10:FZ10"/>
    <mergeCell ref="OA10:OF10"/>
    <mergeCell ref="MV10:MZ10"/>
    <mergeCell ref="NA10:NF10"/>
    <mergeCell ref="NG10:NK10"/>
    <mergeCell ref="NL10:NP10"/>
    <mergeCell ref="NQ10:NU10"/>
    <mergeCell ref="NV10:NZ10"/>
    <mergeCell ref="LQ10:LU10"/>
    <mergeCell ref="LV10:LZ10"/>
    <mergeCell ref="MA10:MF10"/>
    <mergeCell ref="MG10:MK10"/>
    <mergeCell ref="ML10:MP10"/>
    <mergeCell ref="MQ10:MU10"/>
    <mergeCell ref="AV10:AZ10"/>
    <mergeCell ref="BA10:BF10"/>
    <mergeCell ref="BG10:BK10"/>
    <mergeCell ref="BL10:BP10"/>
    <mergeCell ref="BQ10:BU10"/>
    <mergeCell ref="BV10:BZ10"/>
    <mergeCell ref="Q10:U10"/>
    <mergeCell ref="V10:Z10"/>
    <mergeCell ref="AA10:AF10"/>
    <mergeCell ref="AG10:AK10"/>
    <mergeCell ref="AL10:AP10"/>
    <mergeCell ref="AQ10:AU10"/>
    <mergeCell ref="AKC9:AKF9"/>
    <mergeCell ref="BA9:BD9"/>
    <mergeCell ref="CA9:CD9"/>
    <mergeCell ref="DA9:DD9"/>
    <mergeCell ref="KL10:KP10"/>
    <mergeCell ref="KQ10:KU10"/>
    <mergeCell ref="KV10:KZ10"/>
    <mergeCell ref="LA10:LF10"/>
    <mergeCell ref="LG10:LK10"/>
    <mergeCell ref="LL10:LP10"/>
    <mergeCell ref="JG10:JK10"/>
    <mergeCell ref="JL10:JP10"/>
    <mergeCell ref="JQ10:JU10"/>
    <mergeCell ref="JV10:JZ10"/>
    <mergeCell ref="KA10:KF10"/>
    <mergeCell ref="KG10:KK10"/>
    <mergeCell ref="CA10:CF10"/>
    <mergeCell ref="CG10:CK10"/>
    <mergeCell ref="CL10:CP10"/>
    <mergeCell ref="CQ10:CU10"/>
    <mergeCell ref="ALC9:ALF9"/>
    <mergeCell ref="AMC9:AMF9"/>
    <mergeCell ref="AND9:ANG9"/>
    <mergeCell ref="AOE9:AOH9"/>
    <mergeCell ref="JA9:JD9"/>
    <mergeCell ref="KA9:KD9"/>
    <mergeCell ref="LA9:LD9"/>
    <mergeCell ref="EL10:EP10"/>
    <mergeCell ref="EQ10:EU10"/>
    <mergeCell ref="EV10:EZ10"/>
    <mergeCell ref="FA10:FF10"/>
    <mergeCell ref="FG10:FK10"/>
    <mergeCell ref="FL10:FP10"/>
    <mergeCell ref="DG10:DK10"/>
    <mergeCell ref="DL10:DP10"/>
    <mergeCell ref="DQ10:DU10"/>
    <mergeCell ref="DV10:DZ10"/>
    <mergeCell ref="EA10:EF10"/>
    <mergeCell ref="EG10:EK10"/>
    <mergeCell ref="EA9:ED9"/>
    <mergeCell ref="FA9:FD9"/>
    <mergeCell ref="GA10:GF10"/>
    <mergeCell ref="GG10:GK10"/>
    <mergeCell ref="GL10:GP10"/>
    <mergeCell ref="GQ10:GU10"/>
    <mergeCell ref="OG10:OK10"/>
    <mergeCell ref="OL10:OP10"/>
    <mergeCell ref="OQ10:OU10"/>
    <mergeCell ref="OV10:OZ10"/>
    <mergeCell ref="PA10:PF10"/>
    <mergeCell ref="RQ10:RU10"/>
    <mergeCell ref="RV10:RZ10"/>
    <mergeCell ref="A10:F10"/>
    <mergeCell ref="G10:K10"/>
    <mergeCell ref="L10:P10"/>
    <mergeCell ref="AEB9:AEE9"/>
    <mergeCell ref="AFC9:AFF9"/>
    <mergeCell ref="AGC9:AGF9"/>
    <mergeCell ref="AHC9:AHF9"/>
    <mergeCell ref="AIC9:AIF9"/>
    <mergeCell ref="AJC9:AJF9"/>
    <mergeCell ref="YB9:YE9"/>
    <mergeCell ref="ZB9:ZE9"/>
    <mergeCell ref="AAB9:AAE9"/>
    <mergeCell ref="ABB9:ABE9"/>
    <mergeCell ref="ACB9:ACE9"/>
    <mergeCell ref="ADB9:ADE9"/>
    <mergeCell ref="SA9:SD9"/>
    <mergeCell ref="TA9:TD9"/>
    <mergeCell ref="UB9:UE9"/>
    <mergeCell ref="VB9:VE9"/>
    <mergeCell ref="WB9:WE9"/>
    <mergeCell ref="XB9:XE9"/>
    <mergeCell ref="MA9:MD9"/>
    <mergeCell ref="NA9:ND9"/>
    <mergeCell ref="OA9:OD9"/>
    <mergeCell ref="PA9:PD9"/>
    <mergeCell ref="QA9:QD9"/>
    <mergeCell ref="RA9:RD9"/>
    <mergeCell ref="GA9:GD9"/>
    <mergeCell ref="HA9:HD9"/>
    <mergeCell ref="IA9:ID9"/>
    <mergeCell ref="A9:D9"/>
    <mergeCell ref="AA9:AD9"/>
    <mergeCell ref="A2:Z2"/>
    <mergeCell ref="AA2:AZ2"/>
    <mergeCell ref="BA2:BZ2"/>
    <mergeCell ref="CA2:CZ2"/>
    <mergeCell ref="AFC2:AGB2"/>
    <mergeCell ref="AGC2:AHB2"/>
    <mergeCell ref="AHC2:AIB2"/>
    <mergeCell ref="AIC2:AJB2"/>
    <mergeCell ref="AKC2:ALB2"/>
    <mergeCell ref="ZB2:AAA2"/>
    <mergeCell ref="AAB2:ABA2"/>
    <mergeCell ref="ABB2:ACA2"/>
    <mergeCell ref="ACB2:ADA2"/>
    <mergeCell ref="ADB2:AEA2"/>
    <mergeCell ref="AEB2:AFB2"/>
    <mergeCell ref="TA2:UA2"/>
    <mergeCell ref="UB2:VA2"/>
    <mergeCell ref="VB2:WA2"/>
    <mergeCell ref="WB2:XA2"/>
    <mergeCell ref="XB2:YA2"/>
    <mergeCell ref="YB2:ZA2"/>
    <mergeCell ref="AND2:AOD2"/>
    <mergeCell ref="AOE2:APE2"/>
    <mergeCell ref="ALC2:AMB2"/>
    <mergeCell ref="AMC2:ANC2"/>
    <mergeCell ref="SA2:SZ2"/>
    <mergeCell ref="AJC2:AKB2"/>
    <mergeCell ref="JA2:JZ2"/>
    <mergeCell ref="KA2:KZ2"/>
    <mergeCell ref="LA2:LZ2"/>
    <mergeCell ref="MA2:MZ2"/>
    <mergeCell ref="OA2:OZ2"/>
    <mergeCell ref="QA2:QZ2"/>
    <mergeCell ref="RA2:RZ2"/>
    <mergeCell ref="NA2:NZ2"/>
    <mergeCell ref="PA2:PZ2"/>
    <mergeCell ref="DA2:DZ2"/>
    <mergeCell ref="EA2:EZ2"/>
    <mergeCell ref="FA2:FZ2"/>
    <mergeCell ref="GA2:GZ2"/>
    <mergeCell ref="HA2:HZ2"/>
    <mergeCell ref="IA2:IZ2"/>
  </mergeCells>
  <phoneticPr fontId="28"/>
  <printOptions horizontalCentered="1"/>
  <pageMargins left="0.23622047244094488" right="0.23622047244094488" top="0.74803149606299213" bottom="0.74803149606299213" header="0.31496062992125984" footer="0.31496062992125984"/>
  <pageSetup paperSize="9" scale="36" orientation="landscape" r:id="rId1"/>
  <headerFooter alignWithMargins="0"/>
  <colBreaks count="41" manualBreakCount="41">
    <brk id="26" max="33" man="1"/>
    <brk id="52" max="33" man="1"/>
    <brk id="78" max="33" man="1"/>
    <brk id="104" max="33" man="1"/>
    <brk id="130" max="33" man="1"/>
    <brk id="156" max="33" man="1"/>
    <brk id="182" max="33" man="1"/>
    <brk id="208" max="33" man="1"/>
    <brk id="234" max="33" man="1"/>
    <brk id="260" max="33" man="1"/>
    <brk id="286" max="33" man="1"/>
    <brk id="312" max="33" man="1"/>
    <brk id="338" max="33" man="1"/>
    <brk id="364" max="33" man="1"/>
    <brk id="390" max="33" man="1"/>
    <brk id="416" max="33" man="1"/>
    <brk id="442" max="33" man="1"/>
    <brk id="468" max="33" man="1"/>
    <brk id="494" max="33" man="1"/>
    <brk id="520" max="33" man="1"/>
    <brk id="547" max="33" man="1"/>
    <brk id="573" max="33" man="1"/>
    <brk id="599" max="33" man="1"/>
    <brk id="625" max="33" man="1"/>
    <brk id="651" max="33" man="1"/>
    <brk id="677" max="33" man="1"/>
    <brk id="703" max="33" man="1"/>
    <brk id="729" max="33" man="1"/>
    <brk id="755" max="33" man="1"/>
    <brk id="781" max="33" man="1"/>
    <brk id="807" max="33" man="1"/>
    <brk id="834" max="33" man="1"/>
    <brk id="860" max="33" man="1"/>
    <brk id="886" max="33" man="1"/>
    <brk id="912" max="33" man="1"/>
    <brk id="938" max="33" man="1"/>
    <brk id="964" max="33" man="1"/>
    <brk id="990" max="33" man="1"/>
    <brk id="1016" max="33" man="1"/>
    <brk id="1043" max="33" man="1"/>
    <brk id="107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8D66-CCA0-4E6C-A50B-5BB34BB10690}">
  <sheetPr codeName="Sheet1"/>
  <dimension ref="A1:ABS50"/>
  <sheetViews>
    <sheetView view="pageBreakPreview" zoomScale="40" zoomScaleNormal="70" zoomScaleSheetLayoutView="40" workbookViewId="0">
      <selection activeCell="V23" sqref="V23:Y23"/>
    </sheetView>
  </sheetViews>
  <sheetFormatPr defaultColWidth="8" defaultRowHeight="21" x14ac:dyDescent="0.4"/>
  <cols>
    <col min="1" max="1" width="6.625" style="2" bestFit="1" customWidth="1"/>
    <col min="2" max="2" width="3.625" style="2" customWidth="1"/>
    <col min="3" max="5" width="14.625" style="2" customWidth="1"/>
    <col min="6" max="6" width="7" style="2" bestFit="1" customWidth="1"/>
    <col min="7" max="7" width="11.625" style="2" customWidth="1"/>
    <col min="8" max="8" width="2.125" style="2" customWidth="1"/>
    <col min="9" max="9" width="5.125" style="2" customWidth="1"/>
    <col min="10" max="10" width="11.625" style="2" customWidth="1"/>
    <col min="11" max="11" width="29.625" style="2" customWidth="1"/>
    <col min="12" max="12" width="11.625" style="2" customWidth="1"/>
    <col min="13" max="13" width="2.125" style="2" customWidth="1"/>
    <col min="14" max="14" width="5.125" style="2" customWidth="1"/>
    <col min="15" max="15" width="11.625" style="2" customWidth="1"/>
    <col min="16" max="16" width="29.625" style="2" customWidth="1"/>
    <col min="17" max="17" width="11.625" style="2" customWidth="1"/>
    <col min="18" max="18" width="2.125" style="2" customWidth="1"/>
    <col min="19" max="19" width="5.125" style="2" customWidth="1"/>
    <col min="20" max="20" width="11.625" style="2" customWidth="1"/>
    <col min="21" max="21" width="29.625" style="2" customWidth="1"/>
    <col min="22" max="22" width="11.625" style="2" customWidth="1"/>
    <col min="23" max="23" width="2.125" style="2" customWidth="1"/>
    <col min="24" max="24" width="5.125" style="2" customWidth="1"/>
    <col min="25" max="25" width="11.625" style="2" customWidth="1"/>
    <col min="26" max="26" width="29.625" style="2" customWidth="1"/>
    <col min="27" max="27" width="6.625" style="2" bestFit="1" customWidth="1"/>
    <col min="28" max="28" width="3.625" style="2" customWidth="1"/>
    <col min="29" max="31" width="14.625" style="2" customWidth="1"/>
    <col min="32" max="32" width="7" style="2" bestFit="1" customWidth="1"/>
    <col min="33" max="33" width="11.625" style="2" customWidth="1"/>
    <col min="34" max="34" width="2.125" style="2" customWidth="1"/>
    <col min="35" max="35" width="5.125" style="2" customWidth="1"/>
    <col min="36" max="36" width="11.625" style="2" customWidth="1"/>
    <col min="37" max="37" width="29.625" style="2" customWidth="1"/>
    <col min="38" max="38" width="11.625" style="2" customWidth="1"/>
    <col min="39" max="39" width="2.125" style="2" customWidth="1"/>
    <col min="40" max="40" width="5.125" style="2" customWidth="1"/>
    <col min="41" max="41" width="11.625" style="2" customWidth="1"/>
    <col min="42" max="42" width="29.625" style="2" customWidth="1"/>
    <col min="43" max="43" width="11.625" style="2" customWidth="1"/>
    <col min="44" max="44" width="2.125" style="2" customWidth="1"/>
    <col min="45" max="45" width="5.125" style="2" customWidth="1"/>
    <col min="46" max="46" width="11.625" style="2" customWidth="1"/>
    <col min="47" max="47" width="29.625" style="2" customWidth="1"/>
    <col min="48" max="48" width="11.625" style="2" customWidth="1"/>
    <col min="49" max="49" width="2.125" style="2" customWidth="1"/>
    <col min="50" max="50" width="5.125" style="2" customWidth="1"/>
    <col min="51" max="51" width="11.625" style="2" customWidth="1"/>
    <col min="52" max="52" width="29.625" style="2" customWidth="1"/>
    <col min="53" max="53" width="6.625" style="2" bestFit="1" customWidth="1"/>
    <col min="54" max="54" width="3.625" style="2" customWidth="1"/>
    <col min="55" max="57" width="14.625" style="2" customWidth="1"/>
    <col min="58" max="58" width="7" style="2" bestFit="1" customWidth="1"/>
    <col min="59" max="59" width="11.625" style="2" customWidth="1"/>
    <col min="60" max="60" width="2.125" style="2" customWidth="1"/>
    <col min="61" max="61" width="5.125" style="2" customWidth="1"/>
    <col min="62" max="62" width="11.625" style="2" customWidth="1"/>
    <col min="63" max="63" width="29.625" style="2" customWidth="1"/>
    <col min="64" max="64" width="11.625" style="2" customWidth="1"/>
    <col min="65" max="65" width="2.125" style="2" customWidth="1"/>
    <col min="66" max="66" width="5.125" style="2" customWidth="1"/>
    <col min="67" max="67" width="11.625" style="2" customWidth="1"/>
    <col min="68" max="68" width="29.625" style="2" customWidth="1"/>
    <col min="69" max="69" width="11.625" style="2" customWidth="1"/>
    <col min="70" max="70" width="2.125" style="2" customWidth="1"/>
    <col min="71" max="71" width="5.125" style="2" customWidth="1"/>
    <col min="72" max="72" width="11.625" style="2" customWidth="1"/>
    <col min="73" max="73" width="29.625" style="2" customWidth="1"/>
    <col min="74" max="74" width="11.625" style="2" customWidth="1"/>
    <col min="75" max="75" width="2.125" style="2" customWidth="1"/>
    <col min="76" max="76" width="5.125" style="2" customWidth="1"/>
    <col min="77" max="77" width="11.625" style="2" customWidth="1"/>
    <col min="78" max="78" width="29.625" style="2" customWidth="1"/>
    <col min="79" max="79" width="6.625" style="2" bestFit="1" customWidth="1"/>
    <col min="80" max="80" width="3.625" style="2" customWidth="1"/>
    <col min="81" max="83" width="14.625" style="2" customWidth="1"/>
    <col min="84" max="84" width="7" style="2" bestFit="1" customWidth="1"/>
    <col min="85" max="85" width="11.625" style="2" customWidth="1"/>
    <col min="86" max="86" width="2.125" style="2" customWidth="1"/>
    <col min="87" max="87" width="5.125" style="2" customWidth="1"/>
    <col min="88" max="88" width="11.625" style="2" customWidth="1"/>
    <col min="89" max="89" width="29.625" style="2" customWidth="1"/>
    <col min="90" max="90" width="11.625" style="2" customWidth="1"/>
    <col min="91" max="91" width="2.125" style="2" customWidth="1"/>
    <col min="92" max="92" width="5.125" style="2" customWidth="1"/>
    <col min="93" max="93" width="11.625" style="2" customWidth="1"/>
    <col min="94" max="94" width="29.625" style="2" customWidth="1"/>
    <col min="95" max="95" width="11.625" style="2" customWidth="1"/>
    <col min="96" max="96" width="2.125" style="2" customWidth="1"/>
    <col min="97" max="97" width="5.125" style="2" customWidth="1"/>
    <col min="98" max="98" width="11.625" style="2" customWidth="1"/>
    <col min="99" max="99" width="29.625" style="2" customWidth="1"/>
    <col min="100" max="100" width="11.625" style="2" customWidth="1"/>
    <col min="101" max="101" width="2.125" style="2" customWidth="1"/>
    <col min="102" max="102" width="5.125" style="2" customWidth="1"/>
    <col min="103" max="104" width="11.625" style="2" customWidth="1"/>
    <col min="105" max="105" width="2.125" style="2" customWidth="1"/>
    <col min="106" max="106" width="5.125" style="2" customWidth="1"/>
    <col min="107" max="107" width="11.625" style="2" customWidth="1"/>
    <col min="108" max="108" width="6.625" style="2" bestFit="1" customWidth="1"/>
    <col min="109" max="109" width="3.625" style="2" customWidth="1"/>
    <col min="110" max="112" width="14.625" style="2" customWidth="1"/>
    <col min="113" max="113" width="7" style="2" bestFit="1" customWidth="1"/>
    <col min="114" max="114" width="11.625" style="2" customWidth="1"/>
    <col min="115" max="115" width="2.125" style="2" customWidth="1"/>
    <col min="116" max="116" width="5.125" style="2" customWidth="1"/>
    <col min="117" max="117" width="11.625" style="2" customWidth="1"/>
    <col min="118" max="118" width="29.625" style="2" customWidth="1"/>
    <col min="119" max="119" width="11.625" style="2" customWidth="1"/>
    <col min="120" max="120" width="2.125" style="2" customWidth="1"/>
    <col min="121" max="121" width="5.125" style="2" customWidth="1"/>
    <col min="122" max="122" width="11.625" style="2" customWidth="1"/>
    <col min="123" max="123" width="29.625" style="2" customWidth="1"/>
    <col min="124" max="124" width="11.625" style="2" customWidth="1"/>
    <col min="125" max="125" width="2.125" style="2" customWidth="1"/>
    <col min="126" max="126" width="5.125" style="2" customWidth="1"/>
    <col min="127" max="127" width="11.625" style="2" customWidth="1"/>
    <col min="128" max="128" width="29.625" style="2" customWidth="1"/>
    <col min="129" max="129" width="11.625" style="2" customWidth="1"/>
    <col min="130" max="130" width="2.125" style="2" customWidth="1"/>
    <col min="131" max="131" width="5.125" style="2" customWidth="1"/>
    <col min="132" max="132" width="11.625" style="2" customWidth="1"/>
    <col min="133" max="133" width="29.625" style="2" customWidth="1"/>
    <col min="134" max="134" width="6.625" style="2" bestFit="1" customWidth="1"/>
    <col min="135" max="135" width="3.625" style="2" customWidth="1"/>
    <col min="136" max="138" width="14.625" style="2" customWidth="1"/>
    <col min="139" max="139" width="7" style="2" bestFit="1" customWidth="1"/>
    <col min="140" max="140" width="11.625" style="2" customWidth="1"/>
    <col min="141" max="141" width="2.125" style="2" customWidth="1"/>
    <col min="142" max="142" width="5.125" style="2" customWidth="1"/>
    <col min="143" max="143" width="11.625" style="2" customWidth="1"/>
    <col min="144" max="144" width="29.625" style="2" customWidth="1"/>
    <col min="145" max="145" width="11.625" style="2" customWidth="1"/>
    <col min="146" max="146" width="2.125" style="2" customWidth="1"/>
    <col min="147" max="147" width="5.125" style="2" customWidth="1"/>
    <col min="148" max="148" width="11.625" style="2" customWidth="1"/>
    <col min="149" max="149" width="29.625" style="2" customWidth="1"/>
    <col min="150" max="150" width="11.625" style="2" customWidth="1"/>
    <col min="151" max="151" width="2.125" style="2" customWidth="1"/>
    <col min="152" max="152" width="5.125" style="2" customWidth="1"/>
    <col min="153" max="153" width="11.625" style="2" customWidth="1"/>
    <col min="154" max="154" width="29.625" style="2" customWidth="1"/>
    <col min="155" max="155" width="11.625" style="2" customWidth="1"/>
    <col min="156" max="156" width="2.125" style="2" customWidth="1"/>
    <col min="157" max="157" width="5.125" style="2" customWidth="1"/>
    <col min="158" max="158" width="11.625" style="2" customWidth="1"/>
    <col min="159" max="159" width="29.625" style="2" customWidth="1"/>
    <col min="160" max="160" width="6.625" style="2" bestFit="1" customWidth="1"/>
    <col min="161" max="161" width="3.625" style="2" customWidth="1"/>
    <col min="162" max="164" width="14.625" style="2" customWidth="1"/>
    <col min="165" max="165" width="7" style="2" bestFit="1" customWidth="1"/>
    <col min="166" max="166" width="11.625" style="2" customWidth="1"/>
    <col min="167" max="167" width="2.125" style="2" customWidth="1"/>
    <col min="168" max="168" width="5.125" style="2" customWidth="1"/>
    <col min="169" max="169" width="11.625" style="2" customWidth="1"/>
    <col min="170" max="170" width="29.625" style="2" customWidth="1"/>
    <col min="171" max="171" width="11.625" style="2" customWidth="1"/>
    <col min="172" max="172" width="2.125" style="2" customWidth="1"/>
    <col min="173" max="173" width="5.125" style="2" customWidth="1"/>
    <col min="174" max="174" width="11.625" style="2" customWidth="1"/>
    <col min="175" max="175" width="29.625" style="2" customWidth="1"/>
    <col min="176" max="176" width="11.625" style="2" customWidth="1"/>
    <col min="177" max="177" width="2.125" style="2" customWidth="1"/>
    <col min="178" max="178" width="5.125" style="2" customWidth="1"/>
    <col min="179" max="179" width="11.625" style="2" customWidth="1"/>
    <col min="180" max="180" width="29.625" style="2" customWidth="1"/>
    <col min="181" max="181" width="11.625" style="2" customWidth="1"/>
    <col min="182" max="182" width="2.125" style="2" customWidth="1"/>
    <col min="183" max="183" width="5.125" style="2" customWidth="1"/>
    <col min="184" max="184" width="11.625" style="2" customWidth="1"/>
    <col min="185" max="185" width="29.625" style="2" customWidth="1"/>
    <col min="186" max="186" width="6.625" style="2" bestFit="1" customWidth="1"/>
    <col min="187" max="187" width="3.625" style="2" customWidth="1"/>
    <col min="188" max="190" width="14.625" style="2" customWidth="1"/>
    <col min="191" max="191" width="7" style="2" bestFit="1" customWidth="1"/>
    <col min="192" max="192" width="11.625" style="2" customWidth="1"/>
    <col min="193" max="193" width="2.125" style="2" customWidth="1"/>
    <col min="194" max="194" width="5.125" style="2" customWidth="1"/>
    <col min="195" max="195" width="11.625" style="2" customWidth="1"/>
    <col min="196" max="196" width="29.625" style="2" customWidth="1"/>
    <col min="197" max="197" width="11.625" style="2" customWidth="1"/>
    <col min="198" max="198" width="2.125" style="2" customWidth="1"/>
    <col min="199" max="199" width="5.125" style="2" customWidth="1"/>
    <col min="200" max="200" width="11.625" style="2" customWidth="1"/>
    <col min="201" max="201" width="29.625" style="2" customWidth="1"/>
    <col min="202" max="202" width="11.625" style="2" customWidth="1"/>
    <col min="203" max="203" width="2.125" style="2" customWidth="1"/>
    <col min="204" max="204" width="5.125" style="2" customWidth="1"/>
    <col min="205" max="205" width="11.625" style="2" customWidth="1"/>
    <col min="206" max="206" width="29.625" style="2" customWidth="1"/>
    <col min="207" max="207" width="11.625" style="2" customWidth="1"/>
    <col min="208" max="208" width="2.125" style="2" customWidth="1"/>
    <col min="209" max="209" width="5.125" style="2" customWidth="1"/>
    <col min="210" max="210" width="11.625" style="2" customWidth="1"/>
    <col min="211" max="211" width="29.625" style="2" customWidth="1"/>
    <col min="212" max="212" width="6.625" style="2" customWidth="1"/>
    <col min="213" max="213" width="3.625" style="2" customWidth="1"/>
    <col min="214" max="216" width="14.625" style="2" customWidth="1"/>
    <col min="217" max="217" width="7" style="2" customWidth="1"/>
    <col min="218" max="218" width="11.625" style="2" customWidth="1"/>
    <col min="219" max="219" width="2.125" style="2" customWidth="1"/>
    <col min="220" max="220" width="5.125" style="2" customWidth="1"/>
    <col min="221" max="221" width="11.625" style="2" customWidth="1"/>
    <col min="222" max="222" width="29.625" style="2" customWidth="1"/>
    <col min="223" max="223" width="11.625" style="2" customWidth="1"/>
    <col min="224" max="224" width="2.125" style="2" customWidth="1"/>
    <col min="225" max="225" width="5.125" style="2" customWidth="1"/>
    <col min="226" max="226" width="11.625" style="2" customWidth="1"/>
    <col min="227" max="227" width="29.625" style="2" customWidth="1"/>
    <col min="228" max="228" width="11.625" style="2" customWidth="1"/>
    <col min="229" max="229" width="2.125" style="2" customWidth="1"/>
    <col min="230" max="230" width="5.125" style="2" customWidth="1"/>
    <col min="231" max="231" width="11.625" style="2" customWidth="1"/>
    <col min="232" max="232" width="29.625" style="2" customWidth="1"/>
    <col min="233" max="233" width="11.625" style="2" customWidth="1"/>
    <col min="234" max="234" width="2.125" style="2" customWidth="1"/>
    <col min="235" max="235" width="5.125" style="2" customWidth="1"/>
    <col min="236" max="236" width="11.625" style="2" customWidth="1"/>
    <col min="237" max="237" width="29.625" style="2" customWidth="1"/>
    <col min="238" max="238" width="6.625" style="2" customWidth="1"/>
    <col min="239" max="239" width="3.625" style="2" customWidth="1"/>
    <col min="240" max="242" width="14.625" style="2" customWidth="1"/>
    <col min="243" max="243" width="7" style="2" customWidth="1"/>
    <col min="244" max="244" width="11.625" style="2" customWidth="1"/>
    <col min="245" max="245" width="2.125" style="2" customWidth="1"/>
    <col min="246" max="246" width="5.125" style="2" customWidth="1"/>
    <col min="247" max="247" width="11.625" style="2" customWidth="1"/>
    <col min="248" max="248" width="29.625" style="2" customWidth="1"/>
    <col min="249" max="249" width="11.625" style="2" customWidth="1"/>
    <col min="250" max="250" width="2.125" style="2" customWidth="1"/>
    <col min="251" max="251" width="5.125" style="2" customWidth="1"/>
    <col min="252" max="252" width="11.625" style="2" customWidth="1"/>
    <col min="253" max="253" width="29.625" style="2" customWidth="1"/>
    <col min="254" max="254" width="11.625" style="2" customWidth="1"/>
    <col min="255" max="255" width="2.125" style="2" customWidth="1"/>
    <col min="256" max="256" width="5.125" style="2" customWidth="1"/>
    <col min="257" max="257" width="11.625" style="2" customWidth="1"/>
    <col min="258" max="258" width="29.625" style="2" customWidth="1"/>
    <col min="259" max="259" width="11.625" style="2" customWidth="1"/>
    <col min="260" max="260" width="2.125" style="2" customWidth="1"/>
    <col min="261" max="261" width="5.125" style="2" customWidth="1"/>
    <col min="262" max="262" width="11.625" style="2" customWidth="1"/>
    <col min="263" max="263" width="29.625" style="2" customWidth="1"/>
    <col min="264" max="264" width="6.625" style="2" bestFit="1" customWidth="1"/>
    <col min="265" max="265" width="3.625" style="2" customWidth="1"/>
    <col min="266" max="268" width="14.625" style="2" customWidth="1"/>
    <col min="269" max="269" width="7" style="2" bestFit="1" customWidth="1"/>
    <col min="270" max="270" width="11.625" style="2" customWidth="1"/>
    <col min="271" max="271" width="2.125" style="2" customWidth="1"/>
    <col min="272" max="272" width="5.125" style="2" customWidth="1"/>
    <col min="273" max="273" width="11.625" style="2" customWidth="1"/>
    <col min="274" max="274" width="29.625" style="2" customWidth="1"/>
    <col min="275" max="275" width="11.625" style="2" customWidth="1"/>
    <col min="276" max="276" width="2.125" style="2" customWidth="1"/>
    <col min="277" max="277" width="5.125" style="2" customWidth="1"/>
    <col min="278" max="278" width="11.625" style="2" customWidth="1"/>
    <col min="279" max="279" width="29.625" style="2" customWidth="1"/>
    <col min="280" max="280" width="11.625" style="2" customWidth="1"/>
    <col min="281" max="281" width="2.125" style="2" customWidth="1"/>
    <col min="282" max="282" width="5.125" style="2" customWidth="1"/>
    <col min="283" max="283" width="11.625" style="2" customWidth="1"/>
    <col min="284" max="284" width="29.625" style="2" customWidth="1"/>
    <col min="285" max="285" width="11.625" style="2" customWidth="1"/>
    <col min="286" max="286" width="2.125" style="2" customWidth="1"/>
    <col min="287" max="287" width="5.125" style="2" customWidth="1"/>
    <col min="288" max="288" width="11.625" style="2" customWidth="1"/>
    <col min="289" max="289" width="29.625" style="2" customWidth="1"/>
    <col min="290" max="290" width="6.625" style="2" bestFit="1" customWidth="1"/>
    <col min="291" max="291" width="3.625" style="2" customWidth="1"/>
    <col min="292" max="294" width="14.625" style="2" customWidth="1"/>
    <col min="295" max="295" width="7" style="2" bestFit="1" customWidth="1"/>
    <col min="296" max="296" width="11.625" style="2" customWidth="1"/>
    <col min="297" max="297" width="2.125" style="2" customWidth="1"/>
    <col min="298" max="298" width="5.125" style="2" customWidth="1"/>
    <col min="299" max="299" width="11.625" style="2" customWidth="1"/>
    <col min="300" max="300" width="29.625" style="2" customWidth="1"/>
    <col min="301" max="301" width="11.625" style="2" customWidth="1"/>
    <col min="302" max="302" width="2.125" style="2" customWidth="1"/>
    <col min="303" max="303" width="5.125" style="2" customWidth="1"/>
    <col min="304" max="304" width="11.625" style="2" customWidth="1"/>
    <col min="305" max="305" width="29.625" style="2" customWidth="1"/>
    <col min="306" max="306" width="11.625" style="2" customWidth="1"/>
    <col min="307" max="307" width="2.125" style="2" customWidth="1"/>
    <col min="308" max="308" width="5.125" style="2" customWidth="1"/>
    <col min="309" max="309" width="11.625" style="2" customWidth="1"/>
    <col min="310" max="310" width="29.625" style="2" customWidth="1"/>
    <col min="311" max="311" width="11.625" style="2" customWidth="1"/>
    <col min="312" max="312" width="2.125" style="2" customWidth="1"/>
    <col min="313" max="313" width="5.125" style="2" customWidth="1"/>
    <col min="314" max="314" width="11.625" style="2" customWidth="1"/>
    <col min="315" max="315" width="29.125" style="2" customWidth="1"/>
    <col min="316" max="316" width="6.625" style="2" bestFit="1" customWidth="1"/>
    <col min="317" max="317" width="3.625" style="2" customWidth="1"/>
    <col min="318" max="320" width="14.625" style="2" customWidth="1"/>
    <col min="321" max="321" width="7" style="2" bestFit="1" customWidth="1"/>
    <col min="322" max="322" width="11.625" style="2" customWidth="1"/>
    <col min="323" max="323" width="2.125" style="2" customWidth="1"/>
    <col min="324" max="324" width="5.125" style="2" customWidth="1"/>
    <col min="325" max="325" width="11.625" style="2" customWidth="1"/>
    <col min="326" max="326" width="29.625" style="2" customWidth="1"/>
    <col min="327" max="327" width="11.625" style="2" customWidth="1"/>
    <col min="328" max="328" width="2.125" style="2" customWidth="1"/>
    <col min="329" max="329" width="5.125" style="2" customWidth="1"/>
    <col min="330" max="330" width="11.625" style="2" customWidth="1"/>
    <col min="331" max="331" width="29.625" style="2" customWidth="1"/>
    <col min="332" max="332" width="11.625" style="2" customWidth="1"/>
    <col min="333" max="333" width="2.125" style="2" customWidth="1"/>
    <col min="334" max="334" width="5.125" style="2" customWidth="1"/>
    <col min="335" max="335" width="11.625" style="2" customWidth="1"/>
    <col min="336" max="336" width="29.625" style="2" customWidth="1"/>
    <col min="337" max="337" width="11.625" style="2" customWidth="1"/>
    <col min="338" max="338" width="2.125" style="2" customWidth="1"/>
    <col min="339" max="339" width="5.125" style="2" customWidth="1"/>
    <col min="340" max="340" width="11.625" style="2" customWidth="1"/>
    <col min="341" max="341" width="29.125" style="2" customWidth="1"/>
    <col min="342" max="342" width="6.75" style="2" customWidth="1"/>
    <col min="343" max="343" width="3.625" style="2" customWidth="1"/>
    <col min="344" max="346" width="14.625" style="2" customWidth="1"/>
    <col min="347" max="347" width="7" style="2" bestFit="1" customWidth="1"/>
    <col min="348" max="348" width="11.625" style="2" customWidth="1"/>
    <col min="349" max="349" width="2.125" style="2" customWidth="1"/>
    <col min="350" max="350" width="5.125" style="2" customWidth="1"/>
    <col min="351" max="351" width="11.625" style="2" customWidth="1"/>
    <col min="352" max="352" width="29.625" style="2" customWidth="1"/>
    <col min="353" max="353" width="11.625" style="2" customWidth="1"/>
    <col min="354" max="354" width="2.125" style="2" customWidth="1"/>
    <col min="355" max="355" width="5.125" style="2" customWidth="1"/>
    <col min="356" max="356" width="11.625" style="2" customWidth="1"/>
    <col min="357" max="357" width="29.625" style="2" customWidth="1"/>
    <col min="358" max="358" width="11.625" style="2" customWidth="1"/>
    <col min="359" max="359" width="2.125" style="2" customWidth="1"/>
    <col min="360" max="360" width="5.125" style="2" customWidth="1"/>
    <col min="361" max="361" width="11.625" style="2" customWidth="1"/>
    <col min="362" max="362" width="29.625" style="2" customWidth="1"/>
    <col min="363" max="363" width="11.625" style="2" customWidth="1"/>
    <col min="364" max="364" width="2.125" style="2" customWidth="1"/>
    <col min="365" max="365" width="5.125" style="2" customWidth="1"/>
    <col min="366" max="366" width="11.625" style="2" customWidth="1"/>
    <col min="367" max="368" width="29.5" style="2" hidden="1" customWidth="1"/>
    <col min="369" max="369" width="29.625" style="2" customWidth="1"/>
    <col min="370" max="370" width="6.625" style="2" bestFit="1" customWidth="1"/>
    <col min="371" max="371" width="3.625" style="2" customWidth="1"/>
    <col min="372" max="374" width="14.625" style="2" customWidth="1"/>
    <col min="375" max="375" width="7" style="2" bestFit="1" customWidth="1"/>
    <col min="376" max="376" width="11.625" style="2" customWidth="1"/>
    <col min="377" max="377" width="2.125" style="2" customWidth="1"/>
    <col min="378" max="378" width="5.125" style="2" customWidth="1"/>
    <col min="379" max="379" width="11.625" style="2" customWidth="1"/>
    <col min="380" max="380" width="29.625" style="2" customWidth="1"/>
    <col min="381" max="381" width="11.625" style="2" customWidth="1"/>
    <col min="382" max="382" width="2.125" style="2" customWidth="1"/>
    <col min="383" max="383" width="5.125" style="2" customWidth="1"/>
    <col min="384" max="384" width="11.625" style="2" customWidth="1"/>
    <col min="385" max="385" width="29.625" style="2" customWidth="1"/>
    <col min="386" max="386" width="11.625" style="2" customWidth="1"/>
    <col min="387" max="387" width="2.125" style="2" customWidth="1"/>
    <col min="388" max="388" width="5.125" style="2" customWidth="1"/>
    <col min="389" max="389" width="11.625" style="2" customWidth="1"/>
    <col min="390" max="390" width="29.625" style="2" customWidth="1"/>
    <col min="391" max="391" width="11.625" style="2" customWidth="1"/>
    <col min="392" max="392" width="2.125" style="2" customWidth="1"/>
    <col min="393" max="393" width="5.125" style="2" customWidth="1"/>
    <col min="394" max="394" width="11.625" style="2" customWidth="1"/>
    <col min="395" max="396" width="29.5" style="2" hidden="1" customWidth="1"/>
    <col min="397" max="397" width="29.625" style="2" customWidth="1"/>
    <col min="398" max="398" width="6.625" style="2" bestFit="1" customWidth="1"/>
    <col min="399" max="399" width="3.625" style="2" customWidth="1"/>
    <col min="400" max="402" width="14.625" style="2" customWidth="1"/>
    <col min="403" max="403" width="7" style="2" bestFit="1" customWidth="1"/>
    <col min="404" max="404" width="11.625" style="2" customWidth="1"/>
    <col min="405" max="405" width="2.125" style="2" customWidth="1"/>
    <col min="406" max="406" width="5.125" style="2" customWidth="1"/>
    <col min="407" max="407" width="11.625" style="2" customWidth="1"/>
    <col min="408" max="408" width="29.625" style="2" customWidth="1"/>
    <col min="409" max="409" width="11.625" style="2" customWidth="1"/>
    <col min="410" max="410" width="2.125" style="2" customWidth="1"/>
    <col min="411" max="411" width="5.125" style="2" customWidth="1"/>
    <col min="412" max="412" width="11.625" style="2" customWidth="1"/>
    <col min="413" max="413" width="29.625" style="2" customWidth="1"/>
    <col min="414" max="414" width="11.625" style="2" customWidth="1"/>
    <col min="415" max="415" width="2.125" style="2" customWidth="1"/>
    <col min="416" max="416" width="5.125" style="2" customWidth="1"/>
    <col min="417" max="417" width="11.625" style="2" customWidth="1"/>
    <col min="418" max="418" width="29.625" style="2" customWidth="1"/>
    <col min="419" max="419" width="11.625" style="2" customWidth="1"/>
    <col min="420" max="420" width="2.125" style="2" customWidth="1"/>
    <col min="421" max="421" width="5.125" style="2" customWidth="1"/>
    <col min="422" max="422" width="11.625" style="2" customWidth="1"/>
    <col min="423" max="423" width="29.5" style="2" customWidth="1"/>
    <col min="424" max="424" width="6.625" style="2" bestFit="1" customWidth="1"/>
    <col min="425" max="425" width="3.625" style="2" customWidth="1"/>
    <col min="426" max="428" width="14.625" style="2" customWidth="1"/>
    <col min="429" max="429" width="7" style="2" bestFit="1" customWidth="1"/>
    <col min="430" max="430" width="11.625" style="2" customWidth="1"/>
    <col min="431" max="431" width="2.125" style="2" customWidth="1"/>
    <col min="432" max="432" width="5.125" style="2" customWidth="1"/>
    <col min="433" max="433" width="11.625" style="2" customWidth="1"/>
    <col min="434" max="434" width="29.625" style="2" customWidth="1"/>
    <col min="435" max="435" width="11.625" style="2" customWidth="1"/>
    <col min="436" max="436" width="2.125" style="2" customWidth="1"/>
    <col min="437" max="437" width="5.125" style="2" customWidth="1"/>
    <col min="438" max="438" width="11.625" style="2" customWidth="1"/>
    <col min="439" max="439" width="29.625" style="2" customWidth="1"/>
    <col min="440" max="440" width="11.625" style="2" customWidth="1"/>
    <col min="441" max="441" width="2.125" style="2" customWidth="1"/>
    <col min="442" max="442" width="5.125" style="2" customWidth="1"/>
    <col min="443" max="443" width="11.625" style="2" customWidth="1"/>
    <col min="444" max="444" width="29.625" style="2" customWidth="1"/>
    <col min="445" max="445" width="11.625" style="2" customWidth="1"/>
    <col min="446" max="446" width="2.125" style="2" customWidth="1"/>
    <col min="447" max="447" width="5.125" style="2" customWidth="1"/>
    <col min="448" max="448" width="11.625" style="2" customWidth="1"/>
    <col min="449" max="449" width="29.5" style="2" customWidth="1"/>
    <col min="450" max="450" width="6.625" style="2" bestFit="1" customWidth="1"/>
    <col min="451" max="451" width="3.625" style="2" customWidth="1"/>
    <col min="452" max="454" width="14.625" style="2" customWidth="1"/>
    <col min="455" max="455" width="7" style="2" bestFit="1" customWidth="1"/>
    <col min="456" max="456" width="11.625" style="2" customWidth="1"/>
    <col min="457" max="457" width="2.125" style="2" customWidth="1"/>
    <col min="458" max="458" width="5.125" style="2" customWidth="1"/>
    <col min="459" max="459" width="11.625" style="2" customWidth="1"/>
    <col min="460" max="460" width="29.625" style="2" customWidth="1"/>
    <col min="461" max="461" width="11.625" style="2" customWidth="1"/>
    <col min="462" max="462" width="2.125" style="2" customWidth="1"/>
    <col min="463" max="463" width="5.125" style="2" customWidth="1"/>
    <col min="464" max="464" width="11.625" style="2" customWidth="1"/>
    <col min="465" max="465" width="29.625" style="2" customWidth="1"/>
    <col min="466" max="466" width="11.625" style="2" customWidth="1"/>
    <col min="467" max="467" width="2.125" style="2" customWidth="1"/>
    <col min="468" max="468" width="5.125" style="2" customWidth="1"/>
    <col min="469" max="469" width="11.625" style="2" customWidth="1"/>
    <col min="470" max="470" width="29.625" style="2" customWidth="1"/>
    <col min="471" max="471" width="11.625" style="2" customWidth="1"/>
    <col min="472" max="472" width="2.125" style="2" customWidth="1"/>
    <col min="473" max="473" width="5.125" style="2" customWidth="1"/>
    <col min="474" max="474" width="11.625" style="2" customWidth="1"/>
    <col min="475" max="475" width="29.5" style="2" customWidth="1"/>
    <col min="476" max="476" width="6.625" style="2" bestFit="1" customWidth="1"/>
    <col min="477" max="477" width="3.625" style="2" customWidth="1"/>
    <col min="478" max="480" width="14.625" style="2" customWidth="1"/>
    <col min="481" max="481" width="7" style="2" bestFit="1" customWidth="1"/>
    <col min="482" max="482" width="11.625" style="2" customWidth="1"/>
    <col min="483" max="483" width="2.125" style="2" customWidth="1"/>
    <col min="484" max="484" width="5.125" style="2" customWidth="1"/>
    <col min="485" max="485" width="11.625" style="2" customWidth="1"/>
    <col min="486" max="486" width="29.625" style="2" customWidth="1"/>
    <col min="487" max="487" width="11.625" style="2" customWidth="1"/>
    <col min="488" max="488" width="2.125" style="2" customWidth="1"/>
    <col min="489" max="489" width="5.125" style="2" customWidth="1"/>
    <col min="490" max="490" width="11.625" style="2" customWidth="1"/>
    <col min="491" max="491" width="29.625" style="2" customWidth="1"/>
    <col min="492" max="492" width="11.625" style="2" customWidth="1"/>
    <col min="493" max="493" width="2.125" style="2" customWidth="1"/>
    <col min="494" max="494" width="5.125" style="2" customWidth="1"/>
    <col min="495" max="495" width="11.625" style="2" customWidth="1"/>
    <col min="496" max="496" width="29.625" style="2" customWidth="1"/>
    <col min="497" max="497" width="11.625" style="2" customWidth="1"/>
    <col min="498" max="498" width="2.125" style="2" customWidth="1"/>
    <col min="499" max="499" width="5.125" style="2" customWidth="1"/>
    <col min="500" max="500" width="11.625" style="2" customWidth="1"/>
    <col min="501" max="501" width="29.5" style="2" customWidth="1"/>
    <col min="502" max="502" width="6.625" style="2" bestFit="1" customWidth="1"/>
    <col min="503" max="503" width="3.625" style="2" customWidth="1"/>
    <col min="504" max="506" width="14.625" style="2" customWidth="1"/>
    <col min="507" max="507" width="7" style="2" bestFit="1" customWidth="1"/>
    <col min="508" max="508" width="11.625" style="2" customWidth="1"/>
    <col min="509" max="509" width="2.125" style="2" customWidth="1"/>
    <col min="510" max="510" width="5.125" style="2" customWidth="1"/>
    <col min="511" max="511" width="11.625" style="2" customWidth="1"/>
    <col min="512" max="512" width="29.625" style="2" customWidth="1"/>
    <col min="513" max="513" width="11.625" style="2" customWidth="1"/>
    <col min="514" max="514" width="2.125" style="2" customWidth="1"/>
    <col min="515" max="515" width="5.125" style="2" customWidth="1"/>
    <col min="516" max="516" width="11.625" style="2" customWidth="1"/>
    <col min="517" max="517" width="29.625" style="2" customWidth="1"/>
    <col min="518" max="518" width="11.625" style="2" customWidth="1"/>
    <col min="519" max="519" width="2.125" style="2" customWidth="1"/>
    <col min="520" max="520" width="5.125" style="2" customWidth="1"/>
    <col min="521" max="521" width="11.625" style="2" customWidth="1"/>
    <col min="522" max="522" width="29.625" style="2" customWidth="1"/>
    <col min="523" max="523" width="11.625" style="2" customWidth="1"/>
    <col min="524" max="524" width="2.125" style="2" customWidth="1"/>
    <col min="525" max="525" width="5.125" style="2" customWidth="1"/>
    <col min="526" max="526" width="11.625" style="2" customWidth="1"/>
    <col min="527" max="527" width="29.625" style="2" customWidth="1"/>
    <col min="528" max="528" width="6.625" style="2" bestFit="1" customWidth="1"/>
    <col min="529" max="529" width="3.625" style="2" customWidth="1"/>
    <col min="530" max="532" width="14.625" style="2" customWidth="1"/>
    <col min="533" max="533" width="7" style="2" bestFit="1" customWidth="1"/>
    <col min="534" max="534" width="11.625" style="2" customWidth="1"/>
    <col min="535" max="535" width="2.125" style="2" customWidth="1"/>
    <col min="536" max="536" width="5.125" style="2" customWidth="1"/>
    <col min="537" max="537" width="11.625" style="2" customWidth="1"/>
    <col min="538" max="538" width="29.625" style="2" hidden="1" customWidth="1"/>
    <col min="539" max="539" width="11.625" style="2" customWidth="1"/>
    <col min="540" max="540" width="2.125" style="2" customWidth="1"/>
    <col min="541" max="541" width="5.125" style="2" customWidth="1"/>
    <col min="542" max="543" width="11.625" style="2" customWidth="1"/>
    <col min="544" max="544" width="2.125" style="2" customWidth="1"/>
    <col min="545" max="545" width="5.125" style="2" customWidth="1"/>
    <col min="546" max="546" width="11.625" style="2" customWidth="1"/>
    <col min="547" max="547" width="29.625" style="2" customWidth="1"/>
    <col min="548" max="548" width="11.625" style="2" customWidth="1"/>
    <col min="549" max="549" width="2.125" style="2" customWidth="1"/>
    <col min="550" max="550" width="5.125" style="2" customWidth="1"/>
    <col min="551" max="551" width="11.625" style="2" customWidth="1"/>
    <col min="552" max="552" width="29.625" style="2" customWidth="1"/>
    <col min="553" max="553" width="11.625" style="2" customWidth="1"/>
    <col min="554" max="554" width="2.125" style="2" customWidth="1"/>
    <col min="555" max="555" width="5.125" style="2" customWidth="1"/>
    <col min="556" max="556" width="11.625" style="2" customWidth="1"/>
    <col min="557" max="557" width="29.5" style="2" customWidth="1"/>
    <col min="558" max="558" width="6.625" style="2" bestFit="1" customWidth="1"/>
    <col min="559" max="559" width="3.625" style="2" customWidth="1"/>
    <col min="560" max="562" width="14.625" style="2" customWidth="1"/>
    <col min="563" max="563" width="7" style="2" bestFit="1" customWidth="1"/>
    <col min="564" max="564" width="11.625" style="2" customWidth="1"/>
    <col min="565" max="565" width="2.125" style="2" customWidth="1"/>
    <col min="566" max="566" width="5.125" style="2" customWidth="1"/>
    <col min="567" max="567" width="11.625" style="2" customWidth="1"/>
    <col min="568" max="568" width="29.625" style="2" customWidth="1"/>
    <col min="569" max="569" width="11.625" style="2" customWidth="1"/>
    <col min="570" max="570" width="2.125" style="2" customWidth="1"/>
    <col min="571" max="571" width="5.125" style="2" customWidth="1"/>
    <col min="572" max="572" width="11.625" style="2" customWidth="1"/>
    <col min="573" max="573" width="29.625" style="2" customWidth="1"/>
    <col min="574" max="574" width="11.625" style="2" customWidth="1"/>
    <col min="575" max="575" width="2.125" style="2" customWidth="1"/>
    <col min="576" max="576" width="5.125" style="2" customWidth="1"/>
    <col min="577" max="577" width="11.625" style="2" customWidth="1"/>
    <col min="578" max="578" width="29.625" style="2" customWidth="1"/>
    <col min="579" max="579" width="11.625" style="2" customWidth="1"/>
    <col min="580" max="580" width="2.125" style="2" customWidth="1"/>
    <col min="581" max="581" width="5.125" style="2" customWidth="1"/>
    <col min="582" max="582" width="11.625" style="2" customWidth="1"/>
    <col min="583" max="583" width="29.625" style="2" customWidth="1"/>
    <col min="584" max="584" width="7" style="2" hidden="1" customWidth="1"/>
    <col min="585" max="585" width="11.625" style="2" hidden="1" customWidth="1"/>
    <col min="586" max="586" width="2.125" style="2" hidden="1" customWidth="1"/>
    <col min="587" max="587" width="5.125" style="2" hidden="1" customWidth="1"/>
    <col min="588" max="588" width="11.625" style="2" hidden="1" customWidth="1"/>
    <col min="589" max="589" width="29.125" style="2" hidden="1" customWidth="1"/>
    <col min="590" max="590" width="29.625" style="2" hidden="1" customWidth="1"/>
    <col min="591" max="591" width="6.625" style="2" bestFit="1" customWidth="1"/>
    <col min="592" max="592" width="3.625" style="2" customWidth="1"/>
    <col min="593" max="595" width="14.625" style="2" customWidth="1"/>
    <col min="596" max="596" width="7" style="2" bestFit="1" customWidth="1"/>
    <col min="597" max="597" width="11.625" style="2" customWidth="1"/>
    <col min="598" max="598" width="2.125" style="2" customWidth="1"/>
    <col min="599" max="599" width="5.125" style="2" customWidth="1"/>
    <col min="600" max="600" width="11.625" style="2" customWidth="1"/>
    <col min="601" max="601" width="29.625" style="2" customWidth="1"/>
    <col min="602" max="602" width="11.625" style="2" customWidth="1"/>
    <col min="603" max="603" width="2.125" style="2" customWidth="1"/>
    <col min="604" max="604" width="5.125" style="2" customWidth="1"/>
    <col min="605" max="605" width="11.625" style="2" customWidth="1"/>
    <col min="606" max="606" width="29.625" style="2" customWidth="1"/>
    <col min="607" max="607" width="11.625" style="2" customWidth="1"/>
    <col min="608" max="608" width="2.125" style="2" customWidth="1"/>
    <col min="609" max="609" width="5.125" style="2" customWidth="1"/>
    <col min="610" max="610" width="11.625" style="2" customWidth="1"/>
    <col min="611" max="611" width="29.625" style="2" customWidth="1"/>
    <col min="612" max="612" width="11.625" style="2" customWidth="1"/>
    <col min="613" max="613" width="2.125" style="2" customWidth="1"/>
    <col min="614" max="614" width="5.125" style="2" customWidth="1"/>
    <col min="615" max="615" width="11.625" style="2" customWidth="1"/>
    <col min="616" max="616" width="29.625" style="2" customWidth="1"/>
    <col min="617" max="617" width="6.625" style="2" bestFit="1" customWidth="1"/>
    <col min="618" max="618" width="3.625" style="2" customWidth="1"/>
    <col min="619" max="621" width="14.625" style="2" customWidth="1"/>
    <col min="622" max="622" width="7" style="2" bestFit="1" customWidth="1"/>
    <col min="623" max="623" width="11.625" style="2" customWidth="1"/>
    <col min="624" max="624" width="2.125" style="2" customWidth="1"/>
    <col min="625" max="625" width="5.125" style="2" customWidth="1"/>
    <col min="626" max="626" width="11.625" style="2" customWidth="1"/>
    <col min="627" max="627" width="29.625" style="2" customWidth="1"/>
    <col min="628" max="628" width="11.625" style="2" customWidth="1"/>
    <col min="629" max="629" width="2.125" style="2" customWidth="1"/>
    <col min="630" max="630" width="5.125" style="2" customWidth="1"/>
    <col min="631" max="631" width="11.625" style="2" customWidth="1"/>
    <col min="632" max="632" width="29.625" style="2" customWidth="1"/>
    <col min="633" max="633" width="11.625" style="2" customWidth="1"/>
    <col min="634" max="634" width="2.125" style="2" customWidth="1"/>
    <col min="635" max="635" width="5.125" style="2" customWidth="1"/>
    <col min="636" max="636" width="11.625" style="2" customWidth="1"/>
    <col min="637" max="637" width="29.625" style="2" customWidth="1"/>
    <col min="638" max="638" width="11.625" style="2" customWidth="1"/>
    <col min="639" max="639" width="2.125" style="2" customWidth="1"/>
    <col min="640" max="640" width="5.125" style="2" customWidth="1"/>
    <col min="641" max="641" width="11.625" style="2" customWidth="1"/>
    <col min="642" max="642" width="29.625" style="2" customWidth="1"/>
    <col min="643" max="643" width="6.625" style="2" bestFit="1" customWidth="1"/>
    <col min="644" max="644" width="3.625" style="2" customWidth="1"/>
    <col min="645" max="647" width="14.625" style="2" customWidth="1"/>
    <col min="648" max="648" width="7" style="2" bestFit="1" customWidth="1"/>
    <col min="649" max="649" width="11.625" style="2" customWidth="1"/>
    <col min="650" max="650" width="2.125" style="2" customWidth="1"/>
    <col min="651" max="651" width="5.125" style="2" customWidth="1"/>
    <col min="652" max="652" width="11.625" style="2" customWidth="1"/>
    <col min="653" max="653" width="29.625" style="2" customWidth="1"/>
    <col min="654" max="654" width="11.625" style="2" customWidth="1"/>
    <col min="655" max="655" width="2.125" style="2" customWidth="1"/>
    <col min="656" max="656" width="5.125" style="2" customWidth="1"/>
    <col min="657" max="657" width="11.625" style="2" customWidth="1"/>
    <col min="658" max="658" width="29.625" style="2" customWidth="1"/>
    <col min="659" max="659" width="11.625" style="2" customWidth="1"/>
    <col min="660" max="660" width="2.125" style="2" customWidth="1"/>
    <col min="661" max="661" width="5.125" style="2" customWidth="1"/>
    <col min="662" max="662" width="11.625" style="2" customWidth="1"/>
    <col min="663" max="663" width="29.625" style="2" customWidth="1"/>
    <col min="664" max="664" width="11.625" style="2" customWidth="1"/>
    <col min="665" max="665" width="2.125" style="2" customWidth="1"/>
    <col min="666" max="666" width="5.125" style="2" customWidth="1"/>
    <col min="667" max="667" width="11.625" style="2" customWidth="1"/>
    <col min="668" max="668" width="29.625" style="2" customWidth="1"/>
    <col min="669" max="669" width="6.625" style="2" bestFit="1" customWidth="1"/>
    <col min="670" max="670" width="3.625" style="2" customWidth="1"/>
    <col min="671" max="673" width="14.625" style="2" customWidth="1"/>
    <col min="674" max="674" width="7" style="2" bestFit="1" customWidth="1"/>
    <col min="675" max="675" width="11.625" style="2" customWidth="1"/>
    <col min="676" max="676" width="2.125" style="2" customWidth="1"/>
    <col min="677" max="677" width="5.125" style="2" customWidth="1"/>
    <col min="678" max="678" width="11.625" style="2" customWidth="1"/>
    <col min="679" max="679" width="29.625" style="2" customWidth="1"/>
    <col min="680" max="680" width="11.625" style="2" customWidth="1"/>
    <col min="681" max="681" width="2.125" style="2" customWidth="1"/>
    <col min="682" max="682" width="5.125" style="2" customWidth="1"/>
    <col min="683" max="683" width="11.625" style="2" customWidth="1"/>
    <col min="684" max="684" width="29.625" style="2" customWidth="1"/>
    <col min="685" max="685" width="11.625" style="2" customWidth="1"/>
    <col min="686" max="686" width="2.125" style="2" customWidth="1"/>
    <col min="687" max="687" width="5.125" style="2" customWidth="1"/>
    <col min="688" max="688" width="11.625" style="2" customWidth="1"/>
    <col min="689" max="689" width="29.625" style="2" customWidth="1"/>
    <col min="690" max="690" width="11.625" style="2" customWidth="1"/>
    <col min="691" max="691" width="2.125" style="2" customWidth="1"/>
    <col min="692" max="692" width="5.125" style="2" customWidth="1"/>
    <col min="693" max="693" width="11.625" style="2" customWidth="1"/>
    <col min="694" max="694" width="29.625" style="2" customWidth="1"/>
    <col min="695" max="695" width="6.625" style="2" bestFit="1" customWidth="1"/>
    <col min="696" max="696" width="3.625" style="2" customWidth="1"/>
    <col min="697" max="699" width="14.625" style="2" customWidth="1"/>
    <col min="700" max="700" width="7" style="2" bestFit="1" customWidth="1"/>
    <col min="701" max="701" width="11.625" style="2" customWidth="1"/>
    <col min="702" max="702" width="2.125" style="2" customWidth="1"/>
    <col min="703" max="703" width="5.125" style="2" customWidth="1"/>
    <col min="704" max="704" width="11.625" style="2" customWidth="1"/>
    <col min="705" max="705" width="29.625" style="2" customWidth="1"/>
    <col min="706" max="706" width="11.625" style="2" customWidth="1"/>
    <col min="707" max="707" width="2.125" style="2" customWidth="1"/>
    <col min="708" max="708" width="5.125" style="2" customWidth="1"/>
    <col min="709" max="709" width="11.625" style="2" customWidth="1"/>
    <col min="710" max="710" width="29.625" style="2" customWidth="1"/>
    <col min="711" max="711" width="11.625" style="2" customWidth="1"/>
    <col min="712" max="712" width="2.125" style="2" customWidth="1"/>
    <col min="713" max="713" width="5.125" style="2" customWidth="1"/>
    <col min="714" max="714" width="11.625" style="2" customWidth="1"/>
    <col min="715" max="715" width="29.625" style="2" customWidth="1"/>
    <col min="716" max="716" width="11.625" style="2" customWidth="1"/>
    <col min="717" max="717" width="2.125" style="2" customWidth="1"/>
    <col min="718" max="718" width="5.125" style="2" customWidth="1"/>
    <col min="719" max="719" width="11.625" style="2" customWidth="1"/>
    <col min="720" max="720" width="29.625" style="2" customWidth="1"/>
    <col min="721" max="721" width="6.625" style="2" bestFit="1" customWidth="1"/>
    <col min="722" max="722" width="3.625" style="2" customWidth="1"/>
    <col min="723" max="725" width="14.625" style="2" customWidth="1"/>
    <col min="726" max="726" width="7" style="2" bestFit="1" customWidth="1"/>
    <col min="727" max="727" width="11.625" style="2" customWidth="1"/>
    <col min="728" max="728" width="2.125" style="2" customWidth="1"/>
    <col min="729" max="729" width="5.125" style="2" customWidth="1"/>
    <col min="730" max="730" width="11.625" style="2" customWidth="1"/>
    <col min="731" max="731" width="29.625" style="2" customWidth="1"/>
    <col min="732" max="732" width="11.625" style="2" customWidth="1"/>
    <col min="733" max="733" width="2.125" style="2" customWidth="1"/>
    <col min="734" max="734" width="5.125" style="2" customWidth="1"/>
    <col min="735" max="735" width="11.625" style="2" customWidth="1"/>
    <col min="736" max="736" width="29.625" style="2" customWidth="1"/>
    <col min="737" max="737" width="11.625" style="2" customWidth="1"/>
    <col min="738" max="738" width="2.125" style="2" customWidth="1"/>
    <col min="739" max="739" width="5.125" style="2" customWidth="1"/>
    <col min="740" max="740" width="11.625" style="2" customWidth="1"/>
    <col min="741" max="741" width="29.625" style="2" customWidth="1"/>
    <col min="742" max="742" width="11.625" style="2" customWidth="1"/>
    <col min="743" max="743" width="2.125" style="2" customWidth="1"/>
    <col min="744" max="744" width="5.125" style="2" customWidth="1"/>
    <col min="745" max="745" width="11.625" style="2" customWidth="1"/>
    <col min="746" max="747" width="29.625" style="2" customWidth="1"/>
    <col min="748" max="748" width="8" style="2" customWidth="1"/>
    <col min="749" max="749" width="5.125" style="2" customWidth="1"/>
    <col min="750" max="16384" width="8" style="2"/>
  </cols>
  <sheetData>
    <row r="1" spans="1:590" ht="27.75" customHeight="1" x14ac:dyDescent="0.4">
      <c r="B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B1" s="1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B1" s="1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E1" s="1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E1" s="1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E1" s="1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E1" s="1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E1" s="1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E1" s="1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E1" s="1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E1" s="1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E1" s="1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E1" s="1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G1" s="1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I1" s="1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I1" s="1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I1" s="1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I1" s="1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I1" s="1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I1" s="1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M1" s="1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</row>
    <row r="2" spans="1:590" ht="39" customHeight="1" x14ac:dyDescent="0.4">
      <c r="A2" s="454" t="s">
        <v>76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 t="s">
        <v>76</v>
      </c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 t="s">
        <v>76</v>
      </c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 t="s">
        <v>76</v>
      </c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 t="s">
        <v>560</v>
      </c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/>
      <c r="EB2" s="454"/>
      <c r="EC2" s="454"/>
      <c r="ED2" s="454" t="s">
        <v>76</v>
      </c>
      <c r="EE2" s="454"/>
      <c r="EF2" s="454"/>
      <c r="EG2" s="454"/>
      <c r="EH2" s="454"/>
      <c r="EI2" s="454"/>
      <c r="EJ2" s="454"/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 t="s">
        <v>76</v>
      </c>
      <c r="FE2" s="454"/>
      <c r="FF2" s="454"/>
      <c r="FG2" s="454"/>
      <c r="FH2" s="454"/>
      <c r="FI2" s="454"/>
      <c r="FJ2" s="454"/>
      <c r="FK2" s="454"/>
      <c r="FL2" s="454"/>
      <c r="FM2" s="454"/>
      <c r="FN2" s="454"/>
      <c r="FO2" s="454"/>
      <c r="FP2" s="454"/>
      <c r="FQ2" s="454"/>
      <c r="FR2" s="454"/>
      <c r="FS2" s="454"/>
      <c r="FT2" s="454"/>
      <c r="FU2" s="454"/>
      <c r="FV2" s="454"/>
      <c r="FW2" s="454"/>
      <c r="FX2" s="454"/>
      <c r="FY2" s="454"/>
      <c r="FZ2" s="454"/>
      <c r="GA2" s="454"/>
      <c r="GB2" s="454"/>
      <c r="GC2" s="454"/>
      <c r="GD2" s="454" t="s">
        <v>76</v>
      </c>
      <c r="GE2" s="454"/>
      <c r="GF2" s="454"/>
      <c r="GG2" s="454"/>
      <c r="GH2" s="454"/>
      <c r="GI2" s="454"/>
      <c r="GJ2" s="454"/>
      <c r="GK2" s="454"/>
      <c r="GL2" s="454"/>
      <c r="GM2" s="454"/>
      <c r="GN2" s="454"/>
      <c r="GO2" s="454"/>
      <c r="GP2" s="454"/>
      <c r="GQ2" s="454"/>
      <c r="GR2" s="454"/>
      <c r="GS2" s="454"/>
      <c r="GT2" s="454"/>
      <c r="GU2" s="454"/>
      <c r="GV2" s="454"/>
      <c r="GW2" s="454"/>
      <c r="GX2" s="454"/>
      <c r="GY2" s="454"/>
      <c r="GZ2" s="454"/>
      <c r="HA2" s="454"/>
      <c r="HB2" s="454"/>
      <c r="HC2" s="454"/>
      <c r="HD2" s="454" t="s">
        <v>76</v>
      </c>
      <c r="HE2" s="454"/>
      <c r="HF2" s="454"/>
      <c r="HG2" s="454"/>
      <c r="HH2" s="454"/>
      <c r="HI2" s="454"/>
      <c r="HJ2" s="454"/>
      <c r="HK2" s="454"/>
      <c r="HL2" s="454"/>
      <c r="HM2" s="454"/>
      <c r="HN2" s="454"/>
      <c r="HO2" s="454"/>
      <c r="HP2" s="454"/>
      <c r="HQ2" s="454"/>
      <c r="HR2" s="454"/>
      <c r="HS2" s="454"/>
      <c r="HT2" s="454"/>
      <c r="HU2" s="454"/>
      <c r="HV2" s="454"/>
      <c r="HW2" s="454"/>
      <c r="HX2" s="454"/>
      <c r="HY2" s="454"/>
      <c r="HZ2" s="454"/>
      <c r="IA2" s="454"/>
      <c r="IB2" s="454"/>
      <c r="IC2" s="454"/>
      <c r="ID2" s="454" t="s">
        <v>76</v>
      </c>
      <c r="IE2" s="454"/>
      <c r="IF2" s="454"/>
      <c r="IG2" s="454"/>
      <c r="IH2" s="454"/>
      <c r="II2" s="454"/>
      <c r="IJ2" s="454"/>
      <c r="IK2" s="454"/>
      <c r="IL2" s="454"/>
      <c r="IM2" s="454"/>
      <c r="IN2" s="454"/>
      <c r="IO2" s="454"/>
      <c r="IP2" s="454"/>
      <c r="IQ2" s="454"/>
      <c r="IR2" s="454"/>
      <c r="IS2" s="454"/>
      <c r="IT2" s="454"/>
      <c r="IU2" s="454"/>
      <c r="IV2" s="454"/>
      <c r="IW2" s="454"/>
      <c r="IX2" s="454"/>
      <c r="IY2" s="454"/>
      <c r="IZ2" s="454"/>
      <c r="JA2" s="454"/>
      <c r="JB2" s="454"/>
      <c r="JC2" s="454"/>
      <c r="JD2" s="454" t="s">
        <v>76</v>
      </c>
      <c r="JE2" s="454"/>
      <c r="JF2" s="454"/>
      <c r="JG2" s="454"/>
      <c r="JH2" s="454"/>
      <c r="JI2" s="454"/>
      <c r="JJ2" s="454"/>
      <c r="JK2" s="454"/>
      <c r="JL2" s="454"/>
      <c r="JM2" s="454"/>
      <c r="JN2" s="454"/>
      <c r="JO2" s="454"/>
      <c r="JP2" s="454"/>
      <c r="JQ2" s="454"/>
      <c r="JR2" s="454"/>
      <c r="JS2" s="454"/>
      <c r="JT2" s="454"/>
      <c r="JU2" s="454"/>
      <c r="JV2" s="454"/>
      <c r="JW2" s="454"/>
      <c r="JX2" s="454"/>
      <c r="JY2" s="454"/>
      <c r="JZ2" s="454"/>
      <c r="KA2" s="454"/>
      <c r="KB2" s="454"/>
      <c r="KC2" s="454"/>
      <c r="KD2" s="454" t="s">
        <v>76</v>
      </c>
      <c r="KE2" s="454"/>
      <c r="KF2" s="454"/>
      <c r="KG2" s="454"/>
      <c r="KH2" s="454"/>
      <c r="KI2" s="454"/>
      <c r="KJ2" s="454"/>
      <c r="KK2" s="454"/>
      <c r="KL2" s="454"/>
      <c r="KM2" s="454"/>
      <c r="KN2" s="454"/>
      <c r="KO2" s="454"/>
      <c r="KP2" s="454"/>
      <c r="KQ2" s="454"/>
      <c r="KR2" s="454"/>
      <c r="KS2" s="454"/>
      <c r="KT2" s="454"/>
      <c r="KU2" s="454"/>
      <c r="KV2" s="454"/>
      <c r="KW2" s="454"/>
      <c r="KX2" s="454"/>
      <c r="KY2" s="454"/>
      <c r="KZ2" s="454"/>
      <c r="LA2" s="454"/>
      <c r="LB2" s="454"/>
      <c r="LC2" s="454"/>
      <c r="LD2" s="454" t="s">
        <v>76</v>
      </c>
      <c r="LE2" s="454"/>
      <c r="LF2" s="454"/>
      <c r="LG2" s="454"/>
      <c r="LH2" s="454"/>
      <c r="LI2" s="454"/>
      <c r="LJ2" s="454"/>
      <c r="LK2" s="454"/>
      <c r="LL2" s="454"/>
      <c r="LM2" s="454"/>
      <c r="LN2" s="454"/>
      <c r="LO2" s="454"/>
      <c r="LP2" s="454"/>
      <c r="LQ2" s="454"/>
      <c r="LR2" s="454"/>
      <c r="LS2" s="454"/>
      <c r="LT2" s="454"/>
      <c r="LU2" s="454"/>
      <c r="LV2" s="454"/>
      <c r="LW2" s="454"/>
      <c r="LX2" s="454"/>
      <c r="LY2" s="454"/>
      <c r="LZ2" s="454"/>
      <c r="MA2" s="454"/>
      <c r="MB2" s="454"/>
      <c r="MC2" s="454"/>
      <c r="MD2" s="454" t="s">
        <v>76</v>
      </c>
      <c r="ME2" s="454"/>
      <c r="MF2" s="454"/>
      <c r="MG2" s="454"/>
      <c r="MH2" s="454"/>
      <c r="MI2" s="454"/>
      <c r="MJ2" s="454"/>
      <c r="MK2" s="454"/>
      <c r="ML2" s="454"/>
      <c r="MM2" s="454"/>
      <c r="MN2" s="454"/>
      <c r="MO2" s="454"/>
      <c r="MP2" s="454"/>
      <c r="MQ2" s="454"/>
      <c r="MR2" s="454"/>
      <c r="MS2" s="454"/>
      <c r="MT2" s="454"/>
      <c r="MU2" s="454"/>
      <c r="MV2" s="454"/>
      <c r="MW2" s="454"/>
      <c r="MX2" s="454"/>
      <c r="MY2" s="454"/>
      <c r="MZ2" s="454"/>
      <c r="NA2" s="454"/>
      <c r="NB2" s="454"/>
      <c r="NC2" s="454"/>
      <c r="ND2" s="454"/>
      <c r="NE2" s="454"/>
      <c r="NF2" s="454" t="s">
        <v>76</v>
      </c>
      <c r="NG2" s="454"/>
      <c r="NH2" s="454"/>
      <c r="NI2" s="454"/>
      <c r="NJ2" s="454"/>
      <c r="NK2" s="454"/>
      <c r="NL2" s="454"/>
      <c r="NM2" s="454"/>
      <c r="NN2" s="454"/>
      <c r="NO2" s="454"/>
      <c r="NP2" s="454"/>
      <c r="NQ2" s="454"/>
      <c r="NR2" s="454"/>
      <c r="NS2" s="454"/>
      <c r="NT2" s="454"/>
      <c r="NU2" s="454"/>
      <c r="NV2" s="454"/>
      <c r="NW2" s="454"/>
      <c r="NX2" s="454"/>
      <c r="NY2" s="454"/>
      <c r="NZ2" s="454"/>
      <c r="OA2" s="454"/>
      <c r="OB2" s="454"/>
      <c r="OC2" s="454"/>
      <c r="OD2" s="454"/>
      <c r="OE2" s="454"/>
      <c r="OF2" s="454"/>
      <c r="OG2" s="454"/>
      <c r="OH2" s="454" t="s">
        <v>76</v>
      </c>
      <c r="OI2" s="454"/>
      <c r="OJ2" s="454"/>
      <c r="OK2" s="454"/>
      <c r="OL2" s="454"/>
      <c r="OM2" s="454"/>
      <c r="ON2" s="454"/>
      <c r="OO2" s="454"/>
      <c r="OP2" s="454"/>
      <c r="OQ2" s="454"/>
      <c r="OR2" s="454"/>
      <c r="OS2" s="454"/>
      <c r="OT2" s="454"/>
      <c r="OU2" s="454"/>
      <c r="OV2" s="454"/>
      <c r="OW2" s="454"/>
      <c r="OX2" s="454"/>
      <c r="OY2" s="454"/>
      <c r="OZ2" s="454"/>
      <c r="PA2" s="454"/>
      <c r="PB2" s="454"/>
      <c r="PC2" s="454"/>
      <c r="PD2" s="454"/>
      <c r="PE2" s="454"/>
      <c r="PF2" s="454"/>
      <c r="PG2" s="454"/>
      <c r="PH2" s="454" t="s">
        <v>76</v>
      </c>
      <c r="PI2" s="454"/>
      <c r="PJ2" s="454"/>
      <c r="PK2" s="454"/>
      <c r="PL2" s="454"/>
      <c r="PM2" s="454"/>
      <c r="PN2" s="454"/>
      <c r="PO2" s="454"/>
      <c r="PP2" s="454"/>
      <c r="PQ2" s="454"/>
      <c r="PR2" s="454"/>
      <c r="PS2" s="454"/>
      <c r="PT2" s="454"/>
      <c r="PU2" s="454"/>
      <c r="PV2" s="454"/>
      <c r="PW2" s="454"/>
      <c r="PX2" s="454"/>
      <c r="PY2" s="454"/>
      <c r="PZ2" s="454"/>
      <c r="QA2" s="454"/>
      <c r="QB2" s="454"/>
      <c r="QC2" s="454"/>
      <c r="QD2" s="454"/>
      <c r="QE2" s="454"/>
      <c r="QF2" s="454"/>
      <c r="QG2" s="454"/>
      <c r="QH2" s="454" t="s">
        <v>76</v>
      </c>
      <c r="QI2" s="454"/>
      <c r="QJ2" s="454"/>
      <c r="QK2" s="454"/>
      <c r="QL2" s="454"/>
      <c r="QM2" s="454"/>
      <c r="QN2" s="454"/>
      <c r="QO2" s="454"/>
      <c r="QP2" s="454"/>
      <c r="QQ2" s="454"/>
      <c r="QR2" s="454"/>
      <c r="QS2" s="454"/>
      <c r="QT2" s="454"/>
      <c r="QU2" s="454"/>
      <c r="QV2" s="454"/>
      <c r="QW2" s="454"/>
      <c r="QX2" s="454"/>
      <c r="QY2" s="454"/>
      <c r="QZ2" s="454"/>
      <c r="RA2" s="454"/>
      <c r="RB2" s="454"/>
      <c r="RC2" s="454"/>
      <c r="RD2" s="454"/>
      <c r="RE2" s="454"/>
      <c r="RF2" s="454"/>
      <c r="RG2" s="454"/>
      <c r="RH2" s="454" t="s">
        <v>76</v>
      </c>
      <c r="RI2" s="454"/>
      <c r="RJ2" s="454"/>
      <c r="RK2" s="454"/>
      <c r="RL2" s="454"/>
      <c r="RM2" s="454"/>
      <c r="RN2" s="454"/>
      <c r="RO2" s="454"/>
      <c r="RP2" s="454"/>
      <c r="RQ2" s="454"/>
      <c r="RR2" s="454"/>
      <c r="RS2" s="454"/>
      <c r="RT2" s="454"/>
      <c r="RU2" s="454"/>
      <c r="RV2" s="454"/>
      <c r="RW2" s="454"/>
      <c r="RX2" s="454"/>
      <c r="RY2" s="454"/>
      <c r="RZ2" s="454"/>
      <c r="SA2" s="454"/>
      <c r="SB2" s="454"/>
      <c r="SC2" s="454"/>
      <c r="SD2" s="454"/>
      <c r="SE2" s="454"/>
      <c r="SF2" s="454"/>
      <c r="SG2" s="454"/>
      <c r="SH2" s="454" t="s">
        <v>76</v>
      </c>
      <c r="SI2" s="454"/>
      <c r="SJ2" s="454"/>
      <c r="SK2" s="454"/>
      <c r="SL2" s="454"/>
      <c r="SM2" s="454"/>
      <c r="SN2" s="454"/>
      <c r="SO2" s="454"/>
      <c r="SP2" s="454"/>
      <c r="SQ2" s="454"/>
      <c r="SR2" s="454"/>
      <c r="SS2" s="454"/>
      <c r="ST2" s="454"/>
      <c r="SU2" s="454"/>
      <c r="SV2" s="454"/>
      <c r="SW2" s="454"/>
      <c r="SX2" s="454"/>
      <c r="SY2" s="454"/>
      <c r="SZ2" s="454"/>
      <c r="TA2" s="454"/>
      <c r="TB2" s="454"/>
      <c r="TC2" s="454"/>
      <c r="TD2" s="454"/>
      <c r="TE2" s="454"/>
      <c r="TF2" s="454"/>
      <c r="TG2" s="454"/>
      <c r="TH2" s="454" t="s">
        <v>76</v>
      </c>
      <c r="TI2" s="454"/>
      <c r="TJ2" s="454"/>
      <c r="TK2" s="454"/>
      <c r="TL2" s="454"/>
      <c r="TM2" s="454"/>
      <c r="TN2" s="454"/>
      <c r="TO2" s="454"/>
      <c r="TP2" s="454"/>
      <c r="TQ2" s="454"/>
      <c r="TR2" s="454"/>
      <c r="TS2" s="454"/>
      <c r="TT2" s="454"/>
      <c r="TU2" s="454"/>
      <c r="TV2" s="454"/>
      <c r="TW2" s="454"/>
      <c r="TX2" s="454"/>
      <c r="TY2" s="454"/>
      <c r="TZ2" s="454"/>
      <c r="UA2" s="454"/>
      <c r="UB2" s="454"/>
      <c r="UC2" s="454"/>
      <c r="UD2" s="454"/>
      <c r="UE2" s="454"/>
      <c r="UF2" s="454"/>
      <c r="UG2" s="454"/>
      <c r="UH2" s="454"/>
      <c r="UI2" s="454"/>
      <c r="UJ2" s="454"/>
      <c r="UK2" s="454"/>
      <c r="UL2" s="454" t="s">
        <v>76</v>
      </c>
      <c r="UM2" s="454"/>
      <c r="UN2" s="454"/>
      <c r="UO2" s="454"/>
      <c r="UP2" s="454"/>
      <c r="UQ2" s="454"/>
      <c r="UR2" s="454"/>
      <c r="US2" s="454"/>
      <c r="UT2" s="454"/>
      <c r="UU2" s="454"/>
      <c r="UV2" s="454"/>
      <c r="UW2" s="454"/>
      <c r="UX2" s="454"/>
      <c r="UY2" s="454"/>
      <c r="UZ2" s="454"/>
      <c r="VA2" s="454"/>
      <c r="VB2" s="454"/>
      <c r="VC2" s="454"/>
      <c r="VD2" s="454"/>
      <c r="VE2" s="454"/>
      <c r="VF2" s="454"/>
      <c r="VG2" s="454"/>
      <c r="VH2" s="454"/>
      <c r="VI2" s="454"/>
      <c r="VJ2" s="454"/>
      <c r="VK2" s="454"/>
      <c r="VL2" s="377"/>
      <c r="VM2" s="454"/>
      <c r="VN2" s="454"/>
      <c r="VO2" s="454"/>
      <c r="VP2" s="454"/>
      <c r="VQ2" s="454"/>
      <c r="VR2" s="286"/>
    </row>
    <row r="3" spans="1:590" ht="25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</row>
    <row r="4" spans="1:590" ht="29.25" customHeight="1" x14ac:dyDescent="0.4">
      <c r="A4" s="28" t="s">
        <v>72</v>
      </c>
      <c r="B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8" t="s">
        <v>72</v>
      </c>
      <c r="AB4" s="1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28" t="s">
        <v>72</v>
      </c>
      <c r="BB4" s="1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28" t="s">
        <v>72</v>
      </c>
      <c r="CB4" s="1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28" t="s">
        <v>72</v>
      </c>
      <c r="DE4" s="1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28" t="s">
        <v>72</v>
      </c>
      <c r="EE4" s="1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28" t="s">
        <v>72</v>
      </c>
      <c r="FE4" s="1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28" t="s">
        <v>72</v>
      </c>
      <c r="GE4" s="1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28" t="s">
        <v>72</v>
      </c>
      <c r="HE4" s="1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28" t="s">
        <v>72</v>
      </c>
      <c r="IE4" s="1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28" t="s">
        <v>72</v>
      </c>
      <c r="JE4" s="1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28" t="s">
        <v>72</v>
      </c>
      <c r="KE4" s="1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28" t="s">
        <v>72</v>
      </c>
      <c r="LE4" s="1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28" t="s">
        <v>72</v>
      </c>
      <c r="ME4" s="1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28" t="s">
        <v>72</v>
      </c>
      <c r="NG4" s="1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28" t="s">
        <v>72</v>
      </c>
      <c r="OI4" s="1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28" t="s">
        <v>72</v>
      </c>
      <c r="PI4" s="1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28" t="s">
        <v>72</v>
      </c>
      <c r="QI4" s="1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28" t="s">
        <v>72</v>
      </c>
      <c r="RI4" s="1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28" t="s">
        <v>72</v>
      </c>
      <c r="SI4" s="1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28" t="s">
        <v>72</v>
      </c>
      <c r="TI4" s="1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28" t="s">
        <v>72</v>
      </c>
      <c r="UM4" s="1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</row>
    <row r="5" spans="1:590" ht="29.25" customHeight="1" x14ac:dyDescent="0.4">
      <c r="A5" s="1" t="s">
        <v>71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 t="s">
        <v>71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" t="s">
        <v>71</v>
      </c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" t="s">
        <v>71</v>
      </c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1" t="s">
        <v>71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1" t="s">
        <v>71</v>
      </c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1" t="s">
        <v>71</v>
      </c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1" t="s">
        <v>71</v>
      </c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1" t="s">
        <v>71</v>
      </c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1" t="s">
        <v>71</v>
      </c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1" t="s">
        <v>71</v>
      </c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1" t="s">
        <v>71</v>
      </c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1" t="s">
        <v>71</v>
      </c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1" t="s">
        <v>71</v>
      </c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1" t="s">
        <v>71</v>
      </c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1" t="s">
        <v>71</v>
      </c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1" t="s">
        <v>71</v>
      </c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1" t="s">
        <v>71</v>
      </c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1" t="s">
        <v>71</v>
      </c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1" t="s">
        <v>71</v>
      </c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1" t="s">
        <v>71</v>
      </c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1" t="s">
        <v>71</v>
      </c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</row>
    <row r="6" spans="1:590" ht="27" customHeight="1" x14ac:dyDescent="0.4">
      <c r="A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1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1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1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1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1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1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1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1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1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1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1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1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1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1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1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1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1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1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</row>
    <row r="7" spans="1:590" ht="21.75" customHeight="1" x14ac:dyDescent="0.4">
      <c r="A7" s="1" t="s">
        <v>0</v>
      </c>
      <c r="B7" s="1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 t="s">
        <v>0</v>
      </c>
      <c r="AB7" s="1"/>
      <c r="AD7" s="4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" t="s">
        <v>0</v>
      </c>
      <c r="BB7" s="1"/>
      <c r="BD7" s="4"/>
      <c r="BE7" s="4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" t="s">
        <v>0</v>
      </c>
      <c r="CB7" s="1"/>
      <c r="CD7" s="4"/>
      <c r="CE7" s="4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1" t="s">
        <v>0</v>
      </c>
      <c r="DE7" s="1"/>
      <c r="DG7" s="4"/>
      <c r="DH7" s="4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1" t="s">
        <v>0</v>
      </c>
      <c r="EE7" s="1"/>
      <c r="EG7" s="4"/>
      <c r="EH7" s="4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1" t="s">
        <v>0</v>
      </c>
      <c r="FE7" s="1"/>
      <c r="FG7" s="4"/>
      <c r="FH7" s="4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1" t="s">
        <v>0</v>
      </c>
      <c r="GE7" s="1"/>
      <c r="GG7" s="4"/>
      <c r="GH7" s="4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1" t="s">
        <v>0</v>
      </c>
      <c r="HE7" s="1"/>
      <c r="HG7" s="4"/>
      <c r="HH7" s="4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1" t="s">
        <v>0</v>
      </c>
      <c r="IE7" s="1"/>
      <c r="IG7" s="4"/>
      <c r="IH7" s="4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1" t="s">
        <v>0</v>
      </c>
      <c r="JE7" s="1"/>
      <c r="JG7" s="4"/>
      <c r="JH7" s="4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1" t="s">
        <v>0</v>
      </c>
      <c r="KE7" s="1"/>
      <c r="KG7" s="4"/>
      <c r="KH7" s="4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1" t="s">
        <v>0</v>
      </c>
      <c r="LE7" s="1"/>
      <c r="LG7" s="4"/>
      <c r="LH7" s="4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1" t="s">
        <v>0</v>
      </c>
      <c r="ME7" s="1"/>
      <c r="MG7" s="4"/>
      <c r="MH7" s="4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1" t="s">
        <v>0</v>
      </c>
      <c r="NG7" s="1"/>
      <c r="NI7" s="4"/>
      <c r="NJ7" s="4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1" t="s">
        <v>0</v>
      </c>
      <c r="OI7" s="1"/>
      <c r="OK7" s="4"/>
      <c r="OL7" s="4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1" t="s">
        <v>0</v>
      </c>
      <c r="PI7" s="1"/>
      <c r="PK7" s="4"/>
      <c r="PL7" s="4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1" t="s">
        <v>0</v>
      </c>
      <c r="QI7" s="1"/>
      <c r="QK7" s="4"/>
      <c r="QL7" s="4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1" t="s">
        <v>0</v>
      </c>
      <c r="RI7" s="1"/>
      <c r="RK7" s="4"/>
      <c r="RL7" s="4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1" t="s">
        <v>0</v>
      </c>
      <c r="SI7" s="1"/>
      <c r="SK7" s="4"/>
      <c r="SL7" s="4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1" t="s">
        <v>0</v>
      </c>
      <c r="TI7" s="1"/>
      <c r="TK7" s="4"/>
      <c r="TL7" s="4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1" t="s">
        <v>0</v>
      </c>
      <c r="UM7" s="1"/>
      <c r="UO7" s="4"/>
      <c r="UP7" s="4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</row>
    <row r="8" spans="1:590" ht="29.25" customHeight="1" x14ac:dyDescent="0.4">
      <c r="A8" s="1" t="s">
        <v>535</v>
      </c>
      <c r="B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 t="s">
        <v>535</v>
      </c>
      <c r="AB8" s="1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" t="s">
        <v>535</v>
      </c>
      <c r="BB8" s="1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1" t="s">
        <v>535</v>
      </c>
      <c r="CB8" s="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1" t="s">
        <v>535</v>
      </c>
      <c r="DE8" s="1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1" t="s">
        <v>535</v>
      </c>
      <c r="EE8" s="1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1" t="s">
        <v>535</v>
      </c>
      <c r="FE8" s="1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1" t="s">
        <v>535</v>
      </c>
      <c r="GE8" s="1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1" t="s">
        <v>535</v>
      </c>
      <c r="HE8" s="1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1" t="s">
        <v>535</v>
      </c>
      <c r="IE8" s="1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1" t="s">
        <v>535</v>
      </c>
      <c r="JE8" s="1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1" t="s">
        <v>535</v>
      </c>
      <c r="KE8" s="1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1" t="s">
        <v>535</v>
      </c>
      <c r="LE8" s="1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1" t="s">
        <v>535</v>
      </c>
      <c r="ME8" s="1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1" t="s">
        <v>535</v>
      </c>
      <c r="NG8" s="1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1" t="s">
        <v>535</v>
      </c>
      <c r="OI8" s="1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1" t="s">
        <v>535</v>
      </c>
      <c r="PI8" s="1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1" t="s">
        <v>535</v>
      </c>
      <c r="QI8" s="1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1" t="s">
        <v>535</v>
      </c>
      <c r="RI8" s="1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1" t="s">
        <v>535</v>
      </c>
      <c r="SI8" s="1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1" t="s">
        <v>535</v>
      </c>
      <c r="TI8" s="1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1" t="s">
        <v>535</v>
      </c>
      <c r="UM8" s="1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</row>
    <row r="9" spans="1:590" ht="30" customHeight="1" x14ac:dyDescent="0.4">
      <c r="A9" s="455"/>
      <c r="B9" s="455"/>
      <c r="C9" s="455"/>
      <c r="D9" s="45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12</v>
      </c>
      <c r="AA9" s="455"/>
      <c r="AB9" s="455"/>
      <c r="AC9" s="455"/>
      <c r="AD9" s="455"/>
      <c r="AE9" s="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 t="s">
        <v>291</v>
      </c>
      <c r="BA9" s="455"/>
      <c r="BB9" s="455"/>
      <c r="BC9" s="455"/>
      <c r="BD9" s="455"/>
      <c r="BE9" s="5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 t="s">
        <v>12</v>
      </c>
      <c r="CA9" s="455"/>
      <c r="CB9" s="455"/>
      <c r="CC9" s="455"/>
      <c r="CD9" s="455"/>
      <c r="CE9" s="5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 t="s">
        <v>12</v>
      </c>
      <c r="DD9" s="455"/>
      <c r="DE9" s="455"/>
      <c r="DF9" s="455"/>
      <c r="DG9" s="455"/>
      <c r="DH9" s="5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 t="s">
        <v>12</v>
      </c>
      <c r="ED9" s="455"/>
      <c r="EE9" s="455"/>
      <c r="EF9" s="455"/>
      <c r="EG9" s="455"/>
      <c r="EH9" s="5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 t="s">
        <v>291</v>
      </c>
      <c r="FD9" s="455"/>
      <c r="FE9" s="455"/>
      <c r="FF9" s="455"/>
      <c r="FG9" s="455"/>
      <c r="FH9" s="5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 t="s">
        <v>592</v>
      </c>
      <c r="GD9" s="455"/>
      <c r="GE9" s="455"/>
      <c r="GF9" s="455"/>
      <c r="GG9" s="455"/>
      <c r="GH9" s="5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 t="s">
        <v>291</v>
      </c>
      <c r="HD9" s="455"/>
      <c r="HE9" s="455"/>
      <c r="HF9" s="455"/>
      <c r="HG9" s="455"/>
      <c r="HH9" s="5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 t="s">
        <v>12</v>
      </c>
      <c r="ID9" s="455"/>
      <c r="IE9" s="455"/>
      <c r="IF9" s="455"/>
      <c r="IG9" s="455"/>
      <c r="IH9" s="5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 t="s">
        <v>12</v>
      </c>
      <c r="JD9" s="455"/>
      <c r="JE9" s="455"/>
      <c r="JF9" s="455"/>
      <c r="JG9" s="455"/>
      <c r="JH9" s="5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 t="s">
        <v>12</v>
      </c>
      <c r="KD9" s="455"/>
      <c r="KE9" s="455"/>
      <c r="KF9" s="455"/>
      <c r="KG9" s="455"/>
      <c r="KH9" s="5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 t="s">
        <v>12</v>
      </c>
      <c r="LD9" s="455"/>
      <c r="LE9" s="455"/>
      <c r="LF9" s="455"/>
      <c r="LG9" s="455"/>
      <c r="LH9" s="5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 t="s">
        <v>12</v>
      </c>
      <c r="MD9" s="455"/>
      <c r="ME9" s="455"/>
      <c r="MF9" s="455"/>
      <c r="MG9" s="455"/>
      <c r="MH9" s="5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 t="s">
        <v>640</v>
      </c>
      <c r="NF9" s="455"/>
      <c r="NG9" s="455"/>
      <c r="NH9" s="455"/>
      <c r="NI9" s="455"/>
      <c r="NJ9" s="5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 t="s">
        <v>640</v>
      </c>
      <c r="OH9" s="455"/>
      <c r="OI9" s="455"/>
      <c r="OJ9" s="455"/>
      <c r="OK9" s="455"/>
      <c r="OL9" s="5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 t="s">
        <v>640</v>
      </c>
      <c r="PH9" s="455"/>
      <c r="PI9" s="455"/>
      <c r="PJ9" s="455"/>
      <c r="PK9" s="455"/>
      <c r="PL9" s="5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 t="s">
        <v>640</v>
      </c>
      <c r="QH9" s="455"/>
      <c r="QI9" s="455"/>
      <c r="QJ9" s="455"/>
      <c r="QK9" s="455"/>
      <c r="QL9" s="5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 t="s">
        <v>640</v>
      </c>
      <c r="RH9" s="455"/>
      <c r="RI9" s="455"/>
      <c r="RJ9" s="455"/>
      <c r="RK9" s="455"/>
      <c r="RL9" s="5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 t="s">
        <v>640</v>
      </c>
      <c r="SH9" s="455"/>
      <c r="SI9" s="455"/>
      <c r="SJ9" s="455"/>
      <c r="SK9" s="455"/>
      <c r="SL9" s="5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 t="s">
        <v>640</v>
      </c>
      <c r="TH9" s="455"/>
      <c r="TI9" s="455"/>
      <c r="TJ9" s="455"/>
      <c r="TK9" s="455"/>
      <c r="TL9" s="5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 t="s">
        <v>640</v>
      </c>
      <c r="UL9" s="455"/>
      <c r="UM9" s="455"/>
      <c r="UN9" s="455"/>
      <c r="UO9" s="455"/>
      <c r="UP9" s="5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 t="s">
        <v>640</v>
      </c>
      <c r="VL9" s="6"/>
      <c r="VM9" s="6"/>
      <c r="VN9" s="6"/>
      <c r="VO9" s="6"/>
      <c r="VP9" s="6" t="s">
        <v>640</v>
      </c>
      <c r="VQ9" s="6" t="s">
        <v>12</v>
      </c>
      <c r="VR9" s="6"/>
    </row>
    <row r="10" spans="1:590" ht="30" customHeight="1" x14ac:dyDescent="0.4">
      <c r="A10" s="457" t="s">
        <v>9</v>
      </c>
      <c r="B10" s="459"/>
      <c r="C10" s="459"/>
      <c r="D10" s="459"/>
      <c r="E10" s="459"/>
      <c r="F10" s="460"/>
      <c r="G10" s="457">
        <v>1</v>
      </c>
      <c r="H10" s="459"/>
      <c r="I10" s="459"/>
      <c r="J10" s="459"/>
      <c r="K10" s="460"/>
      <c r="L10" s="457">
        <v>2</v>
      </c>
      <c r="M10" s="459"/>
      <c r="N10" s="459"/>
      <c r="O10" s="459"/>
      <c r="P10" s="460"/>
      <c r="Q10" s="457">
        <v>3</v>
      </c>
      <c r="R10" s="459"/>
      <c r="S10" s="459"/>
      <c r="T10" s="459"/>
      <c r="U10" s="460"/>
      <c r="V10" s="457">
        <v>4</v>
      </c>
      <c r="W10" s="459"/>
      <c r="X10" s="459"/>
      <c r="Y10" s="459"/>
      <c r="Z10" s="460"/>
      <c r="AA10" s="457" t="s">
        <v>9</v>
      </c>
      <c r="AB10" s="459"/>
      <c r="AC10" s="459"/>
      <c r="AD10" s="459"/>
      <c r="AE10" s="459"/>
      <c r="AF10" s="460"/>
      <c r="AG10" s="457">
        <v>5</v>
      </c>
      <c r="AH10" s="459"/>
      <c r="AI10" s="459"/>
      <c r="AJ10" s="459"/>
      <c r="AK10" s="460"/>
      <c r="AL10" s="457">
        <v>6</v>
      </c>
      <c r="AM10" s="459"/>
      <c r="AN10" s="459"/>
      <c r="AO10" s="459"/>
      <c r="AP10" s="460"/>
      <c r="AQ10" s="457">
        <v>7</v>
      </c>
      <c r="AR10" s="459"/>
      <c r="AS10" s="459"/>
      <c r="AT10" s="459"/>
      <c r="AU10" s="460"/>
      <c r="AV10" s="457">
        <v>8</v>
      </c>
      <c r="AW10" s="459"/>
      <c r="AX10" s="459"/>
      <c r="AY10" s="459"/>
      <c r="AZ10" s="460"/>
      <c r="BA10" s="457" t="s">
        <v>9</v>
      </c>
      <c r="BB10" s="459"/>
      <c r="BC10" s="459"/>
      <c r="BD10" s="459"/>
      <c r="BE10" s="459"/>
      <c r="BF10" s="460"/>
      <c r="BG10" s="457">
        <v>9</v>
      </c>
      <c r="BH10" s="459"/>
      <c r="BI10" s="459"/>
      <c r="BJ10" s="459"/>
      <c r="BK10" s="460"/>
      <c r="BL10" s="457">
        <v>10</v>
      </c>
      <c r="BM10" s="459"/>
      <c r="BN10" s="459"/>
      <c r="BO10" s="459"/>
      <c r="BP10" s="460"/>
      <c r="BQ10" s="457">
        <v>11</v>
      </c>
      <c r="BR10" s="459"/>
      <c r="BS10" s="459"/>
      <c r="BT10" s="459"/>
      <c r="BU10" s="460"/>
      <c r="BV10" s="457">
        <v>12</v>
      </c>
      <c r="BW10" s="459"/>
      <c r="BX10" s="459"/>
      <c r="BY10" s="459"/>
      <c r="BZ10" s="460"/>
      <c r="CA10" s="457" t="s">
        <v>9</v>
      </c>
      <c r="CB10" s="459"/>
      <c r="CC10" s="459"/>
      <c r="CD10" s="459"/>
      <c r="CE10" s="459"/>
      <c r="CF10" s="460"/>
      <c r="CG10" s="457">
        <v>13</v>
      </c>
      <c r="CH10" s="459"/>
      <c r="CI10" s="459"/>
      <c r="CJ10" s="459"/>
      <c r="CK10" s="460"/>
      <c r="CL10" s="457">
        <v>14</v>
      </c>
      <c r="CM10" s="459"/>
      <c r="CN10" s="459"/>
      <c r="CO10" s="459"/>
      <c r="CP10" s="460"/>
      <c r="CQ10" s="457">
        <v>15</v>
      </c>
      <c r="CR10" s="459"/>
      <c r="CS10" s="459"/>
      <c r="CT10" s="459"/>
      <c r="CU10" s="460"/>
      <c r="CV10" s="457">
        <v>16</v>
      </c>
      <c r="CW10" s="459"/>
      <c r="CX10" s="459"/>
      <c r="CY10" s="459"/>
      <c r="CZ10" s="459"/>
      <c r="DA10" s="459"/>
      <c r="DB10" s="459"/>
      <c r="DC10" s="460"/>
      <c r="DD10" s="457" t="s">
        <v>9</v>
      </c>
      <c r="DE10" s="459"/>
      <c r="DF10" s="459"/>
      <c r="DG10" s="459"/>
      <c r="DH10" s="459"/>
      <c r="DI10" s="460"/>
      <c r="DJ10" s="457">
        <v>17</v>
      </c>
      <c r="DK10" s="459"/>
      <c r="DL10" s="459"/>
      <c r="DM10" s="459"/>
      <c r="DN10" s="460"/>
      <c r="DO10" s="457">
        <v>18</v>
      </c>
      <c r="DP10" s="459"/>
      <c r="DQ10" s="459"/>
      <c r="DR10" s="459"/>
      <c r="DS10" s="460"/>
      <c r="DT10" s="457">
        <v>19</v>
      </c>
      <c r="DU10" s="459"/>
      <c r="DV10" s="459"/>
      <c r="DW10" s="459"/>
      <c r="DX10" s="460"/>
      <c r="DY10" s="457">
        <v>20</v>
      </c>
      <c r="DZ10" s="459"/>
      <c r="EA10" s="459"/>
      <c r="EB10" s="459"/>
      <c r="EC10" s="460"/>
      <c r="ED10" s="457" t="s">
        <v>9</v>
      </c>
      <c r="EE10" s="459"/>
      <c r="EF10" s="459"/>
      <c r="EG10" s="459"/>
      <c r="EH10" s="459"/>
      <c r="EI10" s="460"/>
      <c r="EJ10" s="457">
        <v>21</v>
      </c>
      <c r="EK10" s="459"/>
      <c r="EL10" s="459"/>
      <c r="EM10" s="459"/>
      <c r="EN10" s="460"/>
      <c r="EO10" s="457">
        <v>22</v>
      </c>
      <c r="EP10" s="459"/>
      <c r="EQ10" s="459"/>
      <c r="ER10" s="459"/>
      <c r="ES10" s="460"/>
      <c r="ET10" s="457">
        <v>23</v>
      </c>
      <c r="EU10" s="459"/>
      <c r="EV10" s="459"/>
      <c r="EW10" s="459"/>
      <c r="EX10" s="460"/>
      <c r="EY10" s="457">
        <v>24</v>
      </c>
      <c r="EZ10" s="459"/>
      <c r="FA10" s="459"/>
      <c r="FB10" s="459"/>
      <c r="FC10" s="460"/>
      <c r="FD10" s="461" t="s">
        <v>9</v>
      </c>
      <c r="FE10" s="461"/>
      <c r="FF10" s="461"/>
      <c r="FG10" s="461"/>
      <c r="FH10" s="461"/>
      <c r="FI10" s="461"/>
      <c r="FJ10" s="457">
        <v>25</v>
      </c>
      <c r="FK10" s="459"/>
      <c r="FL10" s="459"/>
      <c r="FM10" s="459"/>
      <c r="FN10" s="460"/>
      <c r="FO10" s="457">
        <v>26</v>
      </c>
      <c r="FP10" s="459"/>
      <c r="FQ10" s="459"/>
      <c r="FR10" s="459"/>
      <c r="FS10" s="460"/>
      <c r="FT10" s="457">
        <v>27</v>
      </c>
      <c r="FU10" s="459"/>
      <c r="FV10" s="459"/>
      <c r="FW10" s="459"/>
      <c r="FX10" s="460"/>
      <c r="FY10" s="457">
        <v>28</v>
      </c>
      <c r="FZ10" s="459"/>
      <c r="GA10" s="459"/>
      <c r="GB10" s="459"/>
      <c r="GC10" s="460"/>
      <c r="GD10" s="457" t="s">
        <v>9</v>
      </c>
      <c r="GE10" s="459"/>
      <c r="GF10" s="459"/>
      <c r="GG10" s="459"/>
      <c r="GH10" s="459"/>
      <c r="GI10" s="460"/>
      <c r="GJ10" s="457">
        <v>29</v>
      </c>
      <c r="GK10" s="459"/>
      <c r="GL10" s="459"/>
      <c r="GM10" s="459"/>
      <c r="GN10" s="460"/>
      <c r="GO10" s="457">
        <v>30</v>
      </c>
      <c r="GP10" s="459"/>
      <c r="GQ10" s="459"/>
      <c r="GR10" s="459"/>
      <c r="GS10" s="460"/>
      <c r="GT10" s="457">
        <v>31</v>
      </c>
      <c r="GU10" s="459"/>
      <c r="GV10" s="459"/>
      <c r="GW10" s="459"/>
      <c r="GX10" s="460"/>
      <c r="GY10" s="457">
        <v>32</v>
      </c>
      <c r="GZ10" s="459"/>
      <c r="HA10" s="459"/>
      <c r="HB10" s="459"/>
      <c r="HC10" s="460"/>
      <c r="HD10" s="457" t="s">
        <v>9</v>
      </c>
      <c r="HE10" s="459"/>
      <c r="HF10" s="459"/>
      <c r="HG10" s="459"/>
      <c r="HH10" s="459"/>
      <c r="HI10" s="460"/>
      <c r="HJ10" s="457">
        <v>33</v>
      </c>
      <c r="HK10" s="459"/>
      <c r="HL10" s="459"/>
      <c r="HM10" s="459"/>
      <c r="HN10" s="460"/>
      <c r="HO10" s="457">
        <v>34</v>
      </c>
      <c r="HP10" s="459"/>
      <c r="HQ10" s="459"/>
      <c r="HR10" s="459"/>
      <c r="HS10" s="460"/>
      <c r="HT10" s="457">
        <v>35</v>
      </c>
      <c r="HU10" s="459"/>
      <c r="HV10" s="459"/>
      <c r="HW10" s="459"/>
      <c r="HX10" s="460"/>
      <c r="HY10" s="457">
        <v>36</v>
      </c>
      <c r="HZ10" s="459"/>
      <c r="IA10" s="459"/>
      <c r="IB10" s="459"/>
      <c r="IC10" s="460"/>
      <c r="ID10" s="457" t="s">
        <v>9</v>
      </c>
      <c r="IE10" s="459"/>
      <c r="IF10" s="459"/>
      <c r="IG10" s="459"/>
      <c r="IH10" s="459"/>
      <c r="II10" s="460"/>
      <c r="IJ10" s="457">
        <v>37</v>
      </c>
      <c r="IK10" s="459"/>
      <c r="IL10" s="459"/>
      <c r="IM10" s="459"/>
      <c r="IN10" s="460"/>
      <c r="IO10" s="457">
        <v>38</v>
      </c>
      <c r="IP10" s="459"/>
      <c r="IQ10" s="459"/>
      <c r="IR10" s="459"/>
      <c r="IS10" s="460"/>
      <c r="IT10" s="457">
        <v>39</v>
      </c>
      <c r="IU10" s="459"/>
      <c r="IV10" s="459"/>
      <c r="IW10" s="459"/>
      <c r="IX10" s="460"/>
      <c r="IY10" s="457">
        <v>40</v>
      </c>
      <c r="IZ10" s="459"/>
      <c r="JA10" s="459"/>
      <c r="JB10" s="459"/>
      <c r="JC10" s="460"/>
      <c r="JD10" s="457" t="s">
        <v>9</v>
      </c>
      <c r="JE10" s="459"/>
      <c r="JF10" s="459"/>
      <c r="JG10" s="459"/>
      <c r="JH10" s="459"/>
      <c r="JI10" s="460"/>
      <c r="JJ10" s="457">
        <v>41</v>
      </c>
      <c r="JK10" s="459"/>
      <c r="JL10" s="459"/>
      <c r="JM10" s="459"/>
      <c r="JN10" s="460"/>
      <c r="JO10" s="457">
        <v>42</v>
      </c>
      <c r="JP10" s="459"/>
      <c r="JQ10" s="459"/>
      <c r="JR10" s="459"/>
      <c r="JS10" s="460"/>
      <c r="JT10" s="457">
        <v>43</v>
      </c>
      <c r="JU10" s="459"/>
      <c r="JV10" s="459"/>
      <c r="JW10" s="459"/>
      <c r="JX10" s="460"/>
      <c r="JY10" s="457">
        <v>44</v>
      </c>
      <c r="JZ10" s="459"/>
      <c r="KA10" s="459"/>
      <c r="KB10" s="459"/>
      <c r="KC10" s="460"/>
      <c r="KD10" s="457" t="s">
        <v>9</v>
      </c>
      <c r="KE10" s="459"/>
      <c r="KF10" s="459"/>
      <c r="KG10" s="459"/>
      <c r="KH10" s="459"/>
      <c r="KI10" s="460"/>
      <c r="KJ10" s="457">
        <v>45</v>
      </c>
      <c r="KK10" s="459"/>
      <c r="KL10" s="459"/>
      <c r="KM10" s="459"/>
      <c r="KN10" s="460"/>
      <c r="KO10" s="457">
        <v>46</v>
      </c>
      <c r="KP10" s="459"/>
      <c r="KQ10" s="459"/>
      <c r="KR10" s="459"/>
      <c r="KS10" s="460"/>
      <c r="KT10" s="457">
        <v>47</v>
      </c>
      <c r="KU10" s="459"/>
      <c r="KV10" s="459"/>
      <c r="KW10" s="459"/>
      <c r="KX10" s="460"/>
      <c r="KY10" s="457">
        <v>48</v>
      </c>
      <c r="KZ10" s="459"/>
      <c r="LA10" s="459"/>
      <c r="LB10" s="459"/>
      <c r="LC10" s="460"/>
      <c r="LD10" s="457" t="s">
        <v>9</v>
      </c>
      <c r="LE10" s="459"/>
      <c r="LF10" s="459"/>
      <c r="LG10" s="459"/>
      <c r="LH10" s="459"/>
      <c r="LI10" s="460"/>
      <c r="LJ10" s="457">
        <v>49</v>
      </c>
      <c r="LK10" s="459"/>
      <c r="LL10" s="459"/>
      <c r="LM10" s="459"/>
      <c r="LN10" s="460"/>
      <c r="LO10" s="457">
        <v>50</v>
      </c>
      <c r="LP10" s="459"/>
      <c r="LQ10" s="459"/>
      <c r="LR10" s="459"/>
      <c r="LS10" s="460"/>
      <c r="LT10" s="457">
        <v>51</v>
      </c>
      <c r="LU10" s="459"/>
      <c r="LV10" s="459"/>
      <c r="LW10" s="459"/>
      <c r="LX10" s="460"/>
      <c r="LY10" s="457">
        <v>52</v>
      </c>
      <c r="LZ10" s="459"/>
      <c r="MA10" s="459"/>
      <c r="MB10" s="459"/>
      <c r="MC10" s="460"/>
      <c r="MD10" s="457" t="s">
        <v>9</v>
      </c>
      <c r="ME10" s="459"/>
      <c r="MF10" s="459"/>
      <c r="MG10" s="459"/>
      <c r="MH10" s="459"/>
      <c r="MI10" s="460"/>
      <c r="MJ10" s="457">
        <v>53</v>
      </c>
      <c r="MK10" s="459"/>
      <c r="ML10" s="459"/>
      <c r="MM10" s="459"/>
      <c r="MN10" s="460"/>
      <c r="MO10" s="457">
        <v>54</v>
      </c>
      <c r="MP10" s="459"/>
      <c r="MQ10" s="459"/>
      <c r="MR10" s="459"/>
      <c r="MS10" s="460"/>
      <c r="MT10" s="457">
        <v>55</v>
      </c>
      <c r="MU10" s="459"/>
      <c r="MV10" s="459"/>
      <c r="MW10" s="459"/>
      <c r="MX10" s="460"/>
      <c r="MY10" s="618">
        <v>56</v>
      </c>
      <c r="MZ10" s="619"/>
      <c r="NA10" s="619"/>
      <c r="NB10" s="619"/>
      <c r="NC10" s="619"/>
      <c r="ND10" s="619"/>
      <c r="NE10" s="620"/>
      <c r="NF10" s="457" t="s">
        <v>9</v>
      </c>
      <c r="NG10" s="459"/>
      <c r="NH10" s="459"/>
      <c r="NI10" s="459"/>
      <c r="NJ10" s="459"/>
      <c r="NK10" s="460"/>
      <c r="NL10" s="457">
        <v>57</v>
      </c>
      <c r="NM10" s="459"/>
      <c r="NN10" s="459"/>
      <c r="NO10" s="459"/>
      <c r="NP10" s="460"/>
      <c r="NQ10" s="457">
        <v>58</v>
      </c>
      <c r="NR10" s="459"/>
      <c r="NS10" s="459"/>
      <c r="NT10" s="459"/>
      <c r="NU10" s="460"/>
      <c r="NV10" s="457">
        <v>59</v>
      </c>
      <c r="NW10" s="459"/>
      <c r="NX10" s="459"/>
      <c r="NY10" s="459"/>
      <c r="NZ10" s="460"/>
      <c r="OA10" s="618">
        <v>60</v>
      </c>
      <c r="OB10" s="619"/>
      <c r="OC10" s="619"/>
      <c r="OD10" s="619"/>
      <c r="OE10" s="619"/>
      <c r="OF10" s="619"/>
      <c r="OG10" s="620"/>
      <c r="OH10" s="457" t="s">
        <v>9</v>
      </c>
      <c r="OI10" s="459"/>
      <c r="OJ10" s="459"/>
      <c r="OK10" s="459"/>
      <c r="OL10" s="459"/>
      <c r="OM10" s="460"/>
      <c r="ON10" s="457">
        <v>61</v>
      </c>
      <c r="OO10" s="459"/>
      <c r="OP10" s="459"/>
      <c r="OQ10" s="459"/>
      <c r="OR10" s="460"/>
      <c r="OS10" s="457">
        <v>62</v>
      </c>
      <c r="OT10" s="459"/>
      <c r="OU10" s="459"/>
      <c r="OV10" s="459"/>
      <c r="OW10" s="460"/>
      <c r="OX10" s="457">
        <v>63</v>
      </c>
      <c r="OY10" s="459"/>
      <c r="OZ10" s="459"/>
      <c r="PA10" s="459"/>
      <c r="PB10" s="460"/>
      <c r="PC10" s="618">
        <v>64</v>
      </c>
      <c r="PD10" s="619"/>
      <c r="PE10" s="619"/>
      <c r="PF10" s="619"/>
      <c r="PG10" s="620"/>
      <c r="PH10" s="457" t="s">
        <v>9</v>
      </c>
      <c r="PI10" s="459"/>
      <c r="PJ10" s="459"/>
      <c r="PK10" s="459"/>
      <c r="PL10" s="459"/>
      <c r="PM10" s="460"/>
      <c r="PN10" s="457">
        <v>65</v>
      </c>
      <c r="PO10" s="459"/>
      <c r="PP10" s="459"/>
      <c r="PQ10" s="459"/>
      <c r="PR10" s="460"/>
      <c r="PS10" s="457">
        <v>66</v>
      </c>
      <c r="PT10" s="459"/>
      <c r="PU10" s="459"/>
      <c r="PV10" s="459"/>
      <c r="PW10" s="460"/>
      <c r="PX10" s="457">
        <v>67</v>
      </c>
      <c r="PY10" s="459"/>
      <c r="PZ10" s="459"/>
      <c r="QA10" s="459"/>
      <c r="QB10" s="460"/>
      <c r="QC10" s="618">
        <v>68</v>
      </c>
      <c r="QD10" s="619"/>
      <c r="QE10" s="619"/>
      <c r="QF10" s="619"/>
      <c r="QG10" s="620"/>
      <c r="QH10" s="457" t="s">
        <v>9</v>
      </c>
      <c r="QI10" s="459"/>
      <c r="QJ10" s="459"/>
      <c r="QK10" s="459"/>
      <c r="QL10" s="459"/>
      <c r="QM10" s="460"/>
      <c r="QN10" s="457">
        <v>69</v>
      </c>
      <c r="QO10" s="459"/>
      <c r="QP10" s="459"/>
      <c r="QQ10" s="459"/>
      <c r="QR10" s="460"/>
      <c r="QS10" s="457">
        <v>70</v>
      </c>
      <c r="QT10" s="459"/>
      <c r="QU10" s="459"/>
      <c r="QV10" s="459"/>
      <c r="QW10" s="460"/>
      <c r="QX10" s="457">
        <v>71</v>
      </c>
      <c r="QY10" s="459"/>
      <c r="QZ10" s="459"/>
      <c r="RA10" s="459"/>
      <c r="RB10" s="460"/>
      <c r="RC10" s="457">
        <v>72</v>
      </c>
      <c r="RD10" s="459"/>
      <c r="RE10" s="459"/>
      <c r="RF10" s="459"/>
      <c r="RG10" s="460"/>
      <c r="RH10" s="457" t="s">
        <v>9</v>
      </c>
      <c r="RI10" s="459"/>
      <c r="RJ10" s="459"/>
      <c r="RK10" s="459"/>
      <c r="RL10" s="459"/>
      <c r="RM10" s="460"/>
      <c r="RN10" s="457">
        <v>73</v>
      </c>
      <c r="RO10" s="459"/>
      <c r="RP10" s="459"/>
      <c r="RQ10" s="459"/>
      <c r="RR10" s="460"/>
      <c r="RS10" s="457">
        <v>74</v>
      </c>
      <c r="RT10" s="459"/>
      <c r="RU10" s="459"/>
      <c r="RV10" s="459"/>
      <c r="RW10" s="460"/>
      <c r="RX10" s="457">
        <v>75</v>
      </c>
      <c r="RY10" s="459"/>
      <c r="RZ10" s="459"/>
      <c r="SA10" s="459"/>
      <c r="SB10" s="460"/>
      <c r="SC10" s="457">
        <v>76</v>
      </c>
      <c r="SD10" s="459"/>
      <c r="SE10" s="459"/>
      <c r="SF10" s="459"/>
      <c r="SG10" s="460"/>
      <c r="SH10" s="457" t="s">
        <v>9</v>
      </c>
      <c r="SI10" s="459"/>
      <c r="SJ10" s="459"/>
      <c r="SK10" s="459"/>
      <c r="SL10" s="459"/>
      <c r="SM10" s="460"/>
      <c r="SN10" s="457">
        <v>77</v>
      </c>
      <c r="SO10" s="459"/>
      <c r="SP10" s="459"/>
      <c r="SQ10" s="459"/>
      <c r="SR10" s="460"/>
      <c r="SS10" s="457">
        <v>78</v>
      </c>
      <c r="ST10" s="459"/>
      <c r="SU10" s="459"/>
      <c r="SV10" s="459"/>
      <c r="SW10" s="460"/>
      <c r="SX10" s="457">
        <v>79</v>
      </c>
      <c r="SY10" s="459"/>
      <c r="SZ10" s="459"/>
      <c r="TA10" s="459"/>
      <c r="TB10" s="460"/>
      <c r="TC10" s="457">
        <v>80</v>
      </c>
      <c r="TD10" s="459"/>
      <c r="TE10" s="459"/>
      <c r="TF10" s="459"/>
      <c r="TG10" s="460"/>
      <c r="TH10" s="457" t="s">
        <v>9</v>
      </c>
      <c r="TI10" s="459"/>
      <c r="TJ10" s="459"/>
      <c r="TK10" s="459"/>
      <c r="TL10" s="459"/>
      <c r="TM10" s="460"/>
      <c r="TN10" s="457">
        <v>81</v>
      </c>
      <c r="TO10" s="459"/>
      <c r="TP10" s="459"/>
      <c r="TQ10" s="459"/>
      <c r="TR10" s="459"/>
      <c r="TS10" s="459"/>
      <c r="TT10" s="459"/>
      <c r="TU10" s="459"/>
      <c r="TV10" s="460"/>
      <c r="TW10" s="457">
        <v>82</v>
      </c>
      <c r="TX10" s="459"/>
      <c r="TY10" s="459"/>
      <c r="TZ10" s="459"/>
      <c r="UA10" s="460"/>
      <c r="UB10" s="457">
        <v>83</v>
      </c>
      <c r="UC10" s="459"/>
      <c r="UD10" s="459"/>
      <c r="UE10" s="459"/>
      <c r="UF10" s="460"/>
      <c r="UG10" s="461">
        <v>84</v>
      </c>
      <c r="UH10" s="461"/>
      <c r="UI10" s="461"/>
      <c r="UJ10" s="461"/>
      <c r="UK10" s="461"/>
      <c r="UL10" s="457" t="s">
        <v>9</v>
      </c>
      <c r="UM10" s="459"/>
      <c r="UN10" s="459"/>
      <c r="UO10" s="459"/>
      <c r="UP10" s="459"/>
      <c r="UQ10" s="460"/>
      <c r="UR10" s="457">
        <v>85</v>
      </c>
      <c r="US10" s="459"/>
      <c r="UT10" s="459"/>
      <c r="UU10" s="459"/>
      <c r="UV10" s="460"/>
      <c r="UW10" s="457">
        <v>86</v>
      </c>
      <c r="UX10" s="459"/>
      <c r="UY10" s="459"/>
      <c r="UZ10" s="459"/>
      <c r="VA10" s="460"/>
      <c r="VB10" s="457">
        <v>87</v>
      </c>
      <c r="VC10" s="459"/>
      <c r="VD10" s="459"/>
      <c r="VE10" s="459"/>
      <c r="VF10" s="460"/>
      <c r="VG10" s="457"/>
      <c r="VH10" s="459"/>
      <c r="VI10" s="459"/>
      <c r="VJ10" s="459"/>
      <c r="VK10" s="460"/>
      <c r="VL10" s="73"/>
      <c r="VM10" s="461"/>
      <c r="VN10" s="461"/>
      <c r="VO10" s="461"/>
      <c r="VP10" s="461"/>
      <c r="VQ10" s="301"/>
      <c r="VR10" s="73"/>
    </row>
    <row r="11" spans="1:590" ht="45" customHeight="1" x14ac:dyDescent="0.4">
      <c r="A11" s="554" t="s">
        <v>14</v>
      </c>
      <c r="B11" s="512" t="s">
        <v>13</v>
      </c>
      <c r="C11" s="458"/>
      <c r="D11" s="458"/>
      <c r="E11" s="458"/>
      <c r="F11" s="465"/>
      <c r="G11" s="614" t="s">
        <v>514</v>
      </c>
      <c r="H11" s="615"/>
      <c r="I11" s="615"/>
      <c r="J11" s="616"/>
      <c r="K11" s="8" t="s">
        <v>518</v>
      </c>
      <c r="L11" s="614" t="s">
        <v>517</v>
      </c>
      <c r="M11" s="615"/>
      <c r="N11" s="615"/>
      <c r="O11" s="616"/>
      <c r="P11" s="8" t="s">
        <v>525</v>
      </c>
      <c r="Q11" s="614" t="s">
        <v>522</v>
      </c>
      <c r="R11" s="615"/>
      <c r="S11" s="615"/>
      <c r="T11" s="616"/>
      <c r="U11" s="8" t="s">
        <v>527</v>
      </c>
      <c r="V11" s="614" t="s">
        <v>523</v>
      </c>
      <c r="W11" s="615"/>
      <c r="X11" s="615"/>
      <c r="Y11" s="616"/>
      <c r="Z11" s="8" t="s">
        <v>529</v>
      </c>
      <c r="AA11" s="554" t="s">
        <v>14</v>
      </c>
      <c r="AB11" s="512" t="s">
        <v>13</v>
      </c>
      <c r="AC11" s="458"/>
      <c r="AD11" s="458"/>
      <c r="AE11" s="458"/>
      <c r="AF11" s="465"/>
      <c r="AG11" s="614" t="s">
        <v>524</v>
      </c>
      <c r="AH11" s="615"/>
      <c r="AI11" s="615"/>
      <c r="AJ11" s="616"/>
      <c r="AK11" s="8" t="s">
        <v>533</v>
      </c>
      <c r="AL11" s="614" t="s">
        <v>531</v>
      </c>
      <c r="AM11" s="615"/>
      <c r="AN11" s="615"/>
      <c r="AO11" s="616"/>
      <c r="AP11" s="8" t="s">
        <v>537</v>
      </c>
      <c r="AQ11" s="614" t="s">
        <v>534</v>
      </c>
      <c r="AR11" s="615"/>
      <c r="AS11" s="615"/>
      <c r="AT11" s="616"/>
      <c r="AU11" s="8" t="s">
        <v>538</v>
      </c>
      <c r="AV11" s="614" t="s">
        <v>536</v>
      </c>
      <c r="AW11" s="615"/>
      <c r="AX11" s="615"/>
      <c r="AY11" s="616"/>
      <c r="AZ11" s="8" t="s">
        <v>540</v>
      </c>
      <c r="BA11" s="554" t="s">
        <v>14</v>
      </c>
      <c r="BB11" s="512" t="s">
        <v>13</v>
      </c>
      <c r="BC11" s="458"/>
      <c r="BD11" s="458"/>
      <c r="BE11" s="458"/>
      <c r="BF11" s="465"/>
      <c r="BG11" s="614" t="s">
        <v>539</v>
      </c>
      <c r="BH11" s="615"/>
      <c r="BI11" s="615"/>
      <c r="BJ11" s="616"/>
      <c r="BK11" s="8" t="s">
        <v>541</v>
      </c>
      <c r="BL11" s="614" t="s">
        <v>542</v>
      </c>
      <c r="BM11" s="615"/>
      <c r="BN11" s="615"/>
      <c r="BO11" s="616"/>
      <c r="BP11" s="8" t="s">
        <v>544</v>
      </c>
      <c r="BQ11" s="614" t="s">
        <v>543</v>
      </c>
      <c r="BR11" s="615"/>
      <c r="BS11" s="615"/>
      <c r="BT11" s="616"/>
      <c r="BU11" s="8" t="s">
        <v>546</v>
      </c>
      <c r="BV11" s="614" t="s">
        <v>547</v>
      </c>
      <c r="BW11" s="615"/>
      <c r="BX11" s="615"/>
      <c r="BY11" s="616"/>
      <c r="BZ11" s="8" t="s">
        <v>549</v>
      </c>
      <c r="CA11" s="554" t="s">
        <v>14</v>
      </c>
      <c r="CB11" s="512" t="s">
        <v>13</v>
      </c>
      <c r="CC11" s="458"/>
      <c r="CD11" s="458"/>
      <c r="CE11" s="458"/>
      <c r="CF11" s="465"/>
      <c r="CG11" s="614" t="s">
        <v>553</v>
      </c>
      <c r="CH11" s="615"/>
      <c r="CI11" s="615"/>
      <c r="CJ11" s="616"/>
      <c r="CK11" s="8" t="s">
        <v>550</v>
      </c>
      <c r="CL11" s="614" t="s">
        <v>554</v>
      </c>
      <c r="CM11" s="615"/>
      <c r="CN11" s="615"/>
      <c r="CO11" s="616"/>
      <c r="CP11" s="8" t="s">
        <v>551</v>
      </c>
      <c r="CQ11" s="614" t="s">
        <v>555</v>
      </c>
      <c r="CR11" s="615"/>
      <c r="CS11" s="615"/>
      <c r="CT11" s="616"/>
      <c r="CU11" s="8" t="s">
        <v>552</v>
      </c>
      <c r="CV11" s="614" t="s">
        <v>556</v>
      </c>
      <c r="CW11" s="615"/>
      <c r="CX11" s="615"/>
      <c r="CY11" s="616"/>
      <c r="CZ11" s="614" t="s">
        <v>558</v>
      </c>
      <c r="DA11" s="615"/>
      <c r="DB11" s="615"/>
      <c r="DC11" s="616"/>
      <c r="DD11" s="554" t="s">
        <v>14</v>
      </c>
      <c r="DE11" s="512" t="s">
        <v>13</v>
      </c>
      <c r="DF11" s="458"/>
      <c r="DG11" s="458"/>
      <c r="DH11" s="458"/>
      <c r="DI11" s="465"/>
      <c r="DJ11" s="614" t="s">
        <v>557</v>
      </c>
      <c r="DK11" s="615"/>
      <c r="DL11" s="615"/>
      <c r="DM11" s="616"/>
      <c r="DN11" s="8" t="s">
        <v>561</v>
      </c>
      <c r="DO11" s="614" t="s">
        <v>562</v>
      </c>
      <c r="DP11" s="615"/>
      <c r="DQ11" s="615"/>
      <c r="DR11" s="616"/>
      <c r="DS11" s="8" t="s">
        <v>568</v>
      </c>
      <c r="DT11" s="614" t="s">
        <v>563</v>
      </c>
      <c r="DU11" s="615"/>
      <c r="DV11" s="615"/>
      <c r="DW11" s="616"/>
      <c r="DX11" s="8" t="s">
        <v>569</v>
      </c>
      <c r="DY11" s="614" t="s">
        <v>564</v>
      </c>
      <c r="DZ11" s="615"/>
      <c r="EA11" s="615"/>
      <c r="EB11" s="616"/>
      <c r="EC11" s="8" t="s">
        <v>571</v>
      </c>
      <c r="ED11" s="554" t="s">
        <v>14</v>
      </c>
      <c r="EE11" s="512" t="s">
        <v>13</v>
      </c>
      <c r="EF11" s="458"/>
      <c r="EG11" s="458"/>
      <c r="EH11" s="458"/>
      <c r="EI11" s="465"/>
      <c r="EJ11" s="614" t="s">
        <v>566</v>
      </c>
      <c r="EK11" s="615"/>
      <c r="EL11" s="615"/>
      <c r="EM11" s="616"/>
      <c r="EN11" s="8" t="s">
        <v>573</v>
      </c>
      <c r="EO11" s="614" t="s">
        <v>567</v>
      </c>
      <c r="EP11" s="615"/>
      <c r="EQ11" s="615"/>
      <c r="ER11" s="616"/>
      <c r="ES11" s="8" t="s">
        <v>576</v>
      </c>
      <c r="ET11" s="614" t="s">
        <v>574</v>
      </c>
      <c r="EU11" s="615"/>
      <c r="EV11" s="615"/>
      <c r="EW11" s="616"/>
      <c r="EX11" s="8" t="s">
        <v>577</v>
      </c>
      <c r="EY11" s="468" t="s">
        <v>575</v>
      </c>
      <c r="EZ11" s="469"/>
      <c r="FA11" s="469"/>
      <c r="FB11" s="470"/>
      <c r="FC11" s="8" t="s">
        <v>581</v>
      </c>
      <c r="FD11" s="554" t="s">
        <v>14</v>
      </c>
      <c r="FE11" s="512" t="s">
        <v>13</v>
      </c>
      <c r="FF11" s="458"/>
      <c r="FG11" s="458"/>
      <c r="FH11" s="458"/>
      <c r="FI11" s="465"/>
      <c r="FJ11" s="468" t="s">
        <v>578</v>
      </c>
      <c r="FK11" s="469"/>
      <c r="FL11" s="469"/>
      <c r="FM11" s="470"/>
      <c r="FN11" s="8" t="s">
        <v>579</v>
      </c>
      <c r="FO11" s="468" t="s">
        <v>580</v>
      </c>
      <c r="FP11" s="469"/>
      <c r="FQ11" s="469"/>
      <c r="FR11" s="470"/>
      <c r="FS11" s="8" t="s">
        <v>582</v>
      </c>
      <c r="FT11" s="468" t="s">
        <v>585</v>
      </c>
      <c r="FU11" s="469"/>
      <c r="FV11" s="469"/>
      <c r="FW11" s="470"/>
      <c r="FX11" s="8" t="s">
        <v>584</v>
      </c>
      <c r="FY11" s="468" t="s">
        <v>586</v>
      </c>
      <c r="FZ11" s="469"/>
      <c r="GA11" s="469"/>
      <c r="GB11" s="470"/>
      <c r="GC11" s="8" t="s">
        <v>590</v>
      </c>
      <c r="GD11" s="554" t="s">
        <v>14</v>
      </c>
      <c r="GE11" s="512" t="s">
        <v>13</v>
      </c>
      <c r="GF11" s="458"/>
      <c r="GG11" s="458"/>
      <c r="GH11" s="458"/>
      <c r="GI11" s="465"/>
      <c r="GJ11" s="468" t="s">
        <v>587</v>
      </c>
      <c r="GK11" s="469"/>
      <c r="GL11" s="469"/>
      <c r="GM11" s="470"/>
      <c r="GN11" s="8" t="s">
        <v>591</v>
      </c>
      <c r="GO11" s="468" t="s">
        <v>588</v>
      </c>
      <c r="GP11" s="469"/>
      <c r="GQ11" s="469"/>
      <c r="GR11" s="470"/>
      <c r="GS11" s="8" t="s">
        <v>594</v>
      </c>
      <c r="GT11" s="468" t="s">
        <v>589</v>
      </c>
      <c r="GU11" s="469"/>
      <c r="GV11" s="469"/>
      <c r="GW11" s="470"/>
      <c r="GX11" s="8" t="s">
        <v>596</v>
      </c>
      <c r="GY11" s="468" t="s">
        <v>593</v>
      </c>
      <c r="GZ11" s="469"/>
      <c r="HA11" s="469"/>
      <c r="HB11" s="470"/>
      <c r="HC11" s="8" t="s">
        <v>598</v>
      </c>
      <c r="HD11" s="554" t="s">
        <v>14</v>
      </c>
      <c r="HE11" s="512" t="s">
        <v>13</v>
      </c>
      <c r="HF11" s="458"/>
      <c r="HG11" s="458"/>
      <c r="HH11" s="458"/>
      <c r="HI11" s="465"/>
      <c r="HJ11" s="468" t="s">
        <v>595</v>
      </c>
      <c r="HK11" s="469"/>
      <c r="HL11" s="469"/>
      <c r="HM11" s="470"/>
      <c r="HN11" s="8" t="s">
        <v>599</v>
      </c>
      <c r="HO11" s="468" t="s">
        <v>597</v>
      </c>
      <c r="HP11" s="469"/>
      <c r="HQ11" s="469"/>
      <c r="HR11" s="470"/>
      <c r="HS11" s="8" t="s">
        <v>601</v>
      </c>
      <c r="HT11" s="468" t="s">
        <v>600</v>
      </c>
      <c r="HU11" s="469"/>
      <c r="HV11" s="469"/>
      <c r="HW11" s="470"/>
      <c r="HX11" s="8" t="s">
        <v>603</v>
      </c>
      <c r="HY11" s="468" t="s">
        <v>602</v>
      </c>
      <c r="HZ11" s="469"/>
      <c r="IA11" s="469"/>
      <c r="IB11" s="470"/>
      <c r="IC11" s="8" t="s">
        <v>605</v>
      </c>
      <c r="ID11" s="554" t="s">
        <v>14</v>
      </c>
      <c r="IE11" s="512" t="s">
        <v>13</v>
      </c>
      <c r="IF11" s="458"/>
      <c r="IG11" s="458"/>
      <c r="IH11" s="458"/>
      <c r="II11" s="465"/>
      <c r="IJ11" s="468" t="s">
        <v>604</v>
      </c>
      <c r="IK11" s="469"/>
      <c r="IL11" s="469"/>
      <c r="IM11" s="470"/>
      <c r="IN11" s="8" t="s">
        <v>606</v>
      </c>
      <c r="IO11" s="468" t="s">
        <v>607</v>
      </c>
      <c r="IP11" s="469"/>
      <c r="IQ11" s="469"/>
      <c r="IR11" s="470"/>
      <c r="IS11" s="8" t="s">
        <v>608</v>
      </c>
      <c r="IT11" s="468" t="s">
        <v>609</v>
      </c>
      <c r="IU11" s="469"/>
      <c r="IV11" s="469"/>
      <c r="IW11" s="470"/>
      <c r="IX11" s="8" t="s">
        <v>612</v>
      </c>
      <c r="IY11" s="468" t="s">
        <v>610</v>
      </c>
      <c r="IZ11" s="469"/>
      <c r="JA11" s="469"/>
      <c r="JB11" s="470"/>
      <c r="JC11" s="8" t="s">
        <v>614</v>
      </c>
      <c r="JD11" s="554" t="s">
        <v>14</v>
      </c>
      <c r="JE11" s="512" t="s">
        <v>13</v>
      </c>
      <c r="JF11" s="458"/>
      <c r="JG11" s="458"/>
      <c r="JH11" s="458"/>
      <c r="JI11" s="465"/>
      <c r="JJ11" s="468" t="s">
        <v>611</v>
      </c>
      <c r="JK11" s="469"/>
      <c r="JL11" s="469"/>
      <c r="JM11" s="470"/>
      <c r="JN11" s="8" t="s">
        <v>616</v>
      </c>
      <c r="JO11" s="468" t="s">
        <v>613</v>
      </c>
      <c r="JP11" s="469"/>
      <c r="JQ11" s="469"/>
      <c r="JR11" s="470"/>
      <c r="JS11" s="8" t="s">
        <v>617</v>
      </c>
      <c r="JT11" s="468" t="s">
        <v>615</v>
      </c>
      <c r="JU11" s="469"/>
      <c r="JV11" s="469"/>
      <c r="JW11" s="470"/>
      <c r="JX11" s="8" t="s">
        <v>620</v>
      </c>
      <c r="JY11" s="614" t="s">
        <v>618</v>
      </c>
      <c r="JZ11" s="615"/>
      <c r="KA11" s="615"/>
      <c r="KB11" s="616"/>
      <c r="KC11" s="8" t="s">
        <v>621</v>
      </c>
      <c r="KD11" s="554" t="s">
        <v>14</v>
      </c>
      <c r="KE11" s="512" t="s">
        <v>13</v>
      </c>
      <c r="KF11" s="458"/>
      <c r="KG11" s="458"/>
      <c r="KH11" s="458"/>
      <c r="KI11" s="465"/>
      <c r="KJ11" s="614" t="s">
        <v>619</v>
      </c>
      <c r="KK11" s="615"/>
      <c r="KL11" s="615"/>
      <c r="KM11" s="616"/>
      <c r="KN11" s="8" t="s">
        <v>622</v>
      </c>
      <c r="KO11" s="614" t="s">
        <v>623</v>
      </c>
      <c r="KP11" s="615"/>
      <c r="KQ11" s="615"/>
      <c r="KR11" s="616"/>
      <c r="KS11" s="8" t="s">
        <v>625</v>
      </c>
      <c r="KT11" s="614" t="s">
        <v>627</v>
      </c>
      <c r="KU11" s="615"/>
      <c r="KV11" s="615"/>
      <c r="KW11" s="616"/>
      <c r="KX11" s="8" t="s">
        <v>630</v>
      </c>
      <c r="KY11" s="614" t="s">
        <v>628</v>
      </c>
      <c r="KZ11" s="615"/>
      <c r="LA11" s="615"/>
      <c r="LB11" s="616"/>
      <c r="LC11" s="8" t="s">
        <v>631</v>
      </c>
      <c r="LD11" s="554" t="s">
        <v>14</v>
      </c>
      <c r="LE11" s="512" t="s">
        <v>13</v>
      </c>
      <c r="LF11" s="458"/>
      <c r="LG11" s="458"/>
      <c r="LH11" s="458"/>
      <c r="LI11" s="465"/>
      <c r="LJ11" s="614" t="s">
        <v>629</v>
      </c>
      <c r="LK11" s="615"/>
      <c r="LL11" s="615"/>
      <c r="LM11" s="616"/>
      <c r="LN11" s="8" t="s">
        <v>632</v>
      </c>
      <c r="LO11" s="614" t="s">
        <v>634</v>
      </c>
      <c r="LP11" s="615"/>
      <c r="LQ11" s="615"/>
      <c r="LR11" s="616"/>
      <c r="LS11" s="8" t="s">
        <v>636</v>
      </c>
      <c r="LT11" s="614" t="s">
        <v>635</v>
      </c>
      <c r="LU11" s="615"/>
      <c r="LV11" s="615"/>
      <c r="LW11" s="616"/>
      <c r="LX11" s="8" t="s">
        <v>637</v>
      </c>
      <c r="LY11" s="614" t="s">
        <v>639</v>
      </c>
      <c r="LZ11" s="615"/>
      <c r="MA11" s="615"/>
      <c r="MB11" s="616"/>
      <c r="MC11" s="8" t="s">
        <v>641</v>
      </c>
      <c r="MD11" s="554" t="s">
        <v>14</v>
      </c>
      <c r="ME11" s="512" t="s">
        <v>13</v>
      </c>
      <c r="MF11" s="458"/>
      <c r="MG11" s="458"/>
      <c r="MH11" s="458"/>
      <c r="MI11" s="465"/>
      <c r="MJ11" s="614" t="s">
        <v>642</v>
      </c>
      <c r="MK11" s="615"/>
      <c r="ML11" s="615"/>
      <c r="MM11" s="616"/>
      <c r="MN11" s="8" t="s">
        <v>643</v>
      </c>
      <c r="MO11" s="614" t="s">
        <v>644</v>
      </c>
      <c r="MP11" s="615"/>
      <c r="MQ11" s="615"/>
      <c r="MR11" s="616"/>
      <c r="MS11" s="8" t="s">
        <v>646</v>
      </c>
      <c r="MT11" s="614" t="s">
        <v>645</v>
      </c>
      <c r="MU11" s="615"/>
      <c r="MV11" s="615"/>
      <c r="MW11" s="616"/>
      <c r="MX11" s="8" t="s">
        <v>647</v>
      </c>
      <c r="MY11" s="614" t="s">
        <v>649</v>
      </c>
      <c r="MZ11" s="615"/>
      <c r="NA11" s="615"/>
      <c r="NB11" s="616"/>
      <c r="NC11" s="305"/>
      <c r="ND11" s="318"/>
      <c r="NE11" s="8" t="s">
        <v>651</v>
      </c>
      <c r="NF11" s="554" t="s">
        <v>14</v>
      </c>
      <c r="NG11" s="512" t="s">
        <v>13</v>
      </c>
      <c r="NH11" s="458"/>
      <c r="NI11" s="458"/>
      <c r="NJ11" s="458"/>
      <c r="NK11" s="465"/>
      <c r="NL11" s="614" t="s">
        <v>652</v>
      </c>
      <c r="NM11" s="615"/>
      <c r="NN11" s="615"/>
      <c r="NO11" s="616"/>
      <c r="NP11" s="8" t="s">
        <v>653</v>
      </c>
      <c r="NQ11" s="614" t="s">
        <v>654</v>
      </c>
      <c r="NR11" s="615"/>
      <c r="NS11" s="615"/>
      <c r="NT11" s="616"/>
      <c r="NU11" s="8" t="s">
        <v>655</v>
      </c>
      <c r="NV11" s="614" t="s">
        <v>657</v>
      </c>
      <c r="NW11" s="615"/>
      <c r="NX11" s="615"/>
      <c r="NY11" s="616"/>
      <c r="NZ11" s="8" t="s">
        <v>659</v>
      </c>
      <c r="OA11" s="614" t="s">
        <v>660</v>
      </c>
      <c r="OB11" s="615"/>
      <c r="OC11" s="615"/>
      <c r="OD11" s="616"/>
      <c r="OE11" s="329"/>
      <c r="OF11" s="329"/>
      <c r="OG11" s="8" t="s">
        <v>661</v>
      </c>
      <c r="OH11" s="554" t="s">
        <v>14</v>
      </c>
      <c r="OI11" s="512" t="s">
        <v>13</v>
      </c>
      <c r="OJ11" s="458"/>
      <c r="OK11" s="458"/>
      <c r="OL11" s="458"/>
      <c r="OM11" s="465"/>
      <c r="ON11" s="614" t="s">
        <v>662</v>
      </c>
      <c r="OO11" s="615"/>
      <c r="OP11" s="615"/>
      <c r="OQ11" s="616"/>
      <c r="OR11" s="8" t="s">
        <v>664</v>
      </c>
      <c r="OS11" s="614" t="s">
        <v>665</v>
      </c>
      <c r="OT11" s="615"/>
      <c r="OU11" s="615"/>
      <c r="OV11" s="616"/>
      <c r="OW11" s="8" t="s">
        <v>666</v>
      </c>
      <c r="OX11" s="614" t="s">
        <v>667</v>
      </c>
      <c r="OY11" s="615"/>
      <c r="OZ11" s="615"/>
      <c r="PA11" s="616"/>
      <c r="PB11" s="8" t="s">
        <v>670</v>
      </c>
      <c r="PC11" s="614" t="s">
        <v>671</v>
      </c>
      <c r="PD11" s="615"/>
      <c r="PE11" s="615"/>
      <c r="PF11" s="616"/>
      <c r="PG11" s="8" t="s">
        <v>674</v>
      </c>
      <c r="PH11" s="554" t="s">
        <v>14</v>
      </c>
      <c r="PI11" s="512" t="s">
        <v>13</v>
      </c>
      <c r="PJ11" s="458"/>
      <c r="PK11" s="458"/>
      <c r="PL11" s="458"/>
      <c r="PM11" s="465"/>
      <c r="PN11" s="468" t="s">
        <v>675</v>
      </c>
      <c r="PO11" s="469"/>
      <c r="PP11" s="469"/>
      <c r="PQ11" s="470"/>
      <c r="PR11" s="354">
        <v>44249</v>
      </c>
      <c r="PS11" s="468" t="s">
        <v>676</v>
      </c>
      <c r="PT11" s="469"/>
      <c r="PU11" s="469"/>
      <c r="PV11" s="470"/>
      <c r="PW11" s="354">
        <v>44250</v>
      </c>
      <c r="PX11" s="468">
        <v>44250</v>
      </c>
      <c r="PY11" s="469"/>
      <c r="PZ11" s="469"/>
      <c r="QA11" s="470"/>
      <c r="QB11" s="354">
        <v>44251</v>
      </c>
      <c r="QC11" s="468">
        <v>44255</v>
      </c>
      <c r="QD11" s="469"/>
      <c r="QE11" s="469"/>
      <c r="QF11" s="470"/>
      <c r="QG11" s="354">
        <v>44256</v>
      </c>
      <c r="QH11" s="554" t="s">
        <v>14</v>
      </c>
      <c r="QI11" s="512" t="s">
        <v>13</v>
      </c>
      <c r="QJ11" s="458"/>
      <c r="QK11" s="458"/>
      <c r="QL11" s="458"/>
      <c r="QM11" s="465"/>
      <c r="QN11" s="468">
        <v>44257</v>
      </c>
      <c r="QO11" s="469"/>
      <c r="QP11" s="469"/>
      <c r="QQ11" s="470"/>
      <c r="QR11" s="354">
        <v>44258</v>
      </c>
      <c r="QS11" s="468">
        <v>44262</v>
      </c>
      <c r="QT11" s="469"/>
      <c r="QU11" s="469"/>
      <c r="QV11" s="470"/>
      <c r="QW11" s="354">
        <v>44263</v>
      </c>
      <c r="QX11" s="468">
        <v>44264</v>
      </c>
      <c r="QY11" s="469"/>
      <c r="QZ11" s="469"/>
      <c r="RA11" s="470"/>
      <c r="RB11" s="354">
        <v>44265</v>
      </c>
      <c r="RC11" s="468">
        <v>44265</v>
      </c>
      <c r="RD11" s="469"/>
      <c r="RE11" s="469"/>
      <c r="RF11" s="470"/>
      <c r="RG11" s="354">
        <v>44266</v>
      </c>
      <c r="RH11" s="554" t="s">
        <v>14</v>
      </c>
      <c r="RI11" s="512" t="s">
        <v>13</v>
      </c>
      <c r="RJ11" s="458"/>
      <c r="RK11" s="458"/>
      <c r="RL11" s="458"/>
      <c r="RM11" s="465"/>
      <c r="RN11" s="468">
        <v>44267</v>
      </c>
      <c r="RO11" s="469"/>
      <c r="RP11" s="469"/>
      <c r="RQ11" s="470"/>
      <c r="RR11" s="354">
        <v>44268</v>
      </c>
      <c r="RS11" s="468">
        <v>44268</v>
      </c>
      <c r="RT11" s="469"/>
      <c r="RU11" s="469"/>
      <c r="RV11" s="470"/>
      <c r="RW11" s="354">
        <v>44269</v>
      </c>
      <c r="RX11" s="468">
        <v>44269</v>
      </c>
      <c r="RY11" s="469"/>
      <c r="RZ11" s="469"/>
      <c r="SA11" s="470"/>
      <c r="SB11" s="354">
        <v>44270</v>
      </c>
      <c r="SC11" s="468">
        <v>44271</v>
      </c>
      <c r="SD11" s="469"/>
      <c r="SE11" s="469"/>
      <c r="SF11" s="470"/>
      <c r="SG11" s="354">
        <v>44272</v>
      </c>
      <c r="SH11" s="554" t="s">
        <v>14</v>
      </c>
      <c r="SI11" s="512" t="s">
        <v>13</v>
      </c>
      <c r="SJ11" s="458"/>
      <c r="SK11" s="458"/>
      <c r="SL11" s="458"/>
      <c r="SM11" s="465"/>
      <c r="SN11" s="468">
        <v>44272</v>
      </c>
      <c r="SO11" s="469"/>
      <c r="SP11" s="469"/>
      <c r="SQ11" s="470"/>
      <c r="SR11" s="354">
        <v>44273</v>
      </c>
      <c r="SS11" s="468">
        <v>44273</v>
      </c>
      <c r="ST11" s="469"/>
      <c r="SU11" s="469"/>
      <c r="SV11" s="470"/>
      <c r="SW11" s="354">
        <v>44274</v>
      </c>
      <c r="SX11" s="468">
        <v>44276</v>
      </c>
      <c r="SY11" s="469"/>
      <c r="SZ11" s="469"/>
      <c r="TA11" s="470"/>
      <c r="TB11" s="354">
        <v>44277</v>
      </c>
      <c r="TC11" s="468">
        <v>44277</v>
      </c>
      <c r="TD11" s="469"/>
      <c r="TE11" s="469"/>
      <c r="TF11" s="470"/>
      <c r="TG11" s="354">
        <v>44278</v>
      </c>
      <c r="TH11" s="554" t="s">
        <v>14</v>
      </c>
      <c r="TI11" s="512" t="s">
        <v>13</v>
      </c>
      <c r="TJ11" s="458"/>
      <c r="TK11" s="458"/>
      <c r="TL11" s="458"/>
      <c r="TM11" s="465"/>
      <c r="TN11" s="468">
        <v>44278</v>
      </c>
      <c r="TO11" s="469"/>
      <c r="TP11" s="469"/>
      <c r="TQ11" s="470"/>
      <c r="TR11" s="354">
        <v>44279</v>
      </c>
      <c r="TS11" s="639">
        <v>44279</v>
      </c>
      <c r="TT11" s="640"/>
      <c r="TU11" s="640"/>
      <c r="TV11" s="641"/>
      <c r="TW11" s="468">
        <v>44279</v>
      </c>
      <c r="TX11" s="469"/>
      <c r="TY11" s="469"/>
      <c r="TZ11" s="470"/>
      <c r="UA11" s="354">
        <v>44280</v>
      </c>
      <c r="UB11" s="468">
        <v>44280</v>
      </c>
      <c r="UC11" s="469"/>
      <c r="UD11" s="469"/>
      <c r="UE11" s="470"/>
      <c r="UF11" s="354">
        <v>44281</v>
      </c>
      <c r="UG11" s="468">
        <v>44281</v>
      </c>
      <c r="UH11" s="469"/>
      <c r="UI11" s="469"/>
      <c r="UJ11" s="470"/>
      <c r="UK11" s="354">
        <v>44282</v>
      </c>
      <c r="UL11" s="554" t="s">
        <v>14</v>
      </c>
      <c r="UM11" s="512" t="s">
        <v>13</v>
      </c>
      <c r="UN11" s="458"/>
      <c r="UO11" s="458"/>
      <c r="UP11" s="458"/>
      <c r="UQ11" s="465"/>
      <c r="UR11" s="468">
        <v>44282</v>
      </c>
      <c r="US11" s="469"/>
      <c r="UT11" s="469"/>
      <c r="UU11" s="470"/>
      <c r="UV11" s="354">
        <v>44283</v>
      </c>
      <c r="UW11" s="468">
        <v>44283</v>
      </c>
      <c r="UX11" s="469"/>
      <c r="UY11" s="469"/>
      <c r="UZ11" s="470"/>
      <c r="VA11" s="354">
        <v>44284</v>
      </c>
      <c r="VB11" s="468">
        <v>44285</v>
      </c>
      <c r="VC11" s="469"/>
      <c r="VD11" s="469"/>
      <c r="VE11" s="470"/>
      <c r="VF11" s="354">
        <v>44286</v>
      </c>
      <c r="VG11" s="468"/>
      <c r="VH11" s="469"/>
      <c r="VI11" s="469"/>
      <c r="VJ11" s="470"/>
      <c r="VK11" s="354"/>
      <c r="VL11" s="354"/>
      <c r="VM11" s="614"/>
      <c r="VN11" s="615"/>
      <c r="VO11" s="615"/>
      <c r="VP11" s="616"/>
      <c r="VQ11" s="8"/>
      <c r="VR11" s="8"/>
    </row>
    <row r="12" spans="1:590" ht="45" customHeight="1" x14ac:dyDescent="0.4">
      <c r="A12" s="479"/>
      <c r="B12" s="528"/>
      <c r="C12" s="466"/>
      <c r="D12" s="466"/>
      <c r="E12" s="466"/>
      <c r="F12" s="467"/>
      <c r="G12" s="471" t="s">
        <v>10</v>
      </c>
      <c r="H12" s="472"/>
      <c r="I12" s="472"/>
      <c r="J12" s="473"/>
      <c r="K12" s="80" t="s">
        <v>519</v>
      </c>
      <c r="L12" s="471" t="s">
        <v>10</v>
      </c>
      <c r="M12" s="472"/>
      <c r="N12" s="472"/>
      <c r="O12" s="473"/>
      <c r="P12" s="80" t="s">
        <v>519</v>
      </c>
      <c r="Q12" s="471" t="s">
        <v>10</v>
      </c>
      <c r="R12" s="472"/>
      <c r="S12" s="472"/>
      <c r="T12" s="473"/>
      <c r="U12" s="80" t="s">
        <v>519</v>
      </c>
      <c r="V12" s="471" t="s">
        <v>10</v>
      </c>
      <c r="W12" s="472"/>
      <c r="X12" s="472"/>
      <c r="Y12" s="473"/>
      <c r="Z12" s="80" t="s">
        <v>519</v>
      </c>
      <c r="AA12" s="479"/>
      <c r="AB12" s="528"/>
      <c r="AC12" s="466"/>
      <c r="AD12" s="466"/>
      <c r="AE12" s="466"/>
      <c r="AF12" s="467"/>
      <c r="AG12" s="471" t="s">
        <v>10</v>
      </c>
      <c r="AH12" s="472"/>
      <c r="AI12" s="472"/>
      <c r="AJ12" s="473"/>
      <c r="AK12" s="80" t="s">
        <v>519</v>
      </c>
      <c r="AL12" s="471" t="s">
        <v>10</v>
      </c>
      <c r="AM12" s="472"/>
      <c r="AN12" s="472"/>
      <c r="AO12" s="473"/>
      <c r="AP12" s="80" t="s">
        <v>519</v>
      </c>
      <c r="AQ12" s="471" t="s">
        <v>10</v>
      </c>
      <c r="AR12" s="472"/>
      <c r="AS12" s="472"/>
      <c r="AT12" s="473"/>
      <c r="AU12" s="80" t="s">
        <v>519</v>
      </c>
      <c r="AV12" s="471" t="s">
        <v>10</v>
      </c>
      <c r="AW12" s="472"/>
      <c r="AX12" s="472"/>
      <c r="AY12" s="473"/>
      <c r="AZ12" s="80" t="s">
        <v>519</v>
      </c>
      <c r="BA12" s="479"/>
      <c r="BB12" s="528"/>
      <c r="BC12" s="466"/>
      <c r="BD12" s="466"/>
      <c r="BE12" s="466"/>
      <c r="BF12" s="467"/>
      <c r="BG12" s="471" t="s">
        <v>10</v>
      </c>
      <c r="BH12" s="472"/>
      <c r="BI12" s="472"/>
      <c r="BJ12" s="473"/>
      <c r="BK12" s="80" t="s">
        <v>519</v>
      </c>
      <c r="BL12" s="471" t="s">
        <v>413</v>
      </c>
      <c r="BM12" s="472"/>
      <c r="BN12" s="472"/>
      <c r="BO12" s="473"/>
      <c r="BP12" s="80" t="s">
        <v>519</v>
      </c>
      <c r="BQ12" s="471" t="s">
        <v>10</v>
      </c>
      <c r="BR12" s="472"/>
      <c r="BS12" s="472"/>
      <c r="BT12" s="473"/>
      <c r="BU12" s="80" t="s">
        <v>511</v>
      </c>
      <c r="BV12" s="471" t="s">
        <v>413</v>
      </c>
      <c r="BW12" s="472"/>
      <c r="BX12" s="472"/>
      <c r="BY12" s="473"/>
      <c r="BZ12" s="80" t="s">
        <v>519</v>
      </c>
      <c r="CA12" s="479"/>
      <c r="CB12" s="528"/>
      <c r="CC12" s="466"/>
      <c r="CD12" s="466"/>
      <c r="CE12" s="466"/>
      <c r="CF12" s="467"/>
      <c r="CG12" s="471" t="s">
        <v>10</v>
      </c>
      <c r="CH12" s="472"/>
      <c r="CI12" s="472"/>
      <c r="CJ12" s="473"/>
      <c r="CK12" s="80" t="s">
        <v>519</v>
      </c>
      <c r="CL12" s="471" t="s">
        <v>10</v>
      </c>
      <c r="CM12" s="472"/>
      <c r="CN12" s="472"/>
      <c r="CO12" s="473"/>
      <c r="CP12" s="80" t="s">
        <v>519</v>
      </c>
      <c r="CQ12" s="471" t="s">
        <v>10</v>
      </c>
      <c r="CR12" s="472"/>
      <c r="CS12" s="472"/>
      <c r="CT12" s="473"/>
      <c r="CU12" s="80" t="s">
        <v>519</v>
      </c>
      <c r="CV12" s="471" t="s">
        <v>10</v>
      </c>
      <c r="CW12" s="472"/>
      <c r="CX12" s="472"/>
      <c r="CY12" s="473"/>
      <c r="CZ12" s="471" t="s">
        <v>519</v>
      </c>
      <c r="DA12" s="472"/>
      <c r="DB12" s="472"/>
      <c r="DC12" s="473"/>
      <c r="DD12" s="479"/>
      <c r="DE12" s="528"/>
      <c r="DF12" s="466"/>
      <c r="DG12" s="466"/>
      <c r="DH12" s="466"/>
      <c r="DI12" s="467"/>
      <c r="DJ12" s="471" t="s">
        <v>377</v>
      </c>
      <c r="DK12" s="472"/>
      <c r="DL12" s="472"/>
      <c r="DM12" s="473"/>
      <c r="DN12" s="80" t="s">
        <v>519</v>
      </c>
      <c r="DO12" s="471" t="s">
        <v>377</v>
      </c>
      <c r="DP12" s="472"/>
      <c r="DQ12" s="472"/>
      <c r="DR12" s="473"/>
      <c r="DS12" s="80" t="s">
        <v>519</v>
      </c>
      <c r="DT12" s="471" t="s">
        <v>377</v>
      </c>
      <c r="DU12" s="472"/>
      <c r="DV12" s="472"/>
      <c r="DW12" s="473"/>
      <c r="DX12" s="80" t="s">
        <v>519</v>
      </c>
      <c r="DY12" s="471" t="s">
        <v>377</v>
      </c>
      <c r="DZ12" s="472"/>
      <c r="EA12" s="472"/>
      <c r="EB12" s="473"/>
      <c r="EC12" s="80" t="s">
        <v>572</v>
      </c>
      <c r="ED12" s="479"/>
      <c r="EE12" s="528"/>
      <c r="EF12" s="466"/>
      <c r="EG12" s="466"/>
      <c r="EH12" s="466"/>
      <c r="EI12" s="467"/>
      <c r="EJ12" s="471" t="s">
        <v>377</v>
      </c>
      <c r="EK12" s="472"/>
      <c r="EL12" s="472"/>
      <c r="EM12" s="473"/>
      <c r="EN12" s="80" t="s">
        <v>519</v>
      </c>
      <c r="EO12" s="471" t="s">
        <v>377</v>
      </c>
      <c r="EP12" s="472"/>
      <c r="EQ12" s="472"/>
      <c r="ER12" s="473"/>
      <c r="ES12" s="80" t="s">
        <v>519</v>
      </c>
      <c r="ET12" s="471" t="s">
        <v>377</v>
      </c>
      <c r="EU12" s="472"/>
      <c r="EV12" s="472"/>
      <c r="EW12" s="473"/>
      <c r="EX12" s="80" t="s">
        <v>519</v>
      </c>
      <c r="EY12" s="471" t="s">
        <v>377</v>
      </c>
      <c r="EZ12" s="472"/>
      <c r="FA12" s="472"/>
      <c r="FB12" s="473"/>
      <c r="FC12" s="80" t="s">
        <v>519</v>
      </c>
      <c r="FD12" s="479"/>
      <c r="FE12" s="528"/>
      <c r="FF12" s="466"/>
      <c r="FG12" s="466"/>
      <c r="FH12" s="466"/>
      <c r="FI12" s="467"/>
      <c r="FJ12" s="471" t="s">
        <v>377</v>
      </c>
      <c r="FK12" s="472"/>
      <c r="FL12" s="472"/>
      <c r="FM12" s="473"/>
      <c r="FN12" s="80" t="s">
        <v>519</v>
      </c>
      <c r="FO12" s="471" t="s">
        <v>377</v>
      </c>
      <c r="FP12" s="472"/>
      <c r="FQ12" s="472"/>
      <c r="FR12" s="473"/>
      <c r="FS12" s="80" t="s">
        <v>519</v>
      </c>
      <c r="FT12" s="471" t="s">
        <v>377</v>
      </c>
      <c r="FU12" s="472"/>
      <c r="FV12" s="472"/>
      <c r="FW12" s="473"/>
      <c r="FX12" s="80" t="s">
        <v>519</v>
      </c>
      <c r="FY12" s="471" t="s">
        <v>377</v>
      </c>
      <c r="FZ12" s="472"/>
      <c r="GA12" s="472"/>
      <c r="GB12" s="473"/>
      <c r="GC12" s="80" t="s">
        <v>519</v>
      </c>
      <c r="GD12" s="479"/>
      <c r="GE12" s="528"/>
      <c r="GF12" s="466"/>
      <c r="GG12" s="466"/>
      <c r="GH12" s="466"/>
      <c r="GI12" s="467"/>
      <c r="GJ12" s="471" t="s">
        <v>377</v>
      </c>
      <c r="GK12" s="472"/>
      <c r="GL12" s="472"/>
      <c r="GM12" s="473"/>
      <c r="GN12" s="80" t="s">
        <v>519</v>
      </c>
      <c r="GO12" s="471" t="s">
        <v>377</v>
      </c>
      <c r="GP12" s="472"/>
      <c r="GQ12" s="472"/>
      <c r="GR12" s="473"/>
      <c r="GS12" s="80" t="s">
        <v>519</v>
      </c>
      <c r="GT12" s="471" t="s">
        <v>377</v>
      </c>
      <c r="GU12" s="472"/>
      <c r="GV12" s="472"/>
      <c r="GW12" s="473"/>
      <c r="GX12" s="80" t="s">
        <v>519</v>
      </c>
      <c r="GY12" s="471" t="s">
        <v>377</v>
      </c>
      <c r="GZ12" s="472"/>
      <c r="HA12" s="472"/>
      <c r="HB12" s="473"/>
      <c r="HC12" s="80" t="s">
        <v>519</v>
      </c>
      <c r="HD12" s="479"/>
      <c r="HE12" s="528"/>
      <c r="HF12" s="466"/>
      <c r="HG12" s="466"/>
      <c r="HH12" s="466"/>
      <c r="HI12" s="467"/>
      <c r="HJ12" s="471" t="s">
        <v>377</v>
      </c>
      <c r="HK12" s="472"/>
      <c r="HL12" s="472"/>
      <c r="HM12" s="473"/>
      <c r="HN12" s="80" t="s">
        <v>519</v>
      </c>
      <c r="HO12" s="471" t="s">
        <v>377</v>
      </c>
      <c r="HP12" s="472"/>
      <c r="HQ12" s="472"/>
      <c r="HR12" s="473"/>
      <c r="HS12" s="80" t="s">
        <v>519</v>
      </c>
      <c r="HT12" s="471" t="s">
        <v>377</v>
      </c>
      <c r="HU12" s="472"/>
      <c r="HV12" s="472"/>
      <c r="HW12" s="473"/>
      <c r="HX12" s="80" t="s">
        <v>519</v>
      </c>
      <c r="HY12" s="471" t="s">
        <v>377</v>
      </c>
      <c r="HZ12" s="472"/>
      <c r="IA12" s="472"/>
      <c r="IB12" s="473"/>
      <c r="IC12" s="80" t="s">
        <v>519</v>
      </c>
      <c r="ID12" s="479"/>
      <c r="IE12" s="528"/>
      <c r="IF12" s="466"/>
      <c r="IG12" s="466"/>
      <c r="IH12" s="466"/>
      <c r="II12" s="467"/>
      <c r="IJ12" s="471" t="s">
        <v>377</v>
      </c>
      <c r="IK12" s="472"/>
      <c r="IL12" s="472"/>
      <c r="IM12" s="473"/>
      <c r="IN12" s="80" t="s">
        <v>519</v>
      </c>
      <c r="IO12" s="471" t="s">
        <v>377</v>
      </c>
      <c r="IP12" s="472"/>
      <c r="IQ12" s="472"/>
      <c r="IR12" s="473"/>
      <c r="IS12" s="80" t="s">
        <v>519</v>
      </c>
      <c r="IT12" s="471" t="s">
        <v>377</v>
      </c>
      <c r="IU12" s="472"/>
      <c r="IV12" s="472"/>
      <c r="IW12" s="473"/>
      <c r="IX12" s="80" t="s">
        <v>519</v>
      </c>
      <c r="IY12" s="471" t="s">
        <v>377</v>
      </c>
      <c r="IZ12" s="472"/>
      <c r="JA12" s="472"/>
      <c r="JB12" s="473"/>
      <c r="JC12" s="80" t="s">
        <v>519</v>
      </c>
      <c r="JD12" s="479"/>
      <c r="JE12" s="528"/>
      <c r="JF12" s="466"/>
      <c r="JG12" s="466"/>
      <c r="JH12" s="466"/>
      <c r="JI12" s="467"/>
      <c r="JJ12" s="471" t="s">
        <v>377</v>
      </c>
      <c r="JK12" s="472"/>
      <c r="JL12" s="472"/>
      <c r="JM12" s="473"/>
      <c r="JN12" s="80" t="s">
        <v>519</v>
      </c>
      <c r="JO12" s="471" t="s">
        <v>377</v>
      </c>
      <c r="JP12" s="472"/>
      <c r="JQ12" s="472"/>
      <c r="JR12" s="473"/>
      <c r="JS12" s="80" t="s">
        <v>519</v>
      </c>
      <c r="JT12" s="471" t="s">
        <v>377</v>
      </c>
      <c r="JU12" s="472"/>
      <c r="JV12" s="472"/>
      <c r="JW12" s="473"/>
      <c r="JX12" s="80" t="s">
        <v>519</v>
      </c>
      <c r="JY12" s="471" t="s">
        <v>377</v>
      </c>
      <c r="JZ12" s="472"/>
      <c r="KA12" s="472"/>
      <c r="KB12" s="473"/>
      <c r="KC12" s="80" t="s">
        <v>519</v>
      </c>
      <c r="KD12" s="479"/>
      <c r="KE12" s="528"/>
      <c r="KF12" s="466"/>
      <c r="KG12" s="466"/>
      <c r="KH12" s="466"/>
      <c r="KI12" s="467"/>
      <c r="KJ12" s="471" t="s">
        <v>377</v>
      </c>
      <c r="KK12" s="472"/>
      <c r="KL12" s="472"/>
      <c r="KM12" s="473"/>
      <c r="KN12" s="80" t="s">
        <v>519</v>
      </c>
      <c r="KO12" s="471" t="s">
        <v>377</v>
      </c>
      <c r="KP12" s="472"/>
      <c r="KQ12" s="472"/>
      <c r="KR12" s="473"/>
      <c r="KS12" s="80" t="s">
        <v>519</v>
      </c>
      <c r="KT12" s="471" t="s">
        <v>377</v>
      </c>
      <c r="KU12" s="472"/>
      <c r="KV12" s="472"/>
      <c r="KW12" s="473"/>
      <c r="KX12" s="80" t="s">
        <v>519</v>
      </c>
      <c r="KY12" s="471" t="s">
        <v>377</v>
      </c>
      <c r="KZ12" s="472"/>
      <c r="LA12" s="472"/>
      <c r="LB12" s="473"/>
      <c r="LC12" s="80" t="s">
        <v>519</v>
      </c>
      <c r="LD12" s="479"/>
      <c r="LE12" s="528"/>
      <c r="LF12" s="466"/>
      <c r="LG12" s="466"/>
      <c r="LH12" s="466"/>
      <c r="LI12" s="467"/>
      <c r="LJ12" s="471" t="s">
        <v>377</v>
      </c>
      <c r="LK12" s="472"/>
      <c r="LL12" s="472"/>
      <c r="LM12" s="473"/>
      <c r="LN12" s="80" t="s">
        <v>519</v>
      </c>
      <c r="LO12" s="471" t="s">
        <v>377</v>
      </c>
      <c r="LP12" s="472"/>
      <c r="LQ12" s="472"/>
      <c r="LR12" s="473"/>
      <c r="LS12" s="80" t="s">
        <v>519</v>
      </c>
      <c r="LT12" s="471" t="s">
        <v>377</v>
      </c>
      <c r="LU12" s="472"/>
      <c r="LV12" s="472"/>
      <c r="LW12" s="473"/>
      <c r="LX12" s="80" t="s">
        <v>519</v>
      </c>
      <c r="LY12" s="471" t="s">
        <v>377</v>
      </c>
      <c r="LZ12" s="472"/>
      <c r="MA12" s="472"/>
      <c r="MB12" s="473"/>
      <c r="MC12" s="80" t="s">
        <v>519</v>
      </c>
      <c r="MD12" s="479"/>
      <c r="ME12" s="528"/>
      <c r="MF12" s="466"/>
      <c r="MG12" s="466"/>
      <c r="MH12" s="466"/>
      <c r="MI12" s="467"/>
      <c r="MJ12" s="471" t="s">
        <v>377</v>
      </c>
      <c r="MK12" s="472"/>
      <c r="ML12" s="472"/>
      <c r="MM12" s="473"/>
      <c r="MN12" s="80" t="s">
        <v>519</v>
      </c>
      <c r="MO12" s="471" t="s">
        <v>377</v>
      </c>
      <c r="MP12" s="472"/>
      <c r="MQ12" s="472"/>
      <c r="MR12" s="473"/>
      <c r="MS12" s="80" t="s">
        <v>519</v>
      </c>
      <c r="MT12" s="471" t="s">
        <v>377</v>
      </c>
      <c r="MU12" s="472"/>
      <c r="MV12" s="472"/>
      <c r="MW12" s="473"/>
      <c r="MX12" s="80" t="s">
        <v>519</v>
      </c>
      <c r="MY12" s="471" t="s">
        <v>377</v>
      </c>
      <c r="MZ12" s="472"/>
      <c r="NA12" s="472"/>
      <c r="NB12" s="473"/>
      <c r="NC12" s="309"/>
      <c r="ND12" s="319"/>
      <c r="NE12" s="80" t="s">
        <v>519</v>
      </c>
      <c r="NF12" s="479"/>
      <c r="NG12" s="528"/>
      <c r="NH12" s="466"/>
      <c r="NI12" s="466"/>
      <c r="NJ12" s="466"/>
      <c r="NK12" s="467"/>
      <c r="NL12" s="471" t="s">
        <v>377</v>
      </c>
      <c r="NM12" s="472"/>
      <c r="NN12" s="472"/>
      <c r="NO12" s="473"/>
      <c r="NP12" s="80" t="s">
        <v>519</v>
      </c>
      <c r="NQ12" s="471" t="s">
        <v>377</v>
      </c>
      <c r="NR12" s="472"/>
      <c r="NS12" s="472"/>
      <c r="NT12" s="473"/>
      <c r="NU12" s="80" t="s">
        <v>519</v>
      </c>
      <c r="NV12" s="471" t="s">
        <v>377</v>
      </c>
      <c r="NW12" s="472"/>
      <c r="NX12" s="472"/>
      <c r="NY12" s="473"/>
      <c r="NZ12" s="80" t="s">
        <v>519</v>
      </c>
      <c r="OA12" s="471" t="s">
        <v>377</v>
      </c>
      <c r="OB12" s="472"/>
      <c r="OC12" s="472"/>
      <c r="OD12" s="473"/>
      <c r="OE12" s="330"/>
      <c r="OF12" s="330"/>
      <c r="OG12" s="80" t="s">
        <v>519</v>
      </c>
      <c r="OH12" s="479"/>
      <c r="OI12" s="528"/>
      <c r="OJ12" s="466"/>
      <c r="OK12" s="466"/>
      <c r="OL12" s="466"/>
      <c r="OM12" s="467"/>
      <c r="ON12" s="471" t="s">
        <v>377</v>
      </c>
      <c r="OO12" s="472"/>
      <c r="OP12" s="472"/>
      <c r="OQ12" s="473"/>
      <c r="OR12" s="80" t="s">
        <v>519</v>
      </c>
      <c r="OS12" s="471" t="s">
        <v>377</v>
      </c>
      <c r="OT12" s="472"/>
      <c r="OU12" s="472"/>
      <c r="OV12" s="473"/>
      <c r="OW12" s="80" t="s">
        <v>519</v>
      </c>
      <c r="OX12" s="471" t="s">
        <v>377</v>
      </c>
      <c r="OY12" s="472"/>
      <c r="OZ12" s="472"/>
      <c r="PA12" s="473"/>
      <c r="PB12" s="80" t="s">
        <v>519</v>
      </c>
      <c r="PC12" s="471" t="s">
        <v>377</v>
      </c>
      <c r="PD12" s="472"/>
      <c r="PE12" s="472"/>
      <c r="PF12" s="473"/>
      <c r="PG12" s="80" t="s">
        <v>519</v>
      </c>
      <c r="PH12" s="479"/>
      <c r="PI12" s="528"/>
      <c r="PJ12" s="466"/>
      <c r="PK12" s="466"/>
      <c r="PL12" s="466"/>
      <c r="PM12" s="467"/>
      <c r="PN12" s="471" t="s">
        <v>377</v>
      </c>
      <c r="PO12" s="472"/>
      <c r="PP12" s="472"/>
      <c r="PQ12" s="473"/>
      <c r="PR12" s="80" t="s">
        <v>519</v>
      </c>
      <c r="PS12" s="471" t="s">
        <v>377</v>
      </c>
      <c r="PT12" s="472"/>
      <c r="PU12" s="472"/>
      <c r="PV12" s="473"/>
      <c r="PW12" s="80" t="s">
        <v>519</v>
      </c>
      <c r="PX12" s="471" t="s">
        <v>377</v>
      </c>
      <c r="PY12" s="472"/>
      <c r="PZ12" s="472"/>
      <c r="QA12" s="473"/>
      <c r="QB12" s="80" t="s">
        <v>519</v>
      </c>
      <c r="QC12" s="471" t="s">
        <v>377</v>
      </c>
      <c r="QD12" s="472"/>
      <c r="QE12" s="472"/>
      <c r="QF12" s="473"/>
      <c r="QG12" s="80" t="s">
        <v>519</v>
      </c>
      <c r="QH12" s="479"/>
      <c r="QI12" s="528"/>
      <c r="QJ12" s="466"/>
      <c r="QK12" s="466"/>
      <c r="QL12" s="466"/>
      <c r="QM12" s="467"/>
      <c r="QN12" s="471" t="s">
        <v>377</v>
      </c>
      <c r="QO12" s="472"/>
      <c r="QP12" s="472"/>
      <c r="QQ12" s="473"/>
      <c r="QR12" s="80" t="s">
        <v>519</v>
      </c>
      <c r="QS12" s="471" t="s">
        <v>377</v>
      </c>
      <c r="QT12" s="472"/>
      <c r="QU12" s="472"/>
      <c r="QV12" s="473"/>
      <c r="QW12" s="80" t="s">
        <v>519</v>
      </c>
      <c r="QX12" s="471" t="s">
        <v>377</v>
      </c>
      <c r="QY12" s="472"/>
      <c r="QZ12" s="472"/>
      <c r="RA12" s="473"/>
      <c r="RB12" s="80" t="s">
        <v>519</v>
      </c>
      <c r="RC12" s="471" t="s">
        <v>377</v>
      </c>
      <c r="RD12" s="472"/>
      <c r="RE12" s="472"/>
      <c r="RF12" s="473"/>
      <c r="RG12" s="80" t="s">
        <v>519</v>
      </c>
      <c r="RH12" s="479"/>
      <c r="RI12" s="528"/>
      <c r="RJ12" s="466"/>
      <c r="RK12" s="466"/>
      <c r="RL12" s="466"/>
      <c r="RM12" s="467"/>
      <c r="RN12" s="471" t="s">
        <v>377</v>
      </c>
      <c r="RO12" s="472"/>
      <c r="RP12" s="472"/>
      <c r="RQ12" s="473"/>
      <c r="RR12" s="80" t="s">
        <v>519</v>
      </c>
      <c r="RS12" s="471" t="s">
        <v>377</v>
      </c>
      <c r="RT12" s="472"/>
      <c r="RU12" s="472"/>
      <c r="RV12" s="473"/>
      <c r="RW12" s="80" t="s">
        <v>519</v>
      </c>
      <c r="RX12" s="471" t="s">
        <v>377</v>
      </c>
      <c r="RY12" s="472"/>
      <c r="RZ12" s="472"/>
      <c r="SA12" s="473"/>
      <c r="SB12" s="80" t="s">
        <v>519</v>
      </c>
      <c r="SC12" s="471" t="s">
        <v>377</v>
      </c>
      <c r="SD12" s="472"/>
      <c r="SE12" s="472"/>
      <c r="SF12" s="473"/>
      <c r="SG12" s="80" t="s">
        <v>519</v>
      </c>
      <c r="SH12" s="479"/>
      <c r="SI12" s="528"/>
      <c r="SJ12" s="466"/>
      <c r="SK12" s="466"/>
      <c r="SL12" s="466"/>
      <c r="SM12" s="467"/>
      <c r="SN12" s="471" t="s">
        <v>377</v>
      </c>
      <c r="SO12" s="472"/>
      <c r="SP12" s="472"/>
      <c r="SQ12" s="473"/>
      <c r="SR12" s="80" t="s">
        <v>519</v>
      </c>
      <c r="SS12" s="471" t="s">
        <v>377</v>
      </c>
      <c r="ST12" s="472"/>
      <c r="SU12" s="472"/>
      <c r="SV12" s="473"/>
      <c r="SW12" s="80" t="s">
        <v>519</v>
      </c>
      <c r="SX12" s="471" t="s">
        <v>377</v>
      </c>
      <c r="SY12" s="472"/>
      <c r="SZ12" s="472"/>
      <c r="TA12" s="473"/>
      <c r="TB12" s="80" t="s">
        <v>519</v>
      </c>
      <c r="TC12" s="471" t="s">
        <v>377</v>
      </c>
      <c r="TD12" s="472"/>
      <c r="TE12" s="472"/>
      <c r="TF12" s="473"/>
      <c r="TG12" s="80" t="s">
        <v>519</v>
      </c>
      <c r="TH12" s="479"/>
      <c r="TI12" s="528"/>
      <c r="TJ12" s="466"/>
      <c r="TK12" s="466"/>
      <c r="TL12" s="466"/>
      <c r="TM12" s="467"/>
      <c r="TN12" s="471" t="s">
        <v>377</v>
      </c>
      <c r="TO12" s="472"/>
      <c r="TP12" s="472"/>
      <c r="TQ12" s="473"/>
      <c r="TR12" s="80" t="s">
        <v>519</v>
      </c>
      <c r="TS12" s="471" t="s">
        <v>519</v>
      </c>
      <c r="TT12" s="472"/>
      <c r="TU12" s="472"/>
      <c r="TV12" s="473"/>
      <c r="TW12" s="471" t="s">
        <v>377</v>
      </c>
      <c r="TX12" s="472"/>
      <c r="TY12" s="472"/>
      <c r="TZ12" s="473"/>
      <c r="UA12" s="80" t="s">
        <v>519</v>
      </c>
      <c r="UB12" s="471" t="s">
        <v>377</v>
      </c>
      <c r="UC12" s="472"/>
      <c r="UD12" s="472"/>
      <c r="UE12" s="473"/>
      <c r="UF12" s="80" t="s">
        <v>519</v>
      </c>
      <c r="UG12" s="471" t="s">
        <v>377</v>
      </c>
      <c r="UH12" s="472"/>
      <c r="UI12" s="472"/>
      <c r="UJ12" s="473"/>
      <c r="UK12" s="80" t="s">
        <v>519</v>
      </c>
      <c r="UL12" s="479"/>
      <c r="UM12" s="528"/>
      <c r="UN12" s="466"/>
      <c r="UO12" s="466"/>
      <c r="UP12" s="466"/>
      <c r="UQ12" s="467"/>
      <c r="UR12" s="471" t="s">
        <v>377</v>
      </c>
      <c r="US12" s="472"/>
      <c r="UT12" s="472"/>
      <c r="UU12" s="473"/>
      <c r="UV12" s="80" t="s">
        <v>519</v>
      </c>
      <c r="UW12" s="471" t="s">
        <v>377</v>
      </c>
      <c r="UX12" s="472"/>
      <c r="UY12" s="472"/>
      <c r="UZ12" s="473"/>
      <c r="VA12" s="80" t="s">
        <v>519</v>
      </c>
      <c r="VB12" s="471" t="s">
        <v>377</v>
      </c>
      <c r="VC12" s="472"/>
      <c r="VD12" s="472"/>
      <c r="VE12" s="473"/>
      <c r="VF12" s="80" t="s">
        <v>519</v>
      </c>
      <c r="VG12" s="471"/>
      <c r="VH12" s="472"/>
      <c r="VI12" s="472"/>
      <c r="VJ12" s="473"/>
      <c r="VK12" s="80"/>
      <c r="VL12" s="80"/>
      <c r="VM12" s="471"/>
      <c r="VN12" s="472"/>
      <c r="VO12" s="472"/>
      <c r="VP12" s="473"/>
      <c r="VQ12" s="80"/>
      <c r="VR12" s="11"/>
    </row>
    <row r="13" spans="1:590" ht="45" customHeight="1" x14ac:dyDescent="0.4">
      <c r="A13" s="479"/>
      <c r="B13" s="507" t="s">
        <v>3</v>
      </c>
      <c r="C13" s="485"/>
      <c r="D13" s="485"/>
      <c r="E13" s="485"/>
      <c r="F13" s="486"/>
      <c r="G13" s="611">
        <v>43923</v>
      </c>
      <c r="H13" s="612"/>
      <c r="I13" s="612"/>
      <c r="J13" s="613"/>
      <c r="K13" s="231" t="s">
        <v>520</v>
      </c>
      <c r="L13" s="611">
        <v>43924</v>
      </c>
      <c r="M13" s="612"/>
      <c r="N13" s="612"/>
      <c r="O13" s="613"/>
      <c r="P13" s="231" t="s">
        <v>526</v>
      </c>
      <c r="Q13" s="611">
        <v>43925</v>
      </c>
      <c r="R13" s="612"/>
      <c r="S13" s="612"/>
      <c r="T13" s="613"/>
      <c r="U13" s="231" t="s">
        <v>528</v>
      </c>
      <c r="V13" s="611">
        <v>43926</v>
      </c>
      <c r="W13" s="612"/>
      <c r="X13" s="612"/>
      <c r="Y13" s="613"/>
      <c r="Z13" s="231" t="s">
        <v>530</v>
      </c>
      <c r="AA13" s="479"/>
      <c r="AB13" s="507" t="s">
        <v>3</v>
      </c>
      <c r="AC13" s="485"/>
      <c r="AD13" s="485"/>
      <c r="AE13" s="485"/>
      <c r="AF13" s="486"/>
      <c r="AG13" s="611">
        <v>43927</v>
      </c>
      <c r="AH13" s="612"/>
      <c r="AI13" s="612"/>
      <c r="AJ13" s="613"/>
      <c r="AK13" s="231">
        <v>43927</v>
      </c>
      <c r="AL13" s="611">
        <v>43928</v>
      </c>
      <c r="AM13" s="612"/>
      <c r="AN13" s="612"/>
      <c r="AO13" s="613"/>
      <c r="AP13" s="231">
        <v>43928</v>
      </c>
      <c r="AQ13" s="611">
        <v>43929</v>
      </c>
      <c r="AR13" s="612"/>
      <c r="AS13" s="612"/>
      <c r="AT13" s="613"/>
      <c r="AU13" s="231">
        <v>43929</v>
      </c>
      <c r="AV13" s="611">
        <v>43930</v>
      </c>
      <c r="AW13" s="612"/>
      <c r="AX13" s="612"/>
      <c r="AY13" s="613"/>
      <c r="AZ13" s="228">
        <v>43930</v>
      </c>
      <c r="BA13" s="479"/>
      <c r="BB13" s="507" t="s">
        <v>3</v>
      </c>
      <c r="BC13" s="485"/>
      <c r="BD13" s="485"/>
      <c r="BE13" s="485"/>
      <c r="BF13" s="486"/>
      <c r="BG13" s="611">
        <v>43931</v>
      </c>
      <c r="BH13" s="612"/>
      <c r="BI13" s="612"/>
      <c r="BJ13" s="613"/>
      <c r="BK13" s="228">
        <v>43931</v>
      </c>
      <c r="BL13" s="611">
        <v>43932</v>
      </c>
      <c r="BM13" s="612"/>
      <c r="BN13" s="612"/>
      <c r="BO13" s="613"/>
      <c r="BP13" s="231">
        <v>43932</v>
      </c>
      <c r="BQ13" s="611">
        <v>43935</v>
      </c>
      <c r="BR13" s="612"/>
      <c r="BS13" s="612"/>
      <c r="BT13" s="613"/>
      <c r="BU13" s="233">
        <v>43935</v>
      </c>
      <c r="BV13" s="611">
        <v>43936</v>
      </c>
      <c r="BW13" s="612"/>
      <c r="BX13" s="612"/>
      <c r="BY13" s="613"/>
      <c r="BZ13" s="234">
        <v>43936</v>
      </c>
      <c r="CA13" s="479"/>
      <c r="CB13" s="507" t="s">
        <v>3</v>
      </c>
      <c r="CC13" s="485"/>
      <c r="CD13" s="485"/>
      <c r="CE13" s="485"/>
      <c r="CF13" s="486"/>
      <c r="CG13" s="611">
        <v>43937</v>
      </c>
      <c r="CH13" s="612"/>
      <c r="CI13" s="612"/>
      <c r="CJ13" s="613"/>
      <c r="CK13" s="236">
        <v>43937</v>
      </c>
      <c r="CL13" s="611">
        <v>43939</v>
      </c>
      <c r="CM13" s="612"/>
      <c r="CN13" s="612"/>
      <c r="CO13" s="613"/>
      <c r="CP13" s="236">
        <v>43939</v>
      </c>
      <c r="CQ13" s="611">
        <v>43941</v>
      </c>
      <c r="CR13" s="612"/>
      <c r="CS13" s="612"/>
      <c r="CT13" s="613"/>
      <c r="CU13" s="236">
        <v>43941</v>
      </c>
      <c r="CV13" s="611">
        <v>43942</v>
      </c>
      <c r="CW13" s="612"/>
      <c r="CX13" s="612"/>
      <c r="CY13" s="613"/>
      <c r="CZ13" s="611" t="s">
        <v>559</v>
      </c>
      <c r="DA13" s="612"/>
      <c r="DB13" s="612"/>
      <c r="DC13" s="613"/>
      <c r="DD13" s="479"/>
      <c r="DE13" s="507" t="s">
        <v>3</v>
      </c>
      <c r="DF13" s="485"/>
      <c r="DG13" s="485"/>
      <c r="DH13" s="485"/>
      <c r="DI13" s="486"/>
      <c r="DJ13" s="611">
        <v>43943</v>
      </c>
      <c r="DK13" s="612"/>
      <c r="DL13" s="612"/>
      <c r="DM13" s="613"/>
      <c r="DN13" s="239">
        <v>43943</v>
      </c>
      <c r="DO13" s="611">
        <v>43945</v>
      </c>
      <c r="DP13" s="612"/>
      <c r="DQ13" s="612"/>
      <c r="DR13" s="613"/>
      <c r="DS13" s="255">
        <v>43945</v>
      </c>
      <c r="DT13" s="611">
        <v>43946</v>
      </c>
      <c r="DU13" s="612"/>
      <c r="DV13" s="612"/>
      <c r="DW13" s="613"/>
      <c r="DX13" s="255">
        <v>43946</v>
      </c>
      <c r="DY13" s="611">
        <v>43947</v>
      </c>
      <c r="DZ13" s="612"/>
      <c r="EA13" s="612"/>
      <c r="EB13" s="613"/>
      <c r="EC13" s="608" t="s">
        <v>570</v>
      </c>
      <c r="ED13" s="479"/>
      <c r="EE13" s="507" t="s">
        <v>3</v>
      </c>
      <c r="EF13" s="485"/>
      <c r="EG13" s="485"/>
      <c r="EH13" s="485"/>
      <c r="EI13" s="486"/>
      <c r="EJ13" s="611">
        <v>43948</v>
      </c>
      <c r="EK13" s="612"/>
      <c r="EL13" s="612"/>
      <c r="EM13" s="613"/>
      <c r="EN13" s="257">
        <v>43948</v>
      </c>
      <c r="EO13" s="611">
        <v>43949</v>
      </c>
      <c r="EP13" s="612"/>
      <c r="EQ13" s="612"/>
      <c r="ER13" s="613"/>
      <c r="ES13" s="260">
        <v>43949</v>
      </c>
      <c r="ET13" s="611">
        <v>43950</v>
      </c>
      <c r="EU13" s="612"/>
      <c r="EV13" s="612"/>
      <c r="EW13" s="613"/>
      <c r="EX13" s="262">
        <v>43950</v>
      </c>
      <c r="EY13" s="611">
        <v>43951</v>
      </c>
      <c r="EZ13" s="612"/>
      <c r="FA13" s="612"/>
      <c r="FB13" s="613"/>
      <c r="FC13" s="263">
        <v>43951</v>
      </c>
      <c r="FD13" s="479"/>
      <c r="FE13" s="507" t="s">
        <v>3</v>
      </c>
      <c r="FF13" s="485"/>
      <c r="FG13" s="485"/>
      <c r="FH13" s="485"/>
      <c r="FI13" s="486"/>
      <c r="FJ13" s="611">
        <v>43952</v>
      </c>
      <c r="FK13" s="612"/>
      <c r="FL13" s="612"/>
      <c r="FM13" s="613"/>
      <c r="FN13" s="263">
        <v>43952</v>
      </c>
      <c r="FO13" s="611">
        <v>43953</v>
      </c>
      <c r="FP13" s="612"/>
      <c r="FQ13" s="612"/>
      <c r="FR13" s="613"/>
      <c r="FS13" s="265">
        <v>43953</v>
      </c>
      <c r="FT13" s="611">
        <v>43955</v>
      </c>
      <c r="FU13" s="612"/>
      <c r="FV13" s="612"/>
      <c r="FW13" s="613"/>
      <c r="FX13" s="267">
        <v>43955</v>
      </c>
      <c r="FY13" s="611">
        <v>43956</v>
      </c>
      <c r="FZ13" s="612"/>
      <c r="GA13" s="612"/>
      <c r="GB13" s="613"/>
      <c r="GC13" s="263">
        <v>43956</v>
      </c>
      <c r="GD13" s="479"/>
      <c r="GE13" s="507" t="s">
        <v>3</v>
      </c>
      <c r="GF13" s="485"/>
      <c r="GG13" s="485"/>
      <c r="GH13" s="485"/>
      <c r="GI13" s="486"/>
      <c r="GJ13" s="611">
        <v>43957</v>
      </c>
      <c r="GK13" s="612"/>
      <c r="GL13" s="612"/>
      <c r="GM13" s="613"/>
      <c r="GN13" s="269">
        <v>43957</v>
      </c>
      <c r="GO13" s="611">
        <v>43958</v>
      </c>
      <c r="GP13" s="612"/>
      <c r="GQ13" s="612"/>
      <c r="GR13" s="613"/>
      <c r="GS13" s="270">
        <v>43958</v>
      </c>
      <c r="GT13" s="611">
        <v>43959</v>
      </c>
      <c r="GU13" s="612"/>
      <c r="GV13" s="612"/>
      <c r="GW13" s="613"/>
      <c r="GX13" s="271">
        <v>43959</v>
      </c>
      <c r="GY13" s="611">
        <v>43960</v>
      </c>
      <c r="GZ13" s="612"/>
      <c r="HA13" s="612"/>
      <c r="HB13" s="613"/>
      <c r="HC13" s="608" t="s">
        <v>559</v>
      </c>
      <c r="HD13" s="479"/>
      <c r="HE13" s="507" t="s">
        <v>3</v>
      </c>
      <c r="HF13" s="485"/>
      <c r="HG13" s="485"/>
      <c r="HH13" s="485"/>
      <c r="HI13" s="486"/>
      <c r="HJ13" s="611">
        <v>43961</v>
      </c>
      <c r="HK13" s="612"/>
      <c r="HL13" s="612"/>
      <c r="HM13" s="613"/>
      <c r="HN13" s="608" t="s">
        <v>570</v>
      </c>
      <c r="HO13" s="611">
        <v>43962</v>
      </c>
      <c r="HP13" s="612"/>
      <c r="HQ13" s="612"/>
      <c r="HR13" s="613"/>
      <c r="HS13" s="274">
        <v>43962</v>
      </c>
      <c r="HT13" s="611">
        <v>43963</v>
      </c>
      <c r="HU13" s="612"/>
      <c r="HV13" s="612"/>
      <c r="HW13" s="613"/>
      <c r="HX13" s="276">
        <v>43963</v>
      </c>
      <c r="HY13" s="611">
        <v>43964</v>
      </c>
      <c r="HZ13" s="612"/>
      <c r="IA13" s="612"/>
      <c r="IB13" s="613"/>
      <c r="IC13" s="277">
        <v>43964</v>
      </c>
      <c r="ID13" s="479"/>
      <c r="IE13" s="507" t="s">
        <v>3</v>
      </c>
      <c r="IF13" s="485"/>
      <c r="IG13" s="485"/>
      <c r="IH13" s="485"/>
      <c r="II13" s="486"/>
      <c r="IJ13" s="611">
        <v>43965</v>
      </c>
      <c r="IK13" s="612"/>
      <c r="IL13" s="612"/>
      <c r="IM13" s="613"/>
      <c r="IN13" s="279">
        <v>43965</v>
      </c>
      <c r="IO13" s="611">
        <v>43968</v>
      </c>
      <c r="IP13" s="612"/>
      <c r="IQ13" s="612"/>
      <c r="IR13" s="613"/>
      <c r="IS13" s="281">
        <v>43968</v>
      </c>
      <c r="IT13" s="611">
        <v>43970</v>
      </c>
      <c r="IU13" s="612"/>
      <c r="IV13" s="612"/>
      <c r="IW13" s="613"/>
      <c r="IX13" s="277">
        <v>43970</v>
      </c>
      <c r="IY13" s="611">
        <v>43971</v>
      </c>
      <c r="IZ13" s="612"/>
      <c r="JA13" s="612"/>
      <c r="JB13" s="613"/>
      <c r="JC13" s="283">
        <v>43971</v>
      </c>
      <c r="JD13" s="479"/>
      <c r="JE13" s="507" t="s">
        <v>3</v>
      </c>
      <c r="JF13" s="485"/>
      <c r="JG13" s="485"/>
      <c r="JH13" s="485"/>
      <c r="JI13" s="486"/>
      <c r="JJ13" s="611">
        <v>43972</v>
      </c>
      <c r="JK13" s="612"/>
      <c r="JL13" s="612"/>
      <c r="JM13" s="613"/>
      <c r="JN13" s="287">
        <v>43972</v>
      </c>
      <c r="JO13" s="611">
        <v>43973</v>
      </c>
      <c r="JP13" s="612"/>
      <c r="JQ13" s="612"/>
      <c r="JR13" s="613"/>
      <c r="JS13" s="608" t="s">
        <v>570</v>
      </c>
      <c r="JT13" s="611">
        <v>43974</v>
      </c>
      <c r="JU13" s="612"/>
      <c r="JV13" s="612"/>
      <c r="JW13" s="613"/>
      <c r="JX13" s="608" t="s">
        <v>570</v>
      </c>
      <c r="JY13" s="611">
        <v>43975</v>
      </c>
      <c r="JZ13" s="612"/>
      <c r="KA13" s="612"/>
      <c r="KB13" s="613"/>
      <c r="KC13" s="292">
        <v>43975</v>
      </c>
      <c r="KD13" s="479"/>
      <c r="KE13" s="507" t="s">
        <v>3</v>
      </c>
      <c r="KF13" s="485"/>
      <c r="KG13" s="485"/>
      <c r="KH13" s="485"/>
      <c r="KI13" s="486"/>
      <c r="KJ13" s="611">
        <v>43976</v>
      </c>
      <c r="KK13" s="612"/>
      <c r="KL13" s="612"/>
      <c r="KM13" s="613"/>
      <c r="KN13" s="608" t="s">
        <v>559</v>
      </c>
      <c r="KO13" s="611">
        <v>43989</v>
      </c>
      <c r="KP13" s="612"/>
      <c r="KQ13" s="612"/>
      <c r="KR13" s="613"/>
      <c r="KS13" s="292">
        <v>43989</v>
      </c>
      <c r="KT13" s="611">
        <v>44002</v>
      </c>
      <c r="KU13" s="612"/>
      <c r="KV13" s="612"/>
      <c r="KW13" s="613"/>
      <c r="KX13" s="608" t="s">
        <v>570</v>
      </c>
      <c r="KY13" s="611">
        <v>44003</v>
      </c>
      <c r="KZ13" s="612"/>
      <c r="LA13" s="612"/>
      <c r="LB13" s="613"/>
      <c r="LC13" s="608" t="s">
        <v>559</v>
      </c>
      <c r="LD13" s="479"/>
      <c r="LE13" s="507" t="s">
        <v>3</v>
      </c>
      <c r="LF13" s="485"/>
      <c r="LG13" s="485"/>
      <c r="LH13" s="485"/>
      <c r="LI13" s="486"/>
      <c r="LJ13" s="611">
        <v>44004</v>
      </c>
      <c r="LK13" s="612"/>
      <c r="LL13" s="612"/>
      <c r="LM13" s="613"/>
      <c r="LN13" s="390">
        <v>44004</v>
      </c>
      <c r="LO13" s="611">
        <v>44029</v>
      </c>
      <c r="LP13" s="612"/>
      <c r="LQ13" s="612"/>
      <c r="LR13" s="613"/>
      <c r="LS13" s="608" t="s">
        <v>559</v>
      </c>
      <c r="LT13" s="611">
        <v>44031</v>
      </c>
      <c r="LU13" s="612"/>
      <c r="LV13" s="612"/>
      <c r="LW13" s="613"/>
      <c r="LX13" s="608" t="s">
        <v>570</v>
      </c>
      <c r="LY13" s="611">
        <v>44101</v>
      </c>
      <c r="LZ13" s="612"/>
      <c r="MA13" s="612"/>
      <c r="MB13" s="613"/>
      <c r="MC13" s="390">
        <v>44101</v>
      </c>
      <c r="MD13" s="479"/>
      <c r="ME13" s="507" t="s">
        <v>3</v>
      </c>
      <c r="MF13" s="485"/>
      <c r="MG13" s="485"/>
      <c r="MH13" s="485"/>
      <c r="MI13" s="486"/>
      <c r="MJ13" s="611">
        <v>44122</v>
      </c>
      <c r="MK13" s="612"/>
      <c r="ML13" s="612"/>
      <c r="MM13" s="613"/>
      <c r="MN13" s="608" t="s">
        <v>570</v>
      </c>
      <c r="MO13" s="611">
        <v>44128</v>
      </c>
      <c r="MP13" s="612"/>
      <c r="MQ13" s="612"/>
      <c r="MR13" s="613"/>
      <c r="MS13" s="608" t="s">
        <v>570</v>
      </c>
      <c r="MT13" s="611">
        <v>44129</v>
      </c>
      <c r="MU13" s="612"/>
      <c r="MV13" s="612"/>
      <c r="MW13" s="613"/>
      <c r="MX13" s="324">
        <v>44129</v>
      </c>
      <c r="MY13" s="611">
        <v>44135</v>
      </c>
      <c r="MZ13" s="612"/>
      <c r="NA13" s="612"/>
      <c r="NB13" s="613"/>
      <c r="NC13" s="312"/>
      <c r="ND13" s="320"/>
      <c r="NE13" s="608" t="s">
        <v>570</v>
      </c>
      <c r="NF13" s="479"/>
      <c r="NG13" s="507" t="s">
        <v>3</v>
      </c>
      <c r="NH13" s="485"/>
      <c r="NI13" s="485"/>
      <c r="NJ13" s="485"/>
      <c r="NK13" s="486"/>
      <c r="NL13" s="611">
        <v>44171</v>
      </c>
      <c r="NM13" s="612"/>
      <c r="NN13" s="612"/>
      <c r="NO13" s="613"/>
      <c r="NP13" s="608" t="s">
        <v>559</v>
      </c>
      <c r="NQ13" s="611">
        <v>44199</v>
      </c>
      <c r="NR13" s="612"/>
      <c r="NS13" s="612"/>
      <c r="NT13" s="613"/>
      <c r="NU13" s="337">
        <v>44199</v>
      </c>
      <c r="NV13" s="611">
        <v>44227</v>
      </c>
      <c r="NW13" s="612"/>
      <c r="NX13" s="612"/>
      <c r="NY13" s="613"/>
      <c r="NZ13" s="608" t="s">
        <v>570</v>
      </c>
      <c r="OA13" s="611">
        <v>44234</v>
      </c>
      <c r="OB13" s="612"/>
      <c r="OC13" s="612"/>
      <c r="OD13" s="613"/>
      <c r="OE13" s="333"/>
      <c r="OF13" s="333"/>
      <c r="OG13" s="339">
        <v>44234</v>
      </c>
      <c r="OH13" s="479"/>
      <c r="OI13" s="507" t="s">
        <v>3</v>
      </c>
      <c r="OJ13" s="485"/>
      <c r="OK13" s="485"/>
      <c r="OL13" s="485"/>
      <c r="OM13" s="486"/>
      <c r="ON13" s="611">
        <v>44237</v>
      </c>
      <c r="OO13" s="612"/>
      <c r="OP13" s="612"/>
      <c r="OQ13" s="613"/>
      <c r="OR13" s="608" t="s">
        <v>570</v>
      </c>
      <c r="OS13" s="611">
        <v>44243</v>
      </c>
      <c r="OT13" s="612"/>
      <c r="OU13" s="612"/>
      <c r="OV13" s="613"/>
      <c r="OW13" s="608" t="s">
        <v>570</v>
      </c>
      <c r="OX13" s="614" t="s">
        <v>668</v>
      </c>
      <c r="OY13" s="615"/>
      <c r="OZ13" s="615"/>
      <c r="PA13" s="616"/>
      <c r="PB13" s="345">
        <v>44247</v>
      </c>
      <c r="PC13" s="614" t="s">
        <v>672</v>
      </c>
      <c r="PD13" s="615"/>
      <c r="PE13" s="615"/>
      <c r="PF13" s="616"/>
      <c r="PG13" s="352">
        <v>44248</v>
      </c>
      <c r="PH13" s="479"/>
      <c r="PI13" s="507" t="s">
        <v>3</v>
      </c>
      <c r="PJ13" s="485"/>
      <c r="PK13" s="485"/>
      <c r="PL13" s="485"/>
      <c r="PM13" s="486"/>
      <c r="PN13" s="611">
        <v>44249</v>
      </c>
      <c r="PO13" s="612"/>
      <c r="PP13" s="612"/>
      <c r="PQ13" s="613"/>
      <c r="PR13" s="608" t="s">
        <v>559</v>
      </c>
      <c r="PS13" s="611">
        <v>44250</v>
      </c>
      <c r="PT13" s="612"/>
      <c r="PU13" s="612"/>
      <c r="PV13" s="613"/>
      <c r="PW13" s="353">
        <v>44250</v>
      </c>
      <c r="PX13" s="611">
        <v>44251</v>
      </c>
      <c r="PY13" s="612"/>
      <c r="PZ13" s="612"/>
      <c r="QA13" s="613"/>
      <c r="QB13" s="355">
        <v>44251</v>
      </c>
      <c r="QC13" s="611">
        <v>44256</v>
      </c>
      <c r="QD13" s="612"/>
      <c r="QE13" s="612"/>
      <c r="QF13" s="613"/>
      <c r="QG13" s="608" t="s">
        <v>559</v>
      </c>
      <c r="QH13" s="479"/>
      <c r="QI13" s="507" t="s">
        <v>3</v>
      </c>
      <c r="QJ13" s="485"/>
      <c r="QK13" s="485"/>
      <c r="QL13" s="485"/>
      <c r="QM13" s="486"/>
      <c r="QN13" s="611">
        <v>44258</v>
      </c>
      <c r="QO13" s="612"/>
      <c r="QP13" s="612"/>
      <c r="QQ13" s="613"/>
      <c r="QR13" s="608" t="s">
        <v>570</v>
      </c>
      <c r="QS13" s="611">
        <v>44263</v>
      </c>
      <c r="QT13" s="612"/>
      <c r="QU13" s="612"/>
      <c r="QV13" s="613"/>
      <c r="QW13" s="608" t="s">
        <v>559</v>
      </c>
      <c r="QX13" s="611">
        <v>44265</v>
      </c>
      <c r="QY13" s="612"/>
      <c r="QZ13" s="612"/>
      <c r="RA13" s="613"/>
      <c r="RB13" s="356">
        <v>44265</v>
      </c>
      <c r="RC13" s="611">
        <v>44266</v>
      </c>
      <c r="RD13" s="612"/>
      <c r="RE13" s="612"/>
      <c r="RF13" s="613"/>
      <c r="RG13" s="608" t="s">
        <v>570</v>
      </c>
      <c r="RH13" s="479"/>
      <c r="RI13" s="507" t="s">
        <v>3</v>
      </c>
      <c r="RJ13" s="485"/>
      <c r="RK13" s="485"/>
      <c r="RL13" s="485"/>
      <c r="RM13" s="486"/>
      <c r="RN13" s="611">
        <v>44268</v>
      </c>
      <c r="RO13" s="612"/>
      <c r="RP13" s="612"/>
      <c r="RQ13" s="613"/>
      <c r="RR13" s="608" t="s">
        <v>570</v>
      </c>
      <c r="RS13" s="611">
        <v>44269</v>
      </c>
      <c r="RT13" s="612"/>
      <c r="RU13" s="612"/>
      <c r="RV13" s="613"/>
      <c r="RW13" s="368">
        <v>44269</v>
      </c>
      <c r="RX13" s="611">
        <v>44270</v>
      </c>
      <c r="RY13" s="612"/>
      <c r="RZ13" s="612"/>
      <c r="SA13" s="613"/>
      <c r="SB13" s="369">
        <v>44270</v>
      </c>
      <c r="SC13" s="611">
        <v>44272</v>
      </c>
      <c r="SD13" s="612"/>
      <c r="SE13" s="612"/>
      <c r="SF13" s="613"/>
      <c r="SG13" s="372">
        <v>44272</v>
      </c>
      <c r="SH13" s="479"/>
      <c r="SI13" s="507" t="s">
        <v>3</v>
      </c>
      <c r="SJ13" s="485"/>
      <c r="SK13" s="485"/>
      <c r="SL13" s="485"/>
      <c r="SM13" s="486"/>
      <c r="SN13" s="611">
        <v>44273</v>
      </c>
      <c r="SO13" s="612"/>
      <c r="SP13" s="612"/>
      <c r="SQ13" s="613"/>
      <c r="SR13" s="608" t="s">
        <v>570</v>
      </c>
      <c r="SS13" s="611">
        <v>44274</v>
      </c>
      <c r="ST13" s="612"/>
      <c r="SU13" s="612"/>
      <c r="SV13" s="613"/>
      <c r="SW13" s="608" t="s">
        <v>559</v>
      </c>
      <c r="SX13" s="611">
        <v>44277</v>
      </c>
      <c r="SY13" s="612"/>
      <c r="SZ13" s="612"/>
      <c r="TA13" s="613"/>
      <c r="TB13" s="390">
        <v>44277</v>
      </c>
      <c r="TC13" s="611">
        <v>44278</v>
      </c>
      <c r="TD13" s="612"/>
      <c r="TE13" s="612"/>
      <c r="TF13" s="613"/>
      <c r="TG13" s="390">
        <v>44278</v>
      </c>
      <c r="TH13" s="479"/>
      <c r="TI13" s="507" t="s">
        <v>3</v>
      </c>
      <c r="TJ13" s="485"/>
      <c r="TK13" s="485"/>
      <c r="TL13" s="485"/>
      <c r="TM13" s="486"/>
      <c r="TN13" s="611">
        <v>44279</v>
      </c>
      <c r="TO13" s="612"/>
      <c r="TP13" s="612"/>
      <c r="TQ13" s="613"/>
      <c r="TR13" s="373">
        <v>44279</v>
      </c>
      <c r="TS13" s="611">
        <v>44279</v>
      </c>
      <c r="TT13" s="612"/>
      <c r="TU13" s="612"/>
      <c r="TV13" s="613"/>
      <c r="TW13" s="611">
        <v>44280</v>
      </c>
      <c r="TX13" s="612"/>
      <c r="TY13" s="612"/>
      <c r="TZ13" s="613"/>
      <c r="UA13" s="384">
        <v>44280</v>
      </c>
      <c r="UB13" s="611">
        <v>44281</v>
      </c>
      <c r="UC13" s="612"/>
      <c r="UD13" s="612"/>
      <c r="UE13" s="613"/>
      <c r="UF13" s="384">
        <v>44281</v>
      </c>
      <c r="UG13" s="611">
        <v>44282</v>
      </c>
      <c r="UH13" s="612"/>
      <c r="UI13" s="612"/>
      <c r="UJ13" s="613"/>
      <c r="UK13" s="384">
        <v>44282</v>
      </c>
      <c r="UL13" s="479"/>
      <c r="UM13" s="507" t="s">
        <v>3</v>
      </c>
      <c r="UN13" s="485"/>
      <c r="UO13" s="485"/>
      <c r="UP13" s="485"/>
      <c r="UQ13" s="486"/>
      <c r="UR13" s="611">
        <v>44283</v>
      </c>
      <c r="US13" s="612"/>
      <c r="UT13" s="612"/>
      <c r="UU13" s="613"/>
      <c r="UV13" s="608" t="s">
        <v>570</v>
      </c>
      <c r="UW13" s="611">
        <v>44284</v>
      </c>
      <c r="UX13" s="612"/>
      <c r="UY13" s="612"/>
      <c r="UZ13" s="613"/>
      <c r="VA13" s="386">
        <v>44284</v>
      </c>
      <c r="VB13" s="611">
        <v>44286</v>
      </c>
      <c r="VC13" s="612"/>
      <c r="VD13" s="612"/>
      <c r="VE13" s="613"/>
      <c r="VF13" s="389">
        <v>44286</v>
      </c>
      <c r="VG13" s="611"/>
      <c r="VH13" s="612"/>
      <c r="VI13" s="612"/>
      <c r="VJ13" s="613"/>
      <c r="VK13" s="384"/>
      <c r="VL13" s="376"/>
      <c r="VM13" s="611"/>
      <c r="VN13" s="612"/>
      <c r="VO13" s="612"/>
      <c r="VP13" s="613"/>
      <c r="VQ13" s="300"/>
      <c r="VR13" s="285"/>
    </row>
    <row r="14" spans="1:590" ht="45" customHeight="1" x14ac:dyDescent="0.4">
      <c r="A14" s="479"/>
      <c r="B14" s="511"/>
      <c r="C14" s="487"/>
      <c r="D14" s="487"/>
      <c r="E14" s="487"/>
      <c r="F14" s="488"/>
      <c r="G14" s="496" t="s">
        <v>150</v>
      </c>
      <c r="H14" s="497"/>
      <c r="I14" s="497"/>
      <c r="J14" s="498"/>
      <c r="K14" s="81" t="s">
        <v>521</v>
      </c>
      <c r="L14" s="496" t="s">
        <v>150</v>
      </c>
      <c r="M14" s="497"/>
      <c r="N14" s="497"/>
      <c r="O14" s="498"/>
      <c r="P14" s="81" t="s">
        <v>521</v>
      </c>
      <c r="Q14" s="496" t="s">
        <v>150</v>
      </c>
      <c r="R14" s="497"/>
      <c r="S14" s="497"/>
      <c r="T14" s="498"/>
      <c r="U14" s="81" t="s">
        <v>521</v>
      </c>
      <c r="V14" s="496" t="s">
        <v>150</v>
      </c>
      <c r="W14" s="497"/>
      <c r="X14" s="497"/>
      <c r="Y14" s="498"/>
      <c r="Z14" s="81" t="s">
        <v>521</v>
      </c>
      <c r="AA14" s="479"/>
      <c r="AB14" s="511"/>
      <c r="AC14" s="487"/>
      <c r="AD14" s="487"/>
      <c r="AE14" s="487"/>
      <c r="AF14" s="488"/>
      <c r="AG14" s="496" t="s">
        <v>150</v>
      </c>
      <c r="AH14" s="497"/>
      <c r="AI14" s="497"/>
      <c r="AJ14" s="498"/>
      <c r="AK14" s="81" t="s">
        <v>521</v>
      </c>
      <c r="AL14" s="496" t="s">
        <v>150</v>
      </c>
      <c r="AM14" s="497"/>
      <c r="AN14" s="497"/>
      <c r="AO14" s="498"/>
      <c r="AP14" s="81" t="s">
        <v>521</v>
      </c>
      <c r="AQ14" s="496" t="s">
        <v>150</v>
      </c>
      <c r="AR14" s="497"/>
      <c r="AS14" s="497"/>
      <c r="AT14" s="498"/>
      <c r="AU14" s="81" t="s">
        <v>159</v>
      </c>
      <c r="AV14" s="496" t="s">
        <v>150</v>
      </c>
      <c r="AW14" s="497"/>
      <c r="AX14" s="497"/>
      <c r="AY14" s="498"/>
      <c r="AZ14" s="81" t="s">
        <v>521</v>
      </c>
      <c r="BA14" s="479"/>
      <c r="BB14" s="511"/>
      <c r="BC14" s="487"/>
      <c r="BD14" s="487"/>
      <c r="BE14" s="487"/>
      <c r="BF14" s="488"/>
      <c r="BG14" s="496" t="s">
        <v>159</v>
      </c>
      <c r="BH14" s="497"/>
      <c r="BI14" s="497"/>
      <c r="BJ14" s="498"/>
      <c r="BK14" s="81" t="s">
        <v>159</v>
      </c>
      <c r="BL14" s="496" t="s">
        <v>545</v>
      </c>
      <c r="BM14" s="497"/>
      <c r="BN14" s="497"/>
      <c r="BO14" s="498"/>
      <c r="BP14" s="81" t="s">
        <v>545</v>
      </c>
      <c r="BQ14" s="496" t="s">
        <v>159</v>
      </c>
      <c r="BR14" s="497"/>
      <c r="BS14" s="497"/>
      <c r="BT14" s="498"/>
      <c r="BU14" s="81" t="s">
        <v>159</v>
      </c>
      <c r="BV14" s="496" t="s">
        <v>548</v>
      </c>
      <c r="BW14" s="497"/>
      <c r="BX14" s="497"/>
      <c r="BY14" s="498"/>
      <c r="BZ14" s="81" t="s">
        <v>548</v>
      </c>
      <c r="CA14" s="479"/>
      <c r="CB14" s="511"/>
      <c r="CC14" s="487"/>
      <c r="CD14" s="487"/>
      <c r="CE14" s="487"/>
      <c r="CF14" s="488"/>
      <c r="CG14" s="496" t="s">
        <v>159</v>
      </c>
      <c r="CH14" s="497"/>
      <c r="CI14" s="497"/>
      <c r="CJ14" s="498"/>
      <c r="CK14" s="81" t="s">
        <v>159</v>
      </c>
      <c r="CL14" s="496" t="s">
        <v>159</v>
      </c>
      <c r="CM14" s="497"/>
      <c r="CN14" s="497"/>
      <c r="CO14" s="498"/>
      <c r="CP14" s="81" t="s">
        <v>159</v>
      </c>
      <c r="CQ14" s="496" t="s">
        <v>159</v>
      </c>
      <c r="CR14" s="497"/>
      <c r="CS14" s="497"/>
      <c r="CT14" s="498"/>
      <c r="CU14" s="81" t="s">
        <v>159</v>
      </c>
      <c r="CV14" s="496" t="s">
        <v>159</v>
      </c>
      <c r="CW14" s="497"/>
      <c r="CX14" s="497"/>
      <c r="CY14" s="498"/>
      <c r="CZ14" s="624"/>
      <c r="DA14" s="625"/>
      <c r="DB14" s="625"/>
      <c r="DC14" s="626"/>
      <c r="DD14" s="479"/>
      <c r="DE14" s="511"/>
      <c r="DF14" s="487"/>
      <c r="DG14" s="487"/>
      <c r="DH14" s="487"/>
      <c r="DI14" s="488"/>
      <c r="DJ14" s="496" t="s">
        <v>159</v>
      </c>
      <c r="DK14" s="497"/>
      <c r="DL14" s="497"/>
      <c r="DM14" s="498"/>
      <c r="DN14" s="81" t="s">
        <v>159</v>
      </c>
      <c r="DO14" s="496" t="s">
        <v>159</v>
      </c>
      <c r="DP14" s="497"/>
      <c r="DQ14" s="497"/>
      <c r="DR14" s="498"/>
      <c r="DS14" s="81" t="s">
        <v>159</v>
      </c>
      <c r="DT14" s="496" t="s">
        <v>159</v>
      </c>
      <c r="DU14" s="497"/>
      <c r="DV14" s="497"/>
      <c r="DW14" s="498"/>
      <c r="DX14" s="81" t="s">
        <v>159</v>
      </c>
      <c r="DY14" s="496" t="s">
        <v>159</v>
      </c>
      <c r="DZ14" s="497"/>
      <c r="EA14" s="497"/>
      <c r="EB14" s="498"/>
      <c r="EC14" s="609"/>
      <c r="ED14" s="479"/>
      <c r="EE14" s="511"/>
      <c r="EF14" s="487"/>
      <c r="EG14" s="487"/>
      <c r="EH14" s="487"/>
      <c r="EI14" s="488"/>
      <c r="EJ14" s="496" t="s">
        <v>159</v>
      </c>
      <c r="EK14" s="497"/>
      <c r="EL14" s="497"/>
      <c r="EM14" s="498"/>
      <c r="EN14" s="81" t="s">
        <v>159</v>
      </c>
      <c r="EO14" s="496" t="s">
        <v>159</v>
      </c>
      <c r="EP14" s="497"/>
      <c r="EQ14" s="497"/>
      <c r="ER14" s="498"/>
      <c r="ES14" s="81" t="s">
        <v>159</v>
      </c>
      <c r="ET14" s="496" t="s">
        <v>159</v>
      </c>
      <c r="EU14" s="497"/>
      <c r="EV14" s="497"/>
      <c r="EW14" s="498"/>
      <c r="EX14" s="81" t="s">
        <v>159</v>
      </c>
      <c r="EY14" s="496" t="s">
        <v>159</v>
      </c>
      <c r="EZ14" s="497"/>
      <c r="FA14" s="497"/>
      <c r="FB14" s="498"/>
      <c r="FC14" s="81" t="s">
        <v>159</v>
      </c>
      <c r="FD14" s="479"/>
      <c r="FE14" s="511"/>
      <c r="FF14" s="487"/>
      <c r="FG14" s="487"/>
      <c r="FH14" s="487"/>
      <c r="FI14" s="488"/>
      <c r="FJ14" s="496" t="s">
        <v>159</v>
      </c>
      <c r="FK14" s="497"/>
      <c r="FL14" s="497"/>
      <c r="FM14" s="498"/>
      <c r="FN14" s="81" t="s">
        <v>159</v>
      </c>
      <c r="FO14" s="496" t="s">
        <v>159</v>
      </c>
      <c r="FP14" s="497"/>
      <c r="FQ14" s="497"/>
      <c r="FR14" s="498"/>
      <c r="FS14" s="81" t="s">
        <v>583</v>
      </c>
      <c r="FT14" s="496" t="s">
        <v>159</v>
      </c>
      <c r="FU14" s="497"/>
      <c r="FV14" s="497"/>
      <c r="FW14" s="498"/>
      <c r="FX14" s="81" t="s">
        <v>159</v>
      </c>
      <c r="FY14" s="496" t="s">
        <v>159</v>
      </c>
      <c r="FZ14" s="497"/>
      <c r="GA14" s="497"/>
      <c r="GB14" s="498"/>
      <c r="GC14" s="81" t="s">
        <v>159</v>
      </c>
      <c r="GD14" s="479"/>
      <c r="GE14" s="511"/>
      <c r="GF14" s="487"/>
      <c r="GG14" s="487"/>
      <c r="GH14" s="487"/>
      <c r="GI14" s="488"/>
      <c r="GJ14" s="496" t="s">
        <v>159</v>
      </c>
      <c r="GK14" s="497"/>
      <c r="GL14" s="497"/>
      <c r="GM14" s="498"/>
      <c r="GN14" s="81" t="s">
        <v>159</v>
      </c>
      <c r="GO14" s="496" t="s">
        <v>159</v>
      </c>
      <c r="GP14" s="497"/>
      <c r="GQ14" s="497"/>
      <c r="GR14" s="498"/>
      <c r="GS14" s="81" t="s">
        <v>159</v>
      </c>
      <c r="GT14" s="496" t="s">
        <v>159</v>
      </c>
      <c r="GU14" s="497"/>
      <c r="GV14" s="497"/>
      <c r="GW14" s="498"/>
      <c r="GX14" s="81" t="s">
        <v>159</v>
      </c>
      <c r="GY14" s="496" t="s">
        <v>159</v>
      </c>
      <c r="GZ14" s="497"/>
      <c r="HA14" s="497"/>
      <c r="HB14" s="498"/>
      <c r="HC14" s="609"/>
      <c r="HD14" s="479"/>
      <c r="HE14" s="511"/>
      <c r="HF14" s="487"/>
      <c r="HG14" s="487"/>
      <c r="HH14" s="487"/>
      <c r="HI14" s="488"/>
      <c r="HJ14" s="496" t="s">
        <v>159</v>
      </c>
      <c r="HK14" s="497"/>
      <c r="HL14" s="497"/>
      <c r="HM14" s="498"/>
      <c r="HN14" s="609"/>
      <c r="HO14" s="496" t="s">
        <v>159</v>
      </c>
      <c r="HP14" s="497"/>
      <c r="HQ14" s="497"/>
      <c r="HR14" s="498"/>
      <c r="HS14" s="81" t="s">
        <v>159</v>
      </c>
      <c r="HT14" s="496" t="s">
        <v>159</v>
      </c>
      <c r="HU14" s="497"/>
      <c r="HV14" s="497"/>
      <c r="HW14" s="498"/>
      <c r="HX14" s="81" t="s">
        <v>159</v>
      </c>
      <c r="HY14" s="496" t="s">
        <v>159</v>
      </c>
      <c r="HZ14" s="497"/>
      <c r="IA14" s="497"/>
      <c r="IB14" s="498"/>
      <c r="IC14" s="81" t="s">
        <v>159</v>
      </c>
      <c r="ID14" s="479"/>
      <c r="IE14" s="511"/>
      <c r="IF14" s="487"/>
      <c r="IG14" s="487"/>
      <c r="IH14" s="487"/>
      <c r="II14" s="488"/>
      <c r="IJ14" s="496" t="s">
        <v>159</v>
      </c>
      <c r="IK14" s="497"/>
      <c r="IL14" s="497"/>
      <c r="IM14" s="498"/>
      <c r="IN14" s="81" t="s">
        <v>159</v>
      </c>
      <c r="IO14" s="496" t="s">
        <v>159</v>
      </c>
      <c r="IP14" s="497"/>
      <c r="IQ14" s="497"/>
      <c r="IR14" s="498"/>
      <c r="IS14" s="81" t="s">
        <v>159</v>
      </c>
      <c r="IT14" s="496" t="s">
        <v>159</v>
      </c>
      <c r="IU14" s="497"/>
      <c r="IV14" s="497"/>
      <c r="IW14" s="498"/>
      <c r="IX14" s="81" t="s">
        <v>159</v>
      </c>
      <c r="IY14" s="496" t="s">
        <v>159</v>
      </c>
      <c r="IZ14" s="497"/>
      <c r="JA14" s="497"/>
      <c r="JB14" s="498"/>
      <c r="JC14" s="81" t="s">
        <v>159</v>
      </c>
      <c r="JD14" s="479"/>
      <c r="JE14" s="511"/>
      <c r="JF14" s="487"/>
      <c r="JG14" s="487"/>
      <c r="JH14" s="487"/>
      <c r="JI14" s="488"/>
      <c r="JJ14" s="496" t="s">
        <v>159</v>
      </c>
      <c r="JK14" s="497"/>
      <c r="JL14" s="497"/>
      <c r="JM14" s="498"/>
      <c r="JN14" s="81" t="s">
        <v>159</v>
      </c>
      <c r="JO14" s="496" t="s">
        <v>159</v>
      </c>
      <c r="JP14" s="497"/>
      <c r="JQ14" s="497"/>
      <c r="JR14" s="498"/>
      <c r="JS14" s="609"/>
      <c r="JT14" s="496" t="s">
        <v>159</v>
      </c>
      <c r="JU14" s="497"/>
      <c r="JV14" s="497"/>
      <c r="JW14" s="498"/>
      <c r="JX14" s="609"/>
      <c r="JY14" s="496" t="s">
        <v>159</v>
      </c>
      <c r="JZ14" s="497"/>
      <c r="KA14" s="497"/>
      <c r="KB14" s="498"/>
      <c r="KC14" s="81" t="s">
        <v>159</v>
      </c>
      <c r="KD14" s="479"/>
      <c r="KE14" s="511"/>
      <c r="KF14" s="487"/>
      <c r="KG14" s="487"/>
      <c r="KH14" s="487"/>
      <c r="KI14" s="488"/>
      <c r="KJ14" s="496" t="s">
        <v>159</v>
      </c>
      <c r="KK14" s="497"/>
      <c r="KL14" s="497"/>
      <c r="KM14" s="498"/>
      <c r="KN14" s="609"/>
      <c r="KO14" s="496" t="s">
        <v>626</v>
      </c>
      <c r="KP14" s="497"/>
      <c r="KQ14" s="497"/>
      <c r="KR14" s="498"/>
      <c r="KS14" s="81" t="s">
        <v>626</v>
      </c>
      <c r="KT14" s="496" t="s">
        <v>521</v>
      </c>
      <c r="KU14" s="497"/>
      <c r="KV14" s="497"/>
      <c r="KW14" s="498"/>
      <c r="KX14" s="609"/>
      <c r="KY14" s="496" t="s">
        <v>521</v>
      </c>
      <c r="KZ14" s="497"/>
      <c r="LA14" s="497"/>
      <c r="LB14" s="498"/>
      <c r="LC14" s="609"/>
      <c r="LD14" s="479"/>
      <c r="LE14" s="511"/>
      <c r="LF14" s="487"/>
      <c r="LG14" s="487"/>
      <c r="LH14" s="487"/>
      <c r="LI14" s="488"/>
      <c r="LJ14" s="496" t="s">
        <v>521</v>
      </c>
      <c r="LK14" s="497"/>
      <c r="LL14" s="497"/>
      <c r="LM14" s="498"/>
      <c r="LN14" s="81" t="s">
        <v>633</v>
      </c>
      <c r="LO14" s="496" t="s">
        <v>521</v>
      </c>
      <c r="LP14" s="497"/>
      <c r="LQ14" s="497"/>
      <c r="LR14" s="498"/>
      <c r="LS14" s="609"/>
      <c r="LT14" s="496" t="s">
        <v>521</v>
      </c>
      <c r="LU14" s="497"/>
      <c r="LV14" s="497"/>
      <c r="LW14" s="498"/>
      <c r="LX14" s="609"/>
      <c r="LY14" s="496" t="s">
        <v>521</v>
      </c>
      <c r="LZ14" s="497"/>
      <c r="MA14" s="497"/>
      <c r="MB14" s="498"/>
      <c r="MC14" s="81" t="s">
        <v>521</v>
      </c>
      <c r="MD14" s="479"/>
      <c r="ME14" s="511"/>
      <c r="MF14" s="487"/>
      <c r="MG14" s="487"/>
      <c r="MH14" s="487"/>
      <c r="MI14" s="488"/>
      <c r="MJ14" s="496" t="s">
        <v>521</v>
      </c>
      <c r="MK14" s="497"/>
      <c r="ML14" s="497"/>
      <c r="MM14" s="498"/>
      <c r="MN14" s="609"/>
      <c r="MO14" s="496" t="s">
        <v>521</v>
      </c>
      <c r="MP14" s="497"/>
      <c r="MQ14" s="497"/>
      <c r="MR14" s="498"/>
      <c r="MS14" s="609"/>
      <c r="MT14" s="496" t="s">
        <v>521</v>
      </c>
      <c r="MU14" s="497"/>
      <c r="MV14" s="497"/>
      <c r="MW14" s="498"/>
      <c r="MX14" s="81" t="s">
        <v>648</v>
      </c>
      <c r="MY14" s="496" t="s">
        <v>521</v>
      </c>
      <c r="MZ14" s="497"/>
      <c r="NA14" s="497"/>
      <c r="NB14" s="498"/>
      <c r="NC14" s="311"/>
      <c r="ND14" s="321"/>
      <c r="NE14" s="609"/>
      <c r="NF14" s="479"/>
      <c r="NG14" s="511"/>
      <c r="NH14" s="487"/>
      <c r="NI14" s="487"/>
      <c r="NJ14" s="487"/>
      <c r="NK14" s="488"/>
      <c r="NL14" s="496" t="s">
        <v>521</v>
      </c>
      <c r="NM14" s="497"/>
      <c r="NN14" s="497"/>
      <c r="NO14" s="498"/>
      <c r="NP14" s="609"/>
      <c r="NQ14" s="496" t="s">
        <v>521</v>
      </c>
      <c r="NR14" s="497"/>
      <c r="NS14" s="497"/>
      <c r="NT14" s="498"/>
      <c r="NU14" s="81" t="s">
        <v>656</v>
      </c>
      <c r="NV14" s="496" t="s">
        <v>521</v>
      </c>
      <c r="NW14" s="497"/>
      <c r="NX14" s="497"/>
      <c r="NY14" s="498"/>
      <c r="NZ14" s="609"/>
      <c r="OA14" s="496" t="s">
        <v>521</v>
      </c>
      <c r="OB14" s="497"/>
      <c r="OC14" s="497"/>
      <c r="OD14" s="498"/>
      <c r="OE14" s="332"/>
      <c r="OF14" s="332"/>
      <c r="OG14" s="81" t="s">
        <v>521</v>
      </c>
      <c r="OH14" s="479"/>
      <c r="OI14" s="511"/>
      <c r="OJ14" s="487"/>
      <c r="OK14" s="487"/>
      <c r="OL14" s="487"/>
      <c r="OM14" s="488"/>
      <c r="ON14" s="496" t="s">
        <v>159</v>
      </c>
      <c r="OO14" s="497"/>
      <c r="OP14" s="497"/>
      <c r="OQ14" s="498"/>
      <c r="OR14" s="609"/>
      <c r="OS14" s="496" t="s">
        <v>159</v>
      </c>
      <c r="OT14" s="497"/>
      <c r="OU14" s="497"/>
      <c r="OV14" s="498"/>
      <c r="OW14" s="609"/>
      <c r="OX14" s="496" t="s">
        <v>159</v>
      </c>
      <c r="OY14" s="497"/>
      <c r="OZ14" s="497"/>
      <c r="PA14" s="498"/>
      <c r="PB14" s="81" t="s">
        <v>521</v>
      </c>
      <c r="PC14" s="496" t="s">
        <v>159</v>
      </c>
      <c r="PD14" s="497"/>
      <c r="PE14" s="497"/>
      <c r="PF14" s="498"/>
      <c r="PG14" s="81" t="s">
        <v>521</v>
      </c>
      <c r="PH14" s="479"/>
      <c r="PI14" s="511"/>
      <c r="PJ14" s="487"/>
      <c r="PK14" s="487"/>
      <c r="PL14" s="487"/>
      <c r="PM14" s="488"/>
      <c r="PN14" s="496" t="s">
        <v>159</v>
      </c>
      <c r="PO14" s="497"/>
      <c r="PP14" s="497"/>
      <c r="PQ14" s="498"/>
      <c r="PR14" s="609"/>
      <c r="PS14" s="496" t="s">
        <v>159</v>
      </c>
      <c r="PT14" s="497"/>
      <c r="PU14" s="497"/>
      <c r="PV14" s="498"/>
      <c r="PW14" s="81" t="s">
        <v>521</v>
      </c>
      <c r="PX14" s="496" t="s">
        <v>159</v>
      </c>
      <c r="PY14" s="497"/>
      <c r="PZ14" s="497"/>
      <c r="QA14" s="498"/>
      <c r="QB14" s="81" t="s">
        <v>521</v>
      </c>
      <c r="QC14" s="496" t="s">
        <v>159</v>
      </c>
      <c r="QD14" s="497"/>
      <c r="QE14" s="497"/>
      <c r="QF14" s="498"/>
      <c r="QG14" s="609"/>
      <c r="QH14" s="479"/>
      <c r="QI14" s="511"/>
      <c r="QJ14" s="487"/>
      <c r="QK14" s="487"/>
      <c r="QL14" s="487"/>
      <c r="QM14" s="488"/>
      <c r="QN14" s="496" t="s">
        <v>159</v>
      </c>
      <c r="QO14" s="497"/>
      <c r="QP14" s="497"/>
      <c r="QQ14" s="498"/>
      <c r="QR14" s="609"/>
      <c r="QS14" s="496" t="s">
        <v>159</v>
      </c>
      <c r="QT14" s="497"/>
      <c r="QU14" s="497"/>
      <c r="QV14" s="498"/>
      <c r="QW14" s="609"/>
      <c r="QX14" s="496" t="s">
        <v>159</v>
      </c>
      <c r="QY14" s="497"/>
      <c r="QZ14" s="497"/>
      <c r="RA14" s="498"/>
      <c r="RB14" s="81" t="s">
        <v>521</v>
      </c>
      <c r="RC14" s="496" t="s">
        <v>159</v>
      </c>
      <c r="RD14" s="497"/>
      <c r="RE14" s="497"/>
      <c r="RF14" s="498"/>
      <c r="RG14" s="609"/>
      <c r="RH14" s="479"/>
      <c r="RI14" s="511"/>
      <c r="RJ14" s="487"/>
      <c r="RK14" s="487"/>
      <c r="RL14" s="487"/>
      <c r="RM14" s="488"/>
      <c r="RN14" s="496" t="s">
        <v>159</v>
      </c>
      <c r="RO14" s="497"/>
      <c r="RP14" s="497"/>
      <c r="RQ14" s="498"/>
      <c r="RR14" s="609"/>
      <c r="RS14" s="496" t="s">
        <v>159</v>
      </c>
      <c r="RT14" s="497"/>
      <c r="RU14" s="497"/>
      <c r="RV14" s="498"/>
      <c r="RW14" s="81" t="s">
        <v>521</v>
      </c>
      <c r="RX14" s="496" t="s">
        <v>159</v>
      </c>
      <c r="RY14" s="497"/>
      <c r="RZ14" s="497"/>
      <c r="SA14" s="498"/>
      <c r="SB14" s="81" t="s">
        <v>521</v>
      </c>
      <c r="SC14" s="496" t="s">
        <v>159</v>
      </c>
      <c r="SD14" s="497"/>
      <c r="SE14" s="497"/>
      <c r="SF14" s="498"/>
      <c r="SG14" s="81" t="s">
        <v>521</v>
      </c>
      <c r="SH14" s="479"/>
      <c r="SI14" s="511"/>
      <c r="SJ14" s="487"/>
      <c r="SK14" s="487"/>
      <c r="SL14" s="487"/>
      <c r="SM14" s="488"/>
      <c r="SN14" s="496" t="s">
        <v>159</v>
      </c>
      <c r="SO14" s="497"/>
      <c r="SP14" s="497"/>
      <c r="SQ14" s="498"/>
      <c r="SR14" s="609"/>
      <c r="SS14" s="496" t="s">
        <v>159</v>
      </c>
      <c r="ST14" s="497"/>
      <c r="SU14" s="497"/>
      <c r="SV14" s="498"/>
      <c r="SW14" s="609"/>
      <c r="SX14" s="496" t="s">
        <v>159</v>
      </c>
      <c r="SY14" s="497"/>
      <c r="SZ14" s="497"/>
      <c r="TA14" s="498"/>
      <c r="TB14" s="81" t="s">
        <v>521</v>
      </c>
      <c r="TC14" s="496" t="s">
        <v>159</v>
      </c>
      <c r="TD14" s="497"/>
      <c r="TE14" s="497"/>
      <c r="TF14" s="498"/>
      <c r="TG14" s="81" t="s">
        <v>521</v>
      </c>
      <c r="TH14" s="479"/>
      <c r="TI14" s="511"/>
      <c r="TJ14" s="487"/>
      <c r="TK14" s="487"/>
      <c r="TL14" s="487"/>
      <c r="TM14" s="488"/>
      <c r="TN14" s="496" t="s">
        <v>159</v>
      </c>
      <c r="TO14" s="497"/>
      <c r="TP14" s="497"/>
      <c r="TQ14" s="498"/>
      <c r="TR14" s="81" t="s">
        <v>521</v>
      </c>
      <c r="TS14" s="496" t="s">
        <v>678</v>
      </c>
      <c r="TT14" s="497"/>
      <c r="TU14" s="497"/>
      <c r="TV14" s="498"/>
      <c r="TW14" s="496" t="s">
        <v>159</v>
      </c>
      <c r="TX14" s="497"/>
      <c r="TY14" s="497"/>
      <c r="TZ14" s="498"/>
      <c r="UA14" s="81" t="s">
        <v>521</v>
      </c>
      <c r="UB14" s="496" t="s">
        <v>159</v>
      </c>
      <c r="UC14" s="497"/>
      <c r="UD14" s="497"/>
      <c r="UE14" s="498"/>
      <c r="UF14" s="81" t="s">
        <v>521</v>
      </c>
      <c r="UG14" s="496" t="s">
        <v>159</v>
      </c>
      <c r="UH14" s="497"/>
      <c r="UI14" s="497"/>
      <c r="UJ14" s="498"/>
      <c r="UK14" s="81" t="s">
        <v>521</v>
      </c>
      <c r="UL14" s="479"/>
      <c r="UM14" s="511"/>
      <c r="UN14" s="487"/>
      <c r="UO14" s="487"/>
      <c r="UP14" s="487"/>
      <c r="UQ14" s="488"/>
      <c r="UR14" s="496" t="s">
        <v>159</v>
      </c>
      <c r="US14" s="497"/>
      <c r="UT14" s="497"/>
      <c r="UU14" s="498"/>
      <c r="UV14" s="609"/>
      <c r="UW14" s="496" t="s">
        <v>159</v>
      </c>
      <c r="UX14" s="497"/>
      <c r="UY14" s="497"/>
      <c r="UZ14" s="498"/>
      <c r="VA14" s="81" t="s">
        <v>521</v>
      </c>
      <c r="VB14" s="496" t="s">
        <v>159</v>
      </c>
      <c r="VC14" s="497"/>
      <c r="VD14" s="497"/>
      <c r="VE14" s="498"/>
      <c r="VF14" s="81" t="s">
        <v>521</v>
      </c>
      <c r="VG14" s="496"/>
      <c r="VH14" s="497"/>
      <c r="VI14" s="497"/>
      <c r="VJ14" s="498"/>
      <c r="VK14" s="81"/>
      <c r="VL14" s="81"/>
      <c r="VM14" s="496"/>
      <c r="VN14" s="497"/>
      <c r="VO14" s="497"/>
      <c r="VP14" s="498"/>
      <c r="VQ14" s="81"/>
      <c r="VR14" s="83"/>
    </row>
    <row r="15" spans="1:590" ht="45" customHeight="1" x14ac:dyDescent="0.4">
      <c r="A15" s="479"/>
      <c r="B15" s="507" t="s">
        <v>1</v>
      </c>
      <c r="C15" s="485"/>
      <c r="D15" s="485"/>
      <c r="E15" s="485"/>
      <c r="F15" s="486"/>
      <c r="G15" s="584">
        <v>0.5</v>
      </c>
      <c r="H15" s="585"/>
      <c r="I15" s="585"/>
      <c r="J15" s="586"/>
      <c r="K15" s="82">
        <v>0.52083333333333337</v>
      </c>
      <c r="L15" s="584">
        <v>0.5</v>
      </c>
      <c r="M15" s="585"/>
      <c r="N15" s="585"/>
      <c r="O15" s="586"/>
      <c r="P15" s="82">
        <v>0.54166666666666663</v>
      </c>
      <c r="Q15" s="584">
        <v>0.5</v>
      </c>
      <c r="R15" s="585"/>
      <c r="S15" s="585"/>
      <c r="T15" s="586"/>
      <c r="U15" s="82">
        <v>0.52083333333333337</v>
      </c>
      <c r="V15" s="584">
        <v>0.52083333333333337</v>
      </c>
      <c r="W15" s="585"/>
      <c r="X15" s="585"/>
      <c r="Y15" s="586"/>
      <c r="Z15" s="82">
        <v>0.52083333333333337</v>
      </c>
      <c r="AA15" s="479"/>
      <c r="AB15" s="507" t="s">
        <v>1</v>
      </c>
      <c r="AC15" s="485"/>
      <c r="AD15" s="485"/>
      <c r="AE15" s="485"/>
      <c r="AF15" s="486"/>
      <c r="AG15" s="584">
        <v>0.5</v>
      </c>
      <c r="AH15" s="585"/>
      <c r="AI15" s="585"/>
      <c r="AJ15" s="586"/>
      <c r="AK15" s="82">
        <v>0.52083333333333337</v>
      </c>
      <c r="AL15" s="584">
        <v>0.52083333333333337</v>
      </c>
      <c r="AM15" s="585"/>
      <c r="AN15" s="585"/>
      <c r="AO15" s="586"/>
      <c r="AP15" s="82">
        <v>0.52083333333333337</v>
      </c>
      <c r="AQ15" s="584">
        <v>0.52083333333333337</v>
      </c>
      <c r="AR15" s="585"/>
      <c r="AS15" s="585"/>
      <c r="AT15" s="586"/>
      <c r="AU15" s="82">
        <v>0.52083333333333337</v>
      </c>
      <c r="AV15" s="584">
        <v>0.52083333333333337</v>
      </c>
      <c r="AW15" s="585"/>
      <c r="AX15" s="585"/>
      <c r="AY15" s="586"/>
      <c r="AZ15" s="82">
        <v>0.5</v>
      </c>
      <c r="BA15" s="479"/>
      <c r="BB15" s="507" t="s">
        <v>1</v>
      </c>
      <c r="BC15" s="485"/>
      <c r="BD15" s="485"/>
      <c r="BE15" s="485"/>
      <c r="BF15" s="486"/>
      <c r="BG15" s="584">
        <v>0.5</v>
      </c>
      <c r="BH15" s="585"/>
      <c r="BI15" s="585"/>
      <c r="BJ15" s="586"/>
      <c r="BK15" s="82">
        <v>0.5</v>
      </c>
      <c r="BL15" s="584">
        <v>0.54166666666666663</v>
      </c>
      <c r="BM15" s="585"/>
      <c r="BN15" s="585"/>
      <c r="BO15" s="586"/>
      <c r="BP15" s="82">
        <v>0.54166666666666663</v>
      </c>
      <c r="BQ15" s="584">
        <v>0.5</v>
      </c>
      <c r="BR15" s="585"/>
      <c r="BS15" s="585"/>
      <c r="BT15" s="586"/>
      <c r="BU15" s="82">
        <v>0.52083333333333337</v>
      </c>
      <c r="BV15" s="584">
        <v>0.5</v>
      </c>
      <c r="BW15" s="585"/>
      <c r="BX15" s="585"/>
      <c r="BY15" s="586"/>
      <c r="BZ15" s="82">
        <v>0.5</v>
      </c>
      <c r="CA15" s="479"/>
      <c r="CB15" s="507" t="s">
        <v>1</v>
      </c>
      <c r="CC15" s="485"/>
      <c r="CD15" s="485"/>
      <c r="CE15" s="485"/>
      <c r="CF15" s="486"/>
      <c r="CG15" s="584">
        <v>0.5</v>
      </c>
      <c r="CH15" s="585"/>
      <c r="CI15" s="585"/>
      <c r="CJ15" s="586"/>
      <c r="CK15" s="82">
        <v>0.5</v>
      </c>
      <c r="CL15" s="584">
        <v>0.52083333333333337</v>
      </c>
      <c r="CM15" s="585"/>
      <c r="CN15" s="585"/>
      <c r="CO15" s="586"/>
      <c r="CP15" s="82">
        <v>0.52083333333333337</v>
      </c>
      <c r="CQ15" s="584">
        <v>0.52083333333333337</v>
      </c>
      <c r="CR15" s="585"/>
      <c r="CS15" s="585"/>
      <c r="CT15" s="586"/>
      <c r="CU15" s="82">
        <v>0.5625</v>
      </c>
      <c r="CV15" s="584">
        <v>0.52083333333333337</v>
      </c>
      <c r="CW15" s="585"/>
      <c r="CX15" s="585"/>
      <c r="CY15" s="586"/>
      <c r="CZ15" s="624"/>
      <c r="DA15" s="625"/>
      <c r="DB15" s="625"/>
      <c r="DC15" s="626"/>
      <c r="DD15" s="479"/>
      <c r="DE15" s="507" t="s">
        <v>1</v>
      </c>
      <c r="DF15" s="485"/>
      <c r="DG15" s="485"/>
      <c r="DH15" s="485"/>
      <c r="DI15" s="486"/>
      <c r="DJ15" s="584">
        <v>0.5</v>
      </c>
      <c r="DK15" s="585"/>
      <c r="DL15" s="585"/>
      <c r="DM15" s="586"/>
      <c r="DN15" s="241">
        <v>0.52083333333333337</v>
      </c>
      <c r="DO15" s="584">
        <v>0.52083333333333337</v>
      </c>
      <c r="DP15" s="585"/>
      <c r="DQ15" s="585"/>
      <c r="DR15" s="586"/>
      <c r="DS15" s="241">
        <v>0.52083333333333337</v>
      </c>
      <c r="DT15" s="584">
        <v>0.5</v>
      </c>
      <c r="DU15" s="585"/>
      <c r="DV15" s="585"/>
      <c r="DW15" s="586"/>
      <c r="DX15" s="241">
        <v>0.52083333333333337</v>
      </c>
      <c r="DY15" s="584">
        <v>0.5</v>
      </c>
      <c r="DZ15" s="585"/>
      <c r="EA15" s="585"/>
      <c r="EB15" s="586"/>
      <c r="EC15" s="609"/>
      <c r="ED15" s="479"/>
      <c r="EE15" s="507" t="s">
        <v>1</v>
      </c>
      <c r="EF15" s="485"/>
      <c r="EG15" s="485"/>
      <c r="EH15" s="485"/>
      <c r="EI15" s="486"/>
      <c r="EJ15" s="584">
        <v>0.5</v>
      </c>
      <c r="EK15" s="585"/>
      <c r="EL15" s="585"/>
      <c r="EM15" s="586"/>
      <c r="EN15" s="82">
        <v>0.52083333333333337</v>
      </c>
      <c r="EO15" s="584">
        <v>0.5</v>
      </c>
      <c r="EP15" s="585"/>
      <c r="EQ15" s="585"/>
      <c r="ER15" s="586"/>
      <c r="ES15" s="82">
        <v>0.52083333333333337</v>
      </c>
      <c r="ET15" s="584">
        <v>0.5</v>
      </c>
      <c r="EU15" s="585"/>
      <c r="EV15" s="585"/>
      <c r="EW15" s="586"/>
      <c r="EX15" s="82">
        <v>0.52083333333333337</v>
      </c>
      <c r="EY15" s="584">
        <v>0.5</v>
      </c>
      <c r="EZ15" s="585"/>
      <c r="FA15" s="585"/>
      <c r="FB15" s="586"/>
      <c r="FC15" s="82">
        <v>0.52083333333333337</v>
      </c>
      <c r="FD15" s="479"/>
      <c r="FE15" s="507" t="s">
        <v>1</v>
      </c>
      <c r="FF15" s="485"/>
      <c r="FG15" s="485"/>
      <c r="FH15" s="485"/>
      <c r="FI15" s="486"/>
      <c r="FJ15" s="584">
        <v>0.5</v>
      </c>
      <c r="FK15" s="585"/>
      <c r="FL15" s="585"/>
      <c r="FM15" s="586"/>
      <c r="FN15" s="82">
        <v>0.52083333333333337</v>
      </c>
      <c r="FO15" s="584">
        <v>0.5</v>
      </c>
      <c r="FP15" s="585"/>
      <c r="FQ15" s="585"/>
      <c r="FR15" s="586"/>
      <c r="FS15" s="82">
        <v>0.52083333333333337</v>
      </c>
      <c r="FT15" s="584">
        <v>0.52083333333333337</v>
      </c>
      <c r="FU15" s="585"/>
      <c r="FV15" s="585"/>
      <c r="FW15" s="586"/>
      <c r="FX15" s="82">
        <v>0.54166666666666663</v>
      </c>
      <c r="FY15" s="584">
        <v>0.5</v>
      </c>
      <c r="FZ15" s="585"/>
      <c r="GA15" s="585"/>
      <c r="GB15" s="586"/>
      <c r="GC15" s="82">
        <v>0.5</v>
      </c>
      <c r="GD15" s="479"/>
      <c r="GE15" s="507" t="s">
        <v>1</v>
      </c>
      <c r="GF15" s="485"/>
      <c r="GG15" s="485"/>
      <c r="GH15" s="485"/>
      <c r="GI15" s="486"/>
      <c r="GJ15" s="584">
        <v>0.5</v>
      </c>
      <c r="GK15" s="585"/>
      <c r="GL15" s="585"/>
      <c r="GM15" s="586"/>
      <c r="GN15" s="82">
        <v>0.54166666666666663</v>
      </c>
      <c r="GO15" s="584">
        <v>0.52083333333333337</v>
      </c>
      <c r="GP15" s="585"/>
      <c r="GQ15" s="585"/>
      <c r="GR15" s="586"/>
      <c r="GS15" s="82">
        <v>0.52083333333333337</v>
      </c>
      <c r="GT15" s="584">
        <v>0.5</v>
      </c>
      <c r="GU15" s="585"/>
      <c r="GV15" s="585"/>
      <c r="GW15" s="586"/>
      <c r="GX15" s="82">
        <v>0.5</v>
      </c>
      <c r="GY15" s="584">
        <v>0.5</v>
      </c>
      <c r="GZ15" s="585"/>
      <c r="HA15" s="585"/>
      <c r="HB15" s="586"/>
      <c r="HC15" s="609"/>
      <c r="HD15" s="479"/>
      <c r="HE15" s="507" t="s">
        <v>1</v>
      </c>
      <c r="HF15" s="485"/>
      <c r="HG15" s="485"/>
      <c r="HH15" s="485"/>
      <c r="HI15" s="486"/>
      <c r="HJ15" s="584">
        <v>0.52083333333333337</v>
      </c>
      <c r="HK15" s="585"/>
      <c r="HL15" s="585"/>
      <c r="HM15" s="586"/>
      <c r="HN15" s="609"/>
      <c r="HO15" s="584">
        <v>0.52083333333333337</v>
      </c>
      <c r="HP15" s="585"/>
      <c r="HQ15" s="585"/>
      <c r="HR15" s="586"/>
      <c r="HS15" s="82">
        <v>0.52083333333333337</v>
      </c>
      <c r="HT15" s="584">
        <v>0.5</v>
      </c>
      <c r="HU15" s="585"/>
      <c r="HV15" s="585"/>
      <c r="HW15" s="586"/>
      <c r="HX15" s="82">
        <v>0.52083333333333337</v>
      </c>
      <c r="HY15" s="584">
        <v>0.5</v>
      </c>
      <c r="HZ15" s="585"/>
      <c r="IA15" s="585"/>
      <c r="IB15" s="586"/>
      <c r="IC15" s="82">
        <v>0.52083333333333337</v>
      </c>
      <c r="ID15" s="479"/>
      <c r="IE15" s="507" t="s">
        <v>1</v>
      </c>
      <c r="IF15" s="485"/>
      <c r="IG15" s="485"/>
      <c r="IH15" s="485"/>
      <c r="II15" s="486"/>
      <c r="IJ15" s="584">
        <v>0.5</v>
      </c>
      <c r="IK15" s="585"/>
      <c r="IL15" s="585"/>
      <c r="IM15" s="586"/>
      <c r="IN15" s="82">
        <v>0.52083333333333337</v>
      </c>
      <c r="IO15" s="584">
        <v>0.5</v>
      </c>
      <c r="IP15" s="585"/>
      <c r="IQ15" s="585"/>
      <c r="IR15" s="586"/>
      <c r="IS15" s="82">
        <v>0.5</v>
      </c>
      <c r="IT15" s="584">
        <v>0.5</v>
      </c>
      <c r="IU15" s="585"/>
      <c r="IV15" s="585"/>
      <c r="IW15" s="586"/>
      <c r="IX15" s="82">
        <v>0.52083333333333337</v>
      </c>
      <c r="IY15" s="584">
        <v>0.5</v>
      </c>
      <c r="IZ15" s="585"/>
      <c r="JA15" s="585"/>
      <c r="JB15" s="586"/>
      <c r="JC15" s="82">
        <v>0.52083333333333337</v>
      </c>
      <c r="JD15" s="479"/>
      <c r="JE15" s="507" t="s">
        <v>1</v>
      </c>
      <c r="JF15" s="485"/>
      <c r="JG15" s="485"/>
      <c r="JH15" s="485"/>
      <c r="JI15" s="486"/>
      <c r="JJ15" s="584">
        <v>0.5</v>
      </c>
      <c r="JK15" s="585"/>
      <c r="JL15" s="585"/>
      <c r="JM15" s="586"/>
      <c r="JN15" s="82">
        <v>0.5</v>
      </c>
      <c r="JO15" s="584">
        <v>0.5</v>
      </c>
      <c r="JP15" s="585"/>
      <c r="JQ15" s="585"/>
      <c r="JR15" s="586"/>
      <c r="JS15" s="609"/>
      <c r="JT15" s="584">
        <v>0.5</v>
      </c>
      <c r="JU15" s="585"/>
      <c r="JV15" s="585"/>
      <c r="JW15" s="586"/>
      <c r="JX15" s="609"/>
      <c r="JY15" s="584">
        <v>0.5</v>
      </c>
      <c r="JZ15" s="585"/>
      <c r="KA15" s="585"/>
      <c r="KB15" s="586"/>
      <c r="KC15" s="82">
        <v>0.47916666666666669</v>
      </c>
      <c r="KD15" s="479"/>
      <c r="KE15" s="507" t="s">
        <v>1</v>
      </c>
      <c r="KF15" s="485"/>
      <c r="KG15" s="485"/>
      <c r="KH15" s="485"/>
      <c r="KI15" s="486"/>
      <c r="KJ15" s="584">
        <v>0.5</v>
      </c>
      <c r="KK15" s="585"/>
      <c r="KL15" s="585"/>
      <c r="KM15" s="586"/>
      <c r="KN15" s="609"/>
      <c r="KO15" s="584">
        <v>0.5</v>
      </c>
      <c r="KP15" s="585"/>
      <c r="KQ15" s="585"/>
      <c r="KR15" s="586"/>
      <c r="KS15" s="82">
        <v>0.45833333333333331</v>
      </c>
      <c r="KT15" s="584">
        <v>0.5</v>
      </c>
      <c r="KU15" s="585"/>
      <c r="KV15" s="585"/>
      <c r="KW15" s="586"/>
      <c r="KX15" s="609"/>
      <c r="KY15" s="584">
        <v>0.5</v>
      </c>
      <c r="KZ15" s="585"/>
      <c r="LA15" s="585"/>
      <c r="LB15" s="586"/>
      <c r="LC15" s="609"/>
      <c r="LD15" s="479"/>
      <c r="LE15" s="507" t="s">
        <v>1</v>
      </c>
      <c r="LF15" s="485"/>
      <c r="LG15" s="485"/>
      <c r="LH15" s="485"/>
      <c r="LI15" s="486"/>
      <c r="LJ15" s="584">
        <v>0.5</v>
      </c>
      <c r="LK15" s="585"/>
      <c r="LL15" s="585"/>
      <c r="LM15" s="586"/>
      <c r="LN15" s="82">
        <v>0.5</v>
      </c>
      <c r="LO15" s="584">
        <v>0.52083333333333337</v>
      </c>
      <c r="LP15" s="585"/>
      <c r="LQ15" s="585"/>
      <c r="LR15" s="586"/>
      <c r="LS15" s="609"/>
      <c r="LT15" s="584">
        <v>0.52083333333333337</v>
      </c>
      <c r="LU15" s="585"/>
      <c r="LV15" s="585"/>
      <c r="LW15" s="586"/>
      <c r="LX15" s="609"/>
      <c r="LY15" s="584">
        <v>0.5</v>
      </c>
      <c r="LZ15" s="585"/>
      <c r="MA15" s="585"/>
      <c r="MB15" s="586"/>
      <c r="MC15" s="82">
        <v>0.5</v>
      </c>
      <c r="MD15" s="479"/>
      <c r="ME15" s="507" t="s">
        <v>1</v>
      </c>
      <c r="MF15" s="485"/>
      <c r="MG15" s="485"/>
      <c r="MH15" s="485"/>
      <c r="MI15" s="486"/>
      <c r="MJ15" s="584">
        <v>0.5</v>
      </c>
      <c r="MK15" s="585"/>
      <c r="ML15" s="585"/>
      <c r="MM15" s="586"/>
      <c r="MN15" s="609"/>
      <c r="MO15" s="584">
        <v>0.5</v>
      </c>
      <c r="MP15" s="585"/>
      <c r="MQ15" s="585"/>
      <c r="MR15" s="586"/>
      <c r="MS15" s="609"/>
      <c r="MT15" s="584">
        <v>0.5</v>
      </c>
      <c r="MU15" s="585"/>
      <c r="MV15" s="585"/>
      <c r="MW15" s="586"/>
      <c r="MX15" s="82">
        <v>0.47916666666666669</v>
      </c>
      <c r="MY15" s="584">
        <v>0.5</v>
      </c>
      <c r="MZ15" s="585"/>
      <c r="NA15" s="585"/>
      <c r="NB15" s="586"/>
      <c r="NC15" s="313"/>
      <c r="ND15" s="322"/>
      <c r="NE15" s="609"/>
      <c r="NF15" s="479"/>
      <c r="NG15" s="507" t="s">
        <v>1</v>
      </c>
      <c r="NH15" s="485"/>
      <c r="NI15" s="485"/>
      <c r="NJ15" s="485"/>
      <c r="NK15" s="486"/>
      <c r="NL15" s="584">
        <v>0.5</v>
      </c>
      <c r="NM15" s="585"/>
      <c r="NN15" s="585"/>
      <c r="NO15" s="586"/>
      <c r="NP15" s="609"/>
      <c r="NQ15" s="584">
        <v>0.52083333333333337</v>
      </c>
      <c r="NR15" s="585"/>
      <c r="NS15" s="585"/>
      <c r="NT15" s="586"/>
      <c r="NU15" s="82">
        <v>0.52083333333333337</v>
      </c>
      <c r="NV15" s="584">
        <v>0.5</v>
      </c>
      <c r="NW15" s="585"/>
      <c r="NX15" s="585"/>
      <c r="NY15" s="586"/>
      <c r="NZ15" s="609"/>
      <c r="OA15" s="584">
        <v>0.52083333333333337</v>
      </c>
      <c r="OB15" s="585"/>
      <c r="OC15" s="585"/>
      <c r="OD15" s="586"/>
      <c r="OE15" s="334"/>
      <c r="OF15" s="334"/>
      <c r="OG15" s="82">
        <v>0.54166666666666663</v>
      </c>
      <c r="OH15" s="479"/>
      <c r="OI15" s="507" t="s">
        <v>1</v>
      </c>
      <c r="OJ15" s="485"/>
      <c r="OK15" s="485"/>
      <c r="OL15" s="485"/>
      <c r="OM15" s="486"/>
      <c r="ON15" s="584" t="s">
        <v>663</v>
      </c>
      <c r="OO15" s="585"/>
      <c r="OP15" s="585"/>
      <c r="OQ15" s="586"/>
      <c r="OR15" s="609"/>
      <c r="OS15" s="584">
        <v>0.52083333333333337</v>
      </c>
      <c r="OT15" s="585"/>
      <c r="OU15" s="585"/>
      <c r="OV15" s="586"/>
      <c r="OW15" s="609"/>
      <c r="OX15" s="584" t="s">
        <v>669</v>
      </c>
      <c r="OY15" s="585"/>
      <c r="OZ15" s="585"/>
      <c r="PA15" s="586"/>
      <c r="PB15" s="82">
        <v>0.52083333333333337</v>
      </c>
      <c r="PC15" s="584" t="s">
        <v>663</v>
      </c>
      <c r="PD15" s="585"/>
      <c r="PE15" s="585"/>
      <c r="PF15" s="586"/>
      <c r="PG15" s="82">
        <v>0.52083333333333337</v>
      </c>
      <c r="PH15" s="479"/>
      <c r="PI15" s="507" t="s">
        <v>1</v>
      </c>
      <c r="PJ15" s="485"/>
      <c r="PK15" s="485"/>
      <c r="PL15" s="485"/>
      <c r="PM15" s="486"/>
      <c r="PN15" s="584">
        <v>0.52083333333333337</v>
      </c>
      <c r="PO15" s="585"/>
      <c r="PP15" s="585"/>
      <c r="PQ15" s="586"/>
      <c r="PR15" s="609"/>
      <c r="PS15" s="584" t="s">
        <v>663</v>
      </c>
      <c r="PT15" s="585"/>
      <c r="PU15" s="585"/>
      <c r="PV15" s="586"/>
      <c r="PW15" s="82">
        <v>0.52083333333333337</v>
      </c>
      <c r="PX15" s="584" t="s">
        <v>663</v>
      </c>
      <c r="PY15" s="585"/>
      <c r="PZ15" s="585"/>
      <c r="QA15" s="586"/>
      <c r="QB15" s="82">
        <v>0.52083333333333337</v>
      </c>
      <c r="QC15" s="584" t="s">
        <v>663</v>
      </c>
      <c r="QD15" s="585"/>
      <c r="QE15" s="585"/>
      <c r="QF15" s="586"/>
      <c r="QG15" s="609"/>
      <c r="QH15" s="479"/>
      <c r="QI15" s="507" t="s">
        <v>1</v>
      </c>
      <c r="QJ15" s="485"/>
      <c r="QK15" s="485"/>
      <c r="QL15" s="485"/>
      <c r="QM15" s="486"/>
      <c r="QN15" s="584" t="s">
        <v>663</v>
      </c>
      <c r="QO15" s="585"/>
      <c r="QP15" s="585"/>
      <c r="QQ15" s="586"/>
      <c r="QR15" s="609"/>
      <c r="QS15" s="584">
        <v>0.52083333333333337</v>
      </c>
      <c r="QT15" s="585"/>
      <c r="QU15" s="585"/>
      <c r="QV15" s="586"/>
      <c r="QW15" s="609"/>
      <c r="QX15" s="584">
        <v>0.5</v>
      </c>
      <c r="QY15" s="585"/>
      <c r="QZ15" s="585"/>
      <c r="RA15" s="586"/>
      <c r="RB15" s="82">
        <v>0.52083333333333337</v>
      </c>
      <c r="RC15" s="584">
        <v>0.5</v>
      </c>
      <c r="RD15" s="585"/>
      <c r="RE15" s="585"/>
      <c r="RF15" s="586"/>
      <c r="RG15" s="609"/>
      <c r="RH15" s="479"/>
      <c r="RI15" s="507" t="s">
        <v>1</v>
      </c>
      <c r="RJ15" s="485"/>
      <c r="RK15" s="485"/>
      <c r="RL15" s="485"/>
      <c r="RM15" s="486"/>
      <c r="RN15" s="584" t="s">
        <v>663</v>
      </c>
      <c r="RO15" s="585"/>
      <c r="RP15" s="585"/>
      <c r="RQ15" s="586"/>
      <c r="RR15" s="609"/>
      <c r="RS15" s="584" t="s">
        <v>663</v>
      </c>
      <c r="RT15" s="585"/>
      <c r="RU15" s="585"/>
      <c r="RV15" s="586"/>
      <c r="RW15" s="82">
        <v>0.5</v>
      </c>
      <c r="RX15" s="584" t="s">
        <v>663</v>
      </c>
      <c r="RY15" s="585"/>
      <c r="RZ15" s="585"/>
      <c r="SA15" s="586"/>
      <c r="SB15" s="82">
        <v>0.52083333333333337</v>
      </c>
      <c r="SC15" s="584">
        <v>0.52083333333333337</v>
      </c>
      <c r="SD15" s="585"/>
      <c r="SE15" s="585"/>
      <c r="SF15" s="586"/>
      <c r="SG15" s="82">
        <v>0.52083333333333337</v>
      </c>
      <c r="SH15" s="479"/>
      <c r="SI15" s="507" t="s">
        <v>1</v>
      </c>
      <c r="SJ15" s="485"/>
      <c r="SK15" s="485"/>
      <c r="SL15" s="485"/>
      <c r="SM15" s="486"/>
      <c r="SN15" s="584">
        <v>0.52083333333333337</v>
      </c>
      <c r="SO15" s="585"/>
      <c r="SP15" s="585"/>
      <c r="SQ15" s="586"/>
      <c r="SR15" s="609"/>
      <c r="SS15" s="584">
        <v>0.52083333333333337</v>
      </c>
      <c r="ST15" s="585"/>
      <c r="SU15" s="585"/>
      <c r="SV15" s="586"/>
      <c r="SW15" s="609"/>
      <c r="SX15" s="584">
        <v>0.52083333333333337</v>
      </c>
      <c r="SY15" s="585"/>
      <c r="SZ15" s="585"/>
      <c r="TA15" s="586"/>
      <c r="TB15" s="82">
        <v>0.52083333333333337</v>
      </c>
      <c r="TC15" s="584">
        <v>0.52083333333333337</v>
      </c>
      <c r="TD15" s="585"/>
      <c r="TE15" s="585"/>
      <c r="TF15" s="586"/>
      <c r="TG15" s="82">
        <v>0.5</v>
      </c>
      <c r="TH15" s="479"/>
      <c r="TI15" s="507" t="s">
        <v>1</v>
      </c>
      <c r="TJ15" s="485"/>
      <c r="TK15" s="485"/>
      <c r="TL15" s="485"/>
      <c r="TM15" s="486"/>
      <c r="TN15" s="584">
        <v>0.5</v>
      </c>
      <c r="TO15" s="585"/>
      <c r="TP15" s="585"/>
      <c r="TQ15" s="586"/>
      <c r="TR15" s="82">
        <v>0.52083333333333337</v>
      </c>
      <c r="TS15" s="584">
        <v>0.52083333333333337</v>
      </c>
      <c r="TT15" s="585"/>
      <c r="TU15" s="585"/>
      <c r="TV15" s="586"/>
      <c r="TW15" s="584">
        <v>0.52083333333333337</v>
      </c>
      <c r="TX15" s="585"/>
      <c r="TY15" s="585"/>
      <c r="TZ15" s="586"/>
      <c r="UA15" s="82">
        <v>0.52083333333333337</v>
      </c>
      <c r="UB15" s="584">
        <v>0.52083333333333337</v>
      </c>
      <c r="UC15" s="585"/>
      <c r="UD15" s="585"/>
      <c r="UE15" s="586"/>
      <c r="UF15" s="82">
        <v>0.52083333333333337</v>
      </c>
      <c r="UG15" s="584">
        <v>0.5</v>
      </c>
      <c r="UH15" s="585"/>
      <c r="UI15" s="585"/>
      <c r="UJ15" s="586"/>
      <c r="UK15" s="82">
        <v>0.54166666666666663</v>
      </c>
      <c r="UL15" s="479"/>
      <c r="UM15" s="507" t="s">
        <v>1</v>
      </c>
      <c r="UN15" s="485"/>
      <c r="UO15" s="485"/>
      <c r="UP15" s="485"/>
      <c r="UQ15" s="486"/>
      <c r="UR15" s="584">
        <v>0.52083333333333337</v>
      </c>
      <c r="US15" s="585"/>
      <c r="UT15" s="585"/>
      <c r="UU15" s="586"/>
      <c r="UV15" s="609"/>
      <c r="UW15" s="584">
        <v>0.52083333333333337</v>
      </c>
      <c r="UX15" s="585"/>
      <c r="UY15" s="585"/>
      <c r="UZ15" s="586"/>
      <c r="VA15" s="82">
        <v>0.52083333333333337</v>
      </c>
      <c r="VB15" s="584">
        <v>0.5</v>
      </c>
      <c r="VC15" s="585"/>
      <c r="VD15" s="585"/>
      <c r="VE15" s="586"/>
      <c r="VF15" s="82">
        <v>0.5</v>
      </c>
      <c r="VG15" s="584"/>
      <c r="VH15" s="585"/>
      <c r="VI15" s="585"/>
      <c r="VJ15" s="586"/>
      <c r="VK15" s="82"/>
      <c r="VL15" s="82"/>
      <c r="VM15" s="584"/>
      <c r="VN15" s="585"/>
      <c r="VO15" s="585"/>
      <c r="VP15" s="586"/>
      <c r="VQ15" s="82"/>
      <c r="VR15" s="83"/>
    </row>
    <row r="16" spans="1:590" ht="30" customHeight="1" x14ac:dyDescent="0.4">
      <c r="A16" s="479"/>
      <c r="B16" s="508"/>
      <c r="C16" s="617"/>
      <c r="D16" s="617"/>
      <c r="E16" s="617"/>
      <c r="F16" s="510"/>
      <c r="G16" s="513" t="s">
        <v>160</v>
      </c>
      <c r="H16" s="568"/>
      <c r="I16" s="568"/>
      <c r="J16" s="515"/>
      <c r="K16" s="42" t="s">
        <v>160</v>
      </c>
      <c r="L16" s="513" t="s">
        <v>160</v>
      </c>
      <c r="M16" s="568"/>
      <c r="N16" s="568"/>
      <c r="O16" s="515"/>
      <c r="P16" s="42" t="s">
        <v>160</v>
      </c>
      <c r="Q16" s="513" t="s">
        <v>160</v>
      </c>
      <c r="R16" s="568"/>
      <c r="S16" s="568"/>
      <c r="T16" s="515"/>
      <c r="U16" s="42" t="s">
        <v>160</v>
      </c>
      <c r="V16" s="513" t="s">
        <v>160</v>
      </c>
      <c r="W16" s="568"/>
      <c r="X16" s="568"/>
      <c r="Y16" s="515"/>
      <c r="Z16" s="42" t="s">
        <v>160</v>
      </c>
      <c r="AA16" s="479"/>
      <c r="AB16" s="508"/>
      <c r="AC16" s="617"/>
      <c r="AD16" s="617"/>
      <c r="AE16" s="617"/>
      <c r="AF16" s="510"/>
      <c r="AG16" s="513" t="s">
        <v>160</v>
      </c>
      <c r="AH16" s="568"/>
      <c r="AI16" s="568"/>
      <c r="AJ16" s="515"/>
      <c r="AK16" s="42" t="s">
        <v>160</v>
      </c>
      <c r="AL16" s="513" t="s">
        <v>160</v>
      </c>
      <c r="AM16" s="568"/>
      <c r="AN16" s="568"/>
      <c r="AO16" s="515"/>
      <c r="AP16" s="42" t="s">
        <v>160</v>
      </c>
      <c r="AQ16" s="513" t="s">
        <v>160</v>
      </c>
      <c r="AR16" s="568"/>
      <c r="AS16" s="568"/>
      <c r="AT16" s="515"/>
      <c r="AU16" s="42" t="s">
        <v>160</v>
      </c>
      <c r="AV16" s="513" t="s">
        <v>160</v>
      </c>
      <c r="AW16" s="568"/>
      <c r="AX16" s="568"/>
      <c r="AY16" s="515"/>
      <c r="AZ16" s="42" t="s">
        <v>160</v>
      </c>
      <c r="BA16" s="479"/>
      <c r="BB16" s="508"/>
      <c r="BC16" s="617"/>
      <c r="BD16" s="617"/>
      <c r="BE16" s="617"/>
      <c r="BF16" s="510"/>
      <c r="BG16" s="513" t="s">
        <v>160</v>
      </c>
      <c r="BH16" s="568"/>
      <c r="BI16" s="568"/>
      <c r="BJ16" s="515"/>
      <c r="BK16" s="42" t="s">
        <v>160</v>
      </c>
      <c r="BL16" s="513" t="s">
        <v>160</v>
      </c>
      <c r="BM16" s="568"/>
      <c r="BN16" s="568"/>
      <c r="BO16" s="515"/>
      <c r="BP16" s="42" t="s">
        <v>160</v>
      </c>
      <c r="BQ16" s="513" t="s">
        <v>160</v>
      </c>
      <c r="BR16" s="568"/>
      <c r="BS16" s="568"/>
      <c r="BT16" s="515"/>
      <c r="BU16" s="42" t="s">
        <v>160</v>
      </c>
      <c r="BV16" s="513" t="s">
        <v>160</v>
      </c>
      <c r="BW16" s="568"/>
      <c r="BX16" s="568"/>
      <c r="BY16" s="515"/>
      <c r="BZ16" s="42" t="s">
        <v>160</v>
      </c>
      <c r="CA16" s="479"/>
      <c r="CB16" s="508"/>
      <c r="CC16" s="617"/>
      <c r="CD16" s="617"/>
      <c r="CE16" s="617"/>
      <c r="CF16" s="510"/>
      <c r="CG16" s="513" t="s">
        <v>160</v>
      </c>
      <c r="CH16" s="568"/>
      <c r="CI16" s="568"/>
      <c r="CJ16" s="515"/>
      <c r="CK16" s="42" t="s">
        <v>160</v>
      </c>
      <c r="CL16" s="513" t="s">
        <v>160</v>
      </c>
      <c r="CM16" s="568"/>
      <c r="CN16" s="568"/>
      <c r="CO16" s="515"/>
      <c r="CP16" s="42" t="s">
        <v>160</v>
      </c>
      <c r="CQ16" s="513" t="s">
        <v>160</v>
      </c>
      <c r="CR16" s="568"/>
      <c r="CS16" s="568"/>
      <c r="CT16" s="515"/>
      <c r="CU16" s="42" t="s">
        <v>160</v>
      </c>
      <c r="CV16" s="513" t="s">
        <v>160</v>
      </c>
      <c r="CW16" s="568"/>
      <c r="CX16" s="568"/>
      <c r="CY16" s="515"/>
      <c r="CZ16" s="624"/>
      <c r="DA16" s="625"/>
      <c r="DB16" s="625"/>
      <c r="DC16" s="626"/>
      <c r="DD16" s="479"/>
      <c r="DE16" s="508"/>
      <c r="DF16" s="617"/>
      <c r="DG16" s="617"/>
      <c r="DH16" s="617"/>
      <c r="DI16" s="510"/>
      <c r="DJ16" s="513" t="s">
        <v>160</v>
      </c>
      <c r="DK16" s="568"/>
      <c r="DL16" s="568"/>
      <c r="DM16" s="515"/>
      <c r="DN16" s="242" t="s">
        <v>160</v>
      </c>
      <c r="DO16" s="513" t="s">
        <v>160</v>
      </c>
      <c r="DP16" s="568"/>
      <c r="DQ16" s="568"/>
      <c r="DR16" s="515"/>
      <c r="DS16" s="242" t="s">
        <v>160</v>
      </c>
      <c r="DT16" s="513" t="s">
        <v>160</v>
      </c>
      <c r="DU16" s="568"/>
      <c r="DV16" s="568"/>
      <c r="DW16" s="515"/>
      <c r="DX16" s="242" t="s">
        <v>160</v>
      </c>
      <c r="DY16" s="513" t="s">
        <v>160</v>
      </c>
      <c r="DZ16" s="568"/>
      <c r="EA16" s="568"/>
      <c r="EB16" s="515"/>
      <c r="EC16" s="609"/>
      <c r="ED16" s="479"/>
      <c r="EE16" s="508"/>
      <c r="EF16" s="617"/>
      <c r="EG16" s="617"/>
      <c r="EH16" s="617"/>
      <c r="EI16" s="510"/>
      <c r="EJ16" s="513" t="s">
        <v>160</v>
      </c>
      <c r="EK16" s="568"/>
      <c r="EL16" s="568"/>
      <c r="EM16" s="515"/>
      <c r="EN16" s="42" t="s">
        <v>160</v>
      </c>
      <c r="EO16" s="513" t="s">
        <v>160</v>
      </c>
      <c r="EP16" s="568"/>
      <c r="EQ16" s="568"/>
      <c r="ER16" s="515"/>
      <c r="ES16" s="42" t="s">
        <v>160</v>
      </c>
      <c r="ET16" s="513" t="s">
        <v>160</v>
      </c>
      <c r="EU16" s="568"/>
      <c r="EV16" s="568"/>
      <c r="EW16" s="515"/>
      <c r="EX16" s="42" t="s">
        <v>160</v>
      </c>
      <c r="EY16" s="513" t="s">
        <v>160</v>
      </c>
      <c r="EZ16" s="568"/>
      <c r="FA16" s="568"/>
      <c r="FB16" s="515"/>
      <c r="FC16" s="42" t="s">
        <v>160</v>
      </c>
      <c r="FD16" s="479"/>
      <c r="FE16" s="508"/>
      <c r="FF16" s="617"/>
      <c r="FG16" s="617"/>
      <c r="FH16" s="617"/>
      <c r="FI16" s="510"/>
      <c r="FJ16" s="513" t="s">
        <v>160</v>
      </c>
      <c r="FK16" s="568"/>
      <c r="FL16" s="568"/>
      <c r="FM16" s="515"/>
      <c r="FN16" s="42" t="s">
        <v>160</v>
      </c>
      <c r="FO16" s="513" t="s">
        <v>160</v>
      </c>
      <c r="FP16" s="568"/>
      <c r="FQ16" s="568"/>
      <c r="FR16" s="515"/>
      <c r="FS16" s="42" t="s">
        <v>160</v>
      </c>
      <c r="FT16" s="513" t="s">
        <v>160</v>
      </c>
      <c r="FU16" s="568"/>
      <c r="FV16" s="568"/>
      <c r="FW16" s="515"/>
      <c r="FX16" s="42" t="s">
        <v>160</v>
      </c>
      <c r="FY16" s="513" t="s">
        <v>160</v>
      </c>
      <c r="FZ16" s="568"/>
      <c r="GA16" s="568"/>
      <c r="GB16" s="515"/>
      <c r="GC16" s="42" t="s">
        <v>160</v>
      </c>
      <c r="GD16" s="479"/>
      <c r="GE16" s="508"/>
      <c r="GF16" s="617"/>
      <c r="GG16" s="617"/>
      <c r="GH16" s="617"/>
      <c r="GI16" s="510"/>
      <c r="GJ16" s="513" t="s">
        <v>160</v>
      </c>
      <c r="GK16" s="568"/>
      <c r="GL16" s="568"/>
      <c r="GM16" s="515"/>
      <c r="GN16" s="42" t="s">
        <v>160</v>
      </c>
      <c r="GO16" s="513" t="s">
        <v>160</v>
      </c>
      <c r="GP16" s="568"/>
      <c r="GQ16" s="568"/>
      <c r="GR16" s="515"/>
      <c r="GS16" s="42" t="s">
        <v>160</v>
      </c>
      <c r="GT16" s="513" t="s">
        <v>160</v>
      </c>
      <c r="GU16" s="568"/>
      <c r="GV16" s="568"/>
      <c r="GW16" s="515"/>
      <c r="GX16" s="42" t="s">
        <v>160</v>
      </c>
      <c r="GY16" s="513" t="s">
        <v>160</v>
      </c>
      <c r="GZ16" s="568"/>
      <c r="HA16" s="568"/>
      <c r="HB16" s="515"/>
      <c r="HC16" s="609"/>
      <c r="HD16" s="479"/>
      <c r="HE16" s="508"/>
      <c r="HF16" s="617"/>
      <c r="HG16" s="617"/>
      <c r="HH16" s="617"/>
      <c r="HI16" s="510"/>
      <c r="HJ16" s="513" t="s">
        <v>160</v>
      </c>
      <c r="HK16" s="568"/>
      <c r="HL16" s="568"/>
      <c r="HM16" s="515"/>
      <c r="HN16" s="609"/>
      <c r="HO16" s="513" t="s">
        <v>160</v>
      </c>
      <c r="HP16" s="568"/>
      <c r="HQ16" s="568"/>
      <c r="HR16" s="515"/>
      <c r="HS16" s="42" t="s">
        <v>160</v>
      </c>
      <c r="HT16" s="513" t="s">
        <v>160</v>
      </c>
      <c r="HU16" s="568"/>
      <c r="HV16" s="568"/>
      <c r="HW16" s="515"/>
      <c r="HX16" s="42" t="s">
        <v>160</v>
      </c>
      <c r="HY16" s="513" t="s">
        <v>160</v>
      </c>
      <c r="HZ16" s="568"/>
      <c r="IA16" s="568"/>
      <c r="IB16" s="515"/>
      <c r="IC16" s="42" t="s">
        <v>160</v>
      </c>
      <c r="ID16" s="479"/>
      <c r="IE16" s="508"/>
      <c r="IF16" s="617"/>
      <c r="IG16" s="617"/>
      <c r="IH16" s="617"/>
      <c r="II16" s="510"/>
      <c r="IJ16" s="513" t="s">
        <v>160</v>
      </c>
      <c r="IK16" s="568"/>
      <c r="IL16" s="568"/>
      <c r="IM16" s="515"/>
      <c r="IN16" s="42" t="s">
        <v>160</v>
      </c>
      <c r="IO16" s="513" t="s">
        <v>160</v>
      </c>
      <c r="IP16" s="568"/>
      <c r="IQ16" s="568"/>
      <c r="IR16" s="515"/>
      <c r="IS16" s="42" t="s">
        <v>160</v>
      </c>
      <c r="IT16" s="513" t="s">
        <v>160</v>
      </c>
      <c r="IU16" s="568"/>
      <c r="IV16" s="568"/>
      <c r="IW16" s="515"/>
      <c r="IX16" s="42" t="s">
        <v>160</v>
      </c>
      <c r="IY16" s="513" t="s">
        <v>160</v>
      </c>
      <c r="IZ16" s="568"/>
      <c r="JA16" s="568"/>
      <c r="JB16" s="515"/>
      <c r="JC16" s="42" t="s">
        <v>160</v>
      </c>
      <c r="JD16" s="479"/>
      <c r="JE16" s="508"/>
      <c r="JF16" s="617"/>
      <c r="JG16" s="617"/>
      <c r="JH16" s="617"/>
      <c r="JI16" s="510"/>
      <c r="JJ16" s="513" t="s">
        <v>160</v>
      </c>
      <c r="JK16" s="568"/>
      <c r="JL16" s="568"/>
      <c r="JM16" s="515"/>
      <c r="JN16" s="42" t="s">
        <v>160</v>
      </c>
      <c r="JO16" s="513" t="s">
        <v>160</v>
      </c>
      <c r="JP16" s="568"/>
      <c r="JQ16" s="568"/>
      <c r="JR16" s="515"/>
      <c r="JS16" s="609"/>
      <c r="JT16" s="513" t="s">
        <v>160</v>
      </c>
      <c r="JU16" s="568"/>
      <c r="JV16" s="568"/>
      <c r="JW16" s="515"/>
      <c r="JX16" s="609"/>
      <c r="JY16" s="513" t="s">
        <v>160</v>
      </c>
      <c r="JZ16" s="568"/>
      <c r="KA16" s="568"/>
      <c r="KB16" s="515"/>
      <c r="KC16" s="42" t="s">
        <v>160</v>
      </c>
      <c r="KD16" s="479"/>
      <c r="KE16" s="508"/>
      <c r="KF16" s="617"/>
      <c r="KG16" s="617"/>
      <c r="KH16" s="617"/>
      <c r="KI16" s="510"/>
      <c r="KJ16" s="513" t="s">
        <v>160</v>
      </c>
      <c r="KK16" s="568"/>
      <c r="KL16" s="568"/>
      <c r="KM16" s="515"/>
      <c r="KN16" s="609"/>
      <c r="KO16" s="513" t="s">
        <v>160</v>
      </c>
      <c r="KP16" s="568"/>
      <c r="KQ16" s="568"/>
      <c r="KR16" s="515"/>
      <c r="KS16" s="42" t="s">
        <v>160</v>
      </c>
      <c r="KT16" s="513" t="s">
        <v>160</v>
      </c>
      <c r="KU16" s="568"/>
      <c r="KV16" s="568"/>
      <c r="KW16" s="515"/>
      <c r="KX16" s="609"/>
      <c r="KY16" s="513" t="s">
        <v>160</v>
      </c>
      <c r="KZ16" s="568"/>
      <c r="LA16" s="568"/>
      <c r="LB16" s="515"/>
      <c r="LC16" s="609"/>
      <c r="LD16" s="479"/>
      <c r="LE16" s="508"/>
      <c r="LF16" s="617"/>
      <c r="LG16" s="617"/>
      <c r="LH16" s="617"/>
      <c r="LI16" s="510"/>
      <c r="LJ16" s="513" t="s">
        <v>160</v>
      </c>
      <c r="LK16" s="568"/>
      <c r="LL16" s="568"/>
      <c r="LM16" s="515"/>
      <c r="LN16" s="42" t="s">
        <v>160</v>
      </c>
      <c r="LO16" s="513" t="s">
        <v>160</v>
      </c>
      <c r="LP16" s="568"/>
      <c r="LQ16" s="568"/>
      <c r="LR16" s="515"/>
      <c r="LS16" s="609"/>
      <c r="LT16" s="513" t="s">
        <v>160</v>
      </c>
      <c r="LU16" s="568"/>
      <c r="LV16" s="568"/>
      <c r="LW16" s="515"/>
      <c r="LX16" s="609"/>
      <c r="LY16" s="513" t="s">
        <v>160</v>
      </c>
      <c r="LZ16" s="568"/>
      <c r="MA16" s="568"/>
      <c r="MB16" s="515"/>
      <c r="MC16" s="42" t="s">
        <v>160</v>
      </c>
      <c r="MD16" s="479"/>
      <c r="ME16" s="508"/>
      <c r="MF16" s="617"/>
      <c r="MG16" s="617"/>
      <c r="MH16" s="617"/>
      <c r="MI16" s="510"/>
      <c r="MJ16" s="513" t="s">
        <v>160</v>
      </c>
      <c r="MK16" s="568"/>
      <c r="ML16" s="568"/>
      <c r="MM16" s="515"/>
      <c r="MN16" s="609"/>
      <c r="MO16" s="513" t="s">
        <v>160</v>
      </c>
      <c r="MP16" s="568"/>
      <c r="MQ16" s="568"/>
      <c r="MR16" s="515"/>
      <c r="MS16" s="609"/>
      <c r="MT16" s="513" t="s">
        <v>160</v>
      </c>
      <c r="MU16" s="568"/>
      <c r="MV16" s="568"/>
      <c r="MW16" s="515"/>
      <c r="MX16" s="42" t="s">
        <v>160</v>
      </c>
      <c r="MY16" s="513" t="s">
        <v>160</v>
      </c>
      <c r="MZ16" s="568"/>
      <c r="NA16" s="568"/>
      <c r="NB16" s="515"/>
      <c r="NC16" s="310"/>
      <c r="ND16" s="315"/>
      <c r="NE16" s="609"/>
      <c r="NF16" s="479"/>
      <c r="NG16" s="508"/>
      <c r="NH16" s="617"/>
      <c r="NI16" s="617"/>
      <c r="NJ16" s="617"/>
      <c r="NK16" s="510"/>
      <c r="NL16" s="513" t="s">
        <v>160</v>
      </c>
      <c r="NM16" s="568"/>
      <c r="NN16" s="568"/>
      <c r="NO16" s="515"/>
      <c r="NP16" s="609"/>
      <c r="NQ16" s="513" t="s">
        <v>160</v>
      </c>
      <c r="NR16" s="568"/>
      <c r="NS16" s="568"/>
      <c r="NT16" s="515"/>
      <c r="NU16" s="42" t="s">
        <v>160</v>
      </c>
      <c r="NV16" s="513" t="s">
        <v>160</v>
      </c>
      <c r="NW16" s="568"/>
      <c r="NX16" s="568"/>
      <c r="NY16" s="515"/>
      <c r="NZ16" s="609"/>
      <c r="OA16" s="513" t="s">
        <v>160</v>
      </c>
      <c r="OB16" s="568"/>
      <c r="OC16" s="568"/>
      <c r="OD16" s="515"/>
      <c r="OE16" s="331"/>
      <c r="OF16" s="331"/>
      <c r="OG16" s="42" t="s">
        <v>160</v>
      </c>
      <c r="OH16" s="479"/>
      <c r="OI16" s="508"/>
      <c r="OJ16" s="617"/>
      <c r="OK16" s="617"/>
      <c r="OL16" s="617"/>
      <c r="OM16" s="510"/>
      <c r="ON16" s="513" t="s">
        <v>160</v>
      </c>
      <c r="OO16" s="568"/>
      <c r="OP16" s="568"/>
      <c r="OQ16" s="515"/>
      <c r="OR16" s="609"/>
      <c r="OS16" s="513" t="s">
        <v>160</v>
      </c>
      <c r="OT16" s="568"/>
      <c r="OU16" s="568"/>
      <c r="OV16" s="515"/>
      <c r="OW16" s="609"/>
      <c r="OX16" s="513" t="s">
        <v>673</v>
      </c>
      <c r="OY16" s="514"/>
      <c r="OZ16" s="514"/>
      <c r="PA16" s="515"/>
      <c r="PB16" s="42" t="s">
        <v>673</v>
      </c>
      <c r="PC16" s="513" t="s">
        <v>160</v>
      </c>
      <c r="PD16" s="514"/>
      <c r="PE16" s="514"/>
      <c r="PF16" s="515"/>
      <c r="PG16" s="42" t="s">
        <v>673</v>
      </c>
      <c r="PH16" s="479"/>
      <c r="PI16" s="508"/>
      <c r="PJ16" s="617"/>
      <c r="PK16" s="617"/>
      <c r="PL16" s="617"/>
      <c r="PM16" s="510"/>
      <c r="PN16" s="513" t="s">
        <v>160</v>
      </c>
      <c r="PO16" s="514"/>
      <c r="PP16" s="514"/>
      <c r="PQ16" s="515"/>
      <c r="PR16" s="609"/>
      <c r="PS16" s="513" t="s">
        <v>160</v>
      </c>
      <c r="PT16" s="568"/>
      <c r="PU16" s="568"/>
      <c r="PV16" s="515"/>
      <c r="PW16" s="42" t="s">
        <v>673</v>
      </c>
      <c r="PX16" s="513" t="s">
        <v>160</v>
      </c>
      <c r="PY16" s="568"/>
      <c r="PZ16" s="568"/>
      <c r="QA16" s="515"/>
      <c r="QB16" s="42" t="s">
        <v>673</v>
      </c>
      <c r="QC16" s="513" t="s">
        <v>160</v>
      </c>
      <c r="QD16" s="568"/>
      <c r="QE16" s="568"/>
      <c r="QF16" s="515"/>
      <c r="QG16" s="609"/>
      <c r="QH16" s="479"/>
      <c r="QI16" s="508"/>
      <c r="QJ16" s="617"/>
      <c r="QK16" s="617"/>
      <c r="QL16" s="617"/>
      <c r="QM16" s="510"/>
      <c r="QN16" s="513" t="s">
        <v>160</v>
      </c>
      <c r="QO16" s="568"/>
      <c r="QP16" s="568"/>
      <c r="QQ16" s="515"/>
      <c r="QR16" s="609"/>
      <c r="QS16" s="513" t="s">
        <v>160</v>
      </c>
      <c r="QT16" s="568"/>
      <c r="QU16" s="568"/>
      <c r="QV16" s="515"/>
      <c r="QW16" s="609"/>
      <c r="QX16" s="513" t="s">
        <v>160</v>
      </c>
      <c r="QY16" s="568"/>
      <c r="QZ16" s="568"/>
      <c r="RA16" s="515"/>
      <c r="RB16" s="42" t="s">
        <v>673</v>
      </c>
      <c r="RC16" s="513" t="s">
        <v>160</v>
      </c>
      <c r="RD16" s="568"/>
      <c r="RE16" s="568"/>
      <c r="RF16" s="515"/>
      <c r="RG16" s="609"/>
      <c r="RH16" s="479"/>
      <c r="RI16" s="508"/>
      <c r="RJ16" s="617"/>
      <c r="RK16" s="617"/>
      <c r="RL16" s="617"/>
      <c r="RM16" s="510"/>
      <c r="RN16" s="513" t="s">
        <v>160</v>
      </c>
      <c r="RO16" s="568"/>
      <c r="RP16" s="568"/>
      <c r="RQ16" s="515"/>
      <c r="RR16" s="609"/>
      <c r="RS16" s="513" t="s">
        <v>160</v>
      </c>
      <c r="RT16" s="568"/>
      <c r="RU16" s="568"/>
      <c r="RV16" s="515"/>
      <c r="RW16" s="42" t="s">
        <v>673</v>
      </c>
      <c r="RX16" s="513" t="s">
        <v>160</v>
      </c>
      <c r="RY16" s="568"/>
      <c r="RZ16" s="568"/>
      <c r="SA16" s="515"/>
      <c r="SB16" s="42" t="s">
        <v>673</v>
      </c>
      <c r="SC16" s="513" t="s">
        <v>160</v>
      </c>
      <c r="SD16" s="568"/>
      <c r="SE16" s="568"/>
      <c r="SF16" s="515"/>
      <c r="SG16" s="42" t="s">
        <v>673</v>
      </c>
      <c r="SH16" s="479"/>
      <c r="SI16" s="508"/>
      <c r="SJ16" s="617"/>
      <c r="SK16" s="617"/>
      <c r="SL16" s="617"/>
      <c r="SM16" s="510"/>
      <c r="SN16" s="513" t="s">
        <v>160</v>
      </c>
      <c r="SO16" s="568"/>
      <c r="SP16" s="568"/>
      <c r="SQ16" s="515"/>
      <c r="SR16" s="609"/>
      <c r="SS16" s="513" t="s">
        <v>160</v>
      </c>
      <c r="ST16" s="568"/>
      <c r="SU16" s="568"/>
      <c r="SV16" s="515"/>
      <c r="SW16" s="609"/>
      <c r="SX16" s="513" t="s">
        <v>160</v>
      </c>
      <c r="SY16" s="568"/>
      <c r="SZ16" s="568"/>
      <c r="TA16" s="515"/>
      <c r="TB16" s="42" t="s">
        <v>673</v>
      </c>
      <c r="TC16" s="513" t="s">
        <v>160</v>
      </c>
      <c r="TD16" s="568"/>
      <c r="TE16" s="568"/>
      <c r="TF16" s="515"/>
      <c r="TG16" s="42" t="s">
        <v>673</v>
      </c>
      <c r="TH16" s="479"/>
      <c r="TI16" s="508"/>
      <c r="TJ16" s="617"/>
      <c r="TK16" s="617"/>
      <c r="TL16" s="617"/>
      <c r="TM16" s="510"/>
      <c r="TN16" s="513" t="s">
        <v>160</v>
      </c>
      <c r="TO16" s="568"/>
      <c r="TP16" s="568"/>
      <c r="TQ16" s="515"/>
      <c r="TR16" s="42" t="s">
        <v>673</v>
      </c>
      <c r="TS16" s="513" t="s">
        <v>160</v>
      </c>
      <c r="TT16" s="568"/>
      <c r="TU16" s="568"/>
      <c r="TV16" s="515"/>
      <c r="TW16" s="513" t="s">
        <v>160</v>
      </c>
      <c r="TX16" s="568"/>
      <c r="TY16" s="568"/>
      <c r="TZ16" s="515"/>
      <c r="UA16" s="42" t="s">
        <v>673</v>
      </c>
      <c r="UB16" s="513" t="s">
        <v>160</v>
      </c>
      <c r="UC16" s="568"/>
      <c r="UD16" s="568"/>
      <c r="UE16" s="515"/>
      <c r="UF16" s="42" t="s">
        <v>673</v>
      </c>
      <c r="UG16" s="513" t="s">
        <v>160</v>
      </c>
      <c r="UH16" s="568"/>
      <c r="UI16" s="568"/>
      <c r="UJ16" s="515"/>
      <c r="UK16" s="42" t="s">
        <v>673</v>
      </c>
      <c r="UL16" s="479"/>
      <c r="UM16" s="508"/>
      <c r="UN16" s="617"/>
      <c r="UO16" s="617"/>
      <c r="UP16" s="617"/>
      <c r="UQ16" s="510"/>
      <c r="UR16" s="513" t="s">
        <v>160</v>
      </c>
      <c r="US16" s="568"/>
      <c r="UT16" s="568"/>
      <c r="UU16" s="515"/>
      <c r="UV16" s="609"/>
      <c r="UW16" s="513" t="s">
        <v>160</v>
      </c>
      <c r="UX16" s="568"/>
      <c r="UY16" s="568"/>
      <c r="UZ16" s="515"/>
      <c r="VA16" s="42" t="s">
        <v>673</v>
      </c>
      <c r="VB16" s="513" t="s">
        <v>160</v>
      </c>
      <c r="VC16" s="568"/>
      <c r="VD16" s="568"/>
      <c r="VE16" s="515"/>
      <c r="VF16" s="42" t="s">
        <v>673</v>
      </c>
      <c r="VG16" s="513"/>
      <c r="VH16" s="568"/>
      <c r="VI16" s="568"/>
      <c r="VJ16" s="515"/>
      <c r="VK16" s="42"/>
      <c r="VL16" s="42"/>
      <c r="VM16" s="513" t="str">
        <f>IF(VM15="","","～")</f>
        <v/>
      </c>
      <c r="VN16" s="568"/>
      <c r="VO16" s="568"/>
      <c r="VP16" s="515"/>
      <c r="VQ16" s="42" t="str">
        <f>IF(VQ15="","","～")</f>
        <v/>
      </c>
      <c r="VR16" s="42"/>
    </row>
    <row r="17" spans="1:590" ht="45" customHeight="1" x14ac:dyDescent="0.4">
      <c r="A17" s="479"/>
      <c r="B17" s="511"/>
      <c r="C17" s="487"/>
      <c r="D17" s="487"/>
      <c r="E17" s="487"/>
      <c r="F17" s="488"/>
      <c r="G17" s="496">
        <v>0.52083333333333337</v>
      </c>
      <c r="H17" s="497"/>
      <c r="I17" s="497"/>
      <c r="J17" s="498"/>
      <c r="K17" s="81">
        <v>0.54166666666666674</v>
      </c>
      <c r="L17" s="496">
        <v>0.52083333333333337</v>
      </c>
      <c r="M17" s="497"/>
      <c r="N17" s="497"/>
      <c r="O17" s="498"/>
      <c r="P17" s="81">
        <v>0.5625</v>
      </c>
      <c r="Q17" s="496">
        <v>0.52083333333333337</v>
      </c>
      <c r="R17" s="497"/>
      <c r="S17" s="497"/>
      <c r="T17" s="498"/>
      <c r="U17" s="81">
        <v>0.54166666666666674</v>
      </c>
      <c r="V17" s="496">
        <v>0.54166666666666674</v>
      </c>
      <c r="W17" s="497"/>
      <c r="X17" s="497"/>
      <c r="Y17" s="498"/>
      <c r="Z17" s="81">
        <v>0.54166666666666674</v>
      </c>
      <c r="AA17" s="479"/>
      <c r="AB17" s="511"/>
      <c r="AC17" s="487"/>
      <c r="AD17" s="487"/>
      <c r="AE17" s="487"/>
      <c r="AF17" s="488"/>
      <c r="AG17" s="496">
        <v>0.52083333333333337</v>
      </c>
      <c r="AH17" s="497"/>
      <c r="AI17" s="497"/>
      <c r="AJ17" s="498"/>
      <c r="AK17" s="81">
        <v>0.54166666666666674</v>
      </c>
      <c r="AL17" s="496">
        <v>0.54166666666666674</v>
      </c>
      <c r="AM17" s="497"/>
      <c r="AN17" s="497"/>
      <c r="AO17" s="498"/>
      <c r="AP17" s="81">
        <v>0.54166666666666674</v>
      </c>
      <c r="AQ17" s="496">
        <v>0.54166666666666674</v>
      </c>
      <c r="AR17" s="497"/>
      <c r="AS17" s="497"/>
      <c r="AT17" s="498"/>
      <c r="AU17" s="81">
        <v>0.54166666666666674</v>
      </c>
      <c r="AV17" s="496">
        <v>0.54166666666666674</v>
      </c>
      <c r="AW17" s="497"/>
      <c r="AX17" s="497"/>
      <c r="AY17" s="498"/>
      <c r="AZ17" s="81">
        <v>0.52083333333333337</v>
      </c>
      <c r="BA17" s="479"/>
      <c r="BB17" s="511"/>
      <c r="BC17" s="487"/>
      <c r="BD17" s="487"/>
      <c r="BE17" s="487"/>
      <c r="BF17" s="488"/>
      <c r="BG17" s="496">
        <v>0.52083333333333337</v>
      </c>
      <c r="BH17" s="497"/>
      <c r="BI17" s="497"/>
      <c r="BJ17" s="498"/>
      <c r="BK17" s="81">
        <v>0.52083333333333337</v>
      </c>
      <c r="BL17" s="496">
        <v>0.5625</v>
      </c>
      <c r="BM17" s="497"/>
      <c r="BN17" s="497"/>
      <c r="BO17" s="498"/>
      <c r="BP17" s="81">
        <v>0.5625</v>
      </c>
      <c r="BQ17" s="496">
        <v>0.52083333333333337</v>
      </c>
      <c r="BR17" s="497"/>
      <c r="BS17" s="497"/>
      <c r="BT17" s="498"/>
      <c r="BU17" s="81">
        <v>0.54166666666666663</v>
      </c>
      <c r="BV17" s="496">
        <v>0.52083333333333337</v>
      </c>
      <c r="BW17" s="497"/>
      <c r="BX17" s="497"/>
      <c r="BY17" s="498"/>
      <c r="BZ17" s="81">
        <v>0.52083333333333337</v>
      </c>
      <c r="CA17" s="479"/>
      <c r="CB17" s="511"/>
      <c r="CC17" s="487"/>
      <c r="CD17" s="487"/>
      <c r="CE17" s="487"/>
      <c r="CF17" s="488"/>
      <c r="CG17" s="496">
        <v>0.52083333333333337</v>
      </c>
      <c r="CH17" s="497"/>
      <c r="CI17" s="497"/>
      <c r="CJ17" s="498"/>
      <c r="CK17" s="81">
        <v>0.52083333333333337</v>
      </c>
      <c r="CL17" s="496">
        <v>0.54166666666666674</v>
      </c>
      <c r="CM17" s="497"/>
      <c r="CN17" s="497"/>
      <c r="CO17" s="498"/>
      <c r="CP17" s="81">
        <v>0.54166666666666674</v>
      </c>
      <c r="CQ17" s="496">
        <v>0.54166666666666674</v>
      </c>
      <c r="CR17" s="497"/>
      <c r="CS17" s="497"/>
      <c r="CT17" s="498"/>
      <c r="CU17" s="81">
        <v>0.58333333333333337</v>
      </c>
      <c r="CV17" s="496">
        <v>0.54166666666666674</v>
      </c>
      <c r="CW17" s="497"/>
      <c r="CX17" s="497"/>
      <c r="CY17" s="498"/>
      <c r="CZ17" s="624"/>
      <c r="DA17" s="625"/>
      <c r="DB17" s="625"/>
      <c r="DC17" s="626"/>
      <c r="DD17" s="479"/>
      <c r="DE17" s="511"/>
      <c r="DF17" s="487"/>
      <c r="DG17" s="487"/>
      <c r="DH17" s="487"/>
      <c r="DI17" s="488"/>
      <c r="DJ17" s="496">
        <v>0.52083333333333337</v>
      </c>
      <c r="DK17" s="497"/>
      <c r="DL17" s="497"/>
      <c r="DM17" s="498"/>
      <c r="DN17" s="243">
        <v>0.54166666666666674</v>
      </c>
      <c r="DO17" s="496">
        <v>0.54166666666666663</v>
      </c>
      <c r="DP17" s="497"/>
      <c r="DQ17" s="497"/>
      <c r="DR17" s="498"/>
      <c r="DS17" s="243">
        <v>0.54166666666666674</v>
      </c>
      <c r="DT17" s="496">
        <v>0.52083333333333337</v>
      </c>
      <c r="DU17" s="497"/>
      <c r="DV17" s="497"/>
      <c r="DW17" s="498"/>
      <c r="DX17" s="243">
        <v>0.54166666666666674</v>
      </c>
      <c r="DY17" s="496">
        <v>0.52083333333333337</v>
      </c>
      <c r="DZ17" s="497"/>
      <c r="EA17" s="497"/>
      <c r="EB17" s="498"/>
      <c r="EC17" s="609"/>
      <c r="ED17" s="479"/>
      <c r="EE17" s="511"/>
      <c r="EF17" s="487"/>
      <c r="EG17" s="487"/>
      <c r="EH17" s="487"/>
      <c r="EI17" s="488"/>
      <c r="EJ17" s="496">
        <v>0.52083333333333337</v>
      </c>
      <c r="EK17" s="497"/>
      <c r="EL17" s="497"/>
      <c r="EM17" s="498"/>
      <c r="EN17" s="81">
        <v>0.54166666666666674</v>
      </c>
      <c r="EO17" s="496">
        <v>0.52083333333333337</v>
      </c>
      <c r="EP17" s="497"/>
      <c r="EQ17" s="497"/>
      <c r="ER17" s="498"/>
      <c r="ES17" s="81">
        <v>0.54166666666666674</v>
      </c>
      <c r="ET17" s="496">
        <v>0.52083333333333337</v>
      </c>
      <c r="EU17" s="497"/>
      <c r="EV17" s="497"/>
      <c r="EW17" s="498"/>
      <c r="EX17" s="81">
        <v>0.54166666666666674</v>
      </c>
      <c r="EY17" s="496">
        <v>0.52083333333333337</v>
      </c>
      <c r="EZ17" s="497"/>
      <c r="FA17" s="497"/>
      <c r="FB17" s="498"/>
      <c r="FC17" s="81">
        <v>0.54166666666666674</v>
      </c>
      <c r="FD17" s="479"/>
      <c r="FE17" s="511"/>
      <c r="FF17" s="487"/>
      <c r="FG17" s="487"/>
      <c r="FH17" s="487"/>
      <c r="FI17" s="488"/>
      <c r="FJ17" s="496">
        <v>0.52083333333333337</v>
      </c>
      <c r="FK17" s="497"/>
      <c r="FL17" s="497"/>
      <c r="FM17" s="498"/>
      <c r="FN17" s="81">
        <v>0.54166666666666674</v>
      </c>
      <c r="FO17" s="496">
        <v>0.52083333333333337</v>
      </c>
      <c r="FP17" s="497"/>
      <c r="FQ17" s="497"/>
      <c r="FR17" s="498"/>
      <c r="FS17" s="81">
        <v>0.54166666666666674</v>
      </c>
      <c r="FT17" s="496">
        <v>0.54166666666666674</v>
      </c>
      <c r="FU17" s="497"/>
      <c r="FV17" s="497"/>
      <c r="FW17" s="498"/>
      <c r="FX17" s="81">
        <v>0.5625</v>
      </c>
      <c r="FY17" s="496">
        <v>0.52083333333333337</v>
      </c>
      <c r="FZ17" s="497"/>
      <c r="GA17" s="497"/>
      <c r="GB17" s="498"/>
      <c r="GC17" s="81">
        <v>0.52083333333333337</v>
      </c>
      <c r="GD17" s="479"/>
      <c r="GE17" s="511"/>
      <c r="GF17" s="487"/>
      <c r="GG17" s="487"/>
      <c r="GH17" s="487"/>
      <c r="GI17" s="488"/>
      <c r="GJ17" s="496">
        <v>0.52083333333333337</v>
      </c>
      <c r="GK17" s="497"/>
      <c r="GL17" s="497"/>
      <c r="GM17" s="498"/>
      <c r="GN17" s="81">
        <v>0.5625</v>
      </c>
      <c r="GO17" s="496">
        <v>0.54166666666666674</v>
      </c>
      <c r="GP17" s="497"/>
      <c r="GQ17" s="497"/>
      <c r="GR17" s="498"/>
      <c r="GS17" s="81">
        <v>0.54166666666666674</v>
      </c>
      <c r="GT17" s="496">
        <v>0.52083333333333337</v>
      </c>
      <c r="GU17" s="497"/>
      <c r="GV17" s="497"/>
      <c r="GW17" s="498"/>
      <c r="GX17" s="81">
        <v>0.52083333333333337</v>
      </c>
      <c r="GY17" s="496">
        <v>0.52083333333333337</v>
      </c>
      <c r="GZ17" s="497"/>
      <c r="HA17" s="497"/>
      <c r="HB17" s="498"/>
      <c r="HC17" s="609"/>
      <c r="HD17" s="479"/>
      <c r="HE17" s="511"/>
      <c r="HF17" s="487"/>
      <c r="HG17" s="487"/>
      <c r="HH17" s="487"/>
      <c r="HI17" s="488"/>
      <c r="HJ17" s="496">
        <v>0.54166666666666674</v>
      </c>
      <c r="HK17" s="497"/>
      <c r="HL17" s="497"/>
      <c r="HM17" s="498"/>
      <c r="HN17" s="609"/>
      <c r="HO17" s="496">
        <v>0.54166666666666674</v>
      </c>
      <c r="HP17" s="497"/>
      <c r="HQ17" s="497"/>
      <c r="HR17" s="498"/>
      <c r="HS17" s="81">
        <v>0.54166666666666674</v>
      </c>
      <c r="HT17" s="496">
        <v>0.52083333333333337</v>
      </c>
      <c r="HU17" s="497"/>
      <c r="HV17" s="497"/>
      <c r="HW17" s="498"/>
      <c r="HX17" s="81">
        <v>0.54166666666666674</v>
      </c>
      <c r="HY17" s="496">
        <v>0.52083333333333337</v>
      </c>
      <c r="HZ17" s="497"/>
      <c r="IA17" s="497"/>
      <c r="IB17" s="498"/>
      <c r="IC17" s="81">
        <v>0.54166666666666674</v>
      </c>
      <c r="ID17" s="479"/>
      <c r="IE17" s="511"/>
      <c r="IF17" s="487"/>
      <c r="IG17" s="487"/>
      <c r="IH17" s="487"/>
      <c r="II17" s="488"/>
      <c r="IJ17" s="496">
        <v>0.52083333333333337</v>
      </c>
      <c r="IK17" s="497"/>
      <c r="IL17" s="497"/>
      <c r="IM17" s="498"/>
      <c r="IN17" s="81">
        <v>0.54166666666666674</v>
      </c>
      <c r="IO17" s="496">
        <v>0.52083333333333337</v>
      </c>
      <c r="IP17" s="497"/>
      <c r="IQ17" s="497"/>
      <c r="IR17" s="498"/>
      <c r="IS17" s="81">
        <v>0.52083333333333337</v>
      </c>
      <c r="IT17" s="496">
        <v>0.52083333333333337</v>
      </c>
      <c r="IU17" s="497"/>
      <c r="IV17" s="497"/>
      <c r="IW17" s="498"/>
      <c r="IX17" s="81">
        <v>0.54166666666666674</v>
      </c>
      <c r="IY17" s="496">
        <v>0.52083333333333337</v>
      </c>
      <c r="IZ17" s="497"/>
      <c r="JA17" s="497"/>
      <c r="JB17" s="498"/>
      <c r="JC17" s="81">
        <v>0.54166666666666674</v>
      </c>
      <c r="JD17" s="479"/>
      <c r="JE17" s="511"/>
      <c r="JF17" s="487"/>
      <c r="JG17" s="487"/>
      <c r="JH17" s="487"/>
      <c r="JI17" s="488"/>
      <c r="JJ17" s="496">
        <v>0.52083333333333337</v>
      </c>
      <c r="JK17" s="497"/>
      <c r="JL17" s="497"/>
      <c r="JM17" s="498"/>
      <c r="JN17" s="81">
        <v>0.52083333333333337</v>
      </c>
      <c r="JO17" s="496">
        <v>0.52083333333333337</v>
      </c>
      <c r="JP17" s="497"/>
      <c r="JQ17" s="497"/>
      <c r="JR17" s="498"/>
      <c r="JS17" s="609"/>
      <c r="JT17" s="496">
        <v>0.52083333333333337</v>
      </c>
      <c r="JU17" s="497"/>
      <c r="JV17" s="497"/>
      <c r="JW17" s="498"/>
      <c r="JX17" s="609"/>
      <c r="JY17" s="496">
        <v>0.52083333333333337</v>
      </c>
      <c r="JZ17" s="497"/>
      <c r="KA17" s="497"/>
      <c r="KB17" s="498"/>
      <c r="KC17" s="81">
        <v>0.5</v>
      </c>
      <c r="KD17" s="479"/>
      <c r="KE17" s="511"/>
      <c r="KF17" s="487"/>
      <c r="KG17" s="487"/>
      <c r="KH17" s="487"/>
      <c r="KI17" s="488"/>
      <c r="KJ17" s="496">
        <v>0.52083333333333337</v>
      </c>
      <c r="KK17" s="497"/>
      <c r="KL17" s="497"/>
      <c r="KM17" s="498"/>
      <c r="KN17" s="609"/>
      <c r="KO17" s="496">
        <v>0.52083333333333337</v>
      </c>
      <c r="KP17" s="497"/>
      <c r="KQ17" s="497"/>
      <c r="KR17" s="498"/>
      <c r="KS17" s="81">
        <v>0.47916666666666663</v>
      </c>
      <c r="KT17" s="496">
        <v>0.52083333333333337</v>
      </c>
      <c r="KU17" s="497"/>
      <c r="KV17" s="497"/>
      <c r="KW17" s="498"/>
      <c r="KX17" s="609"/>
      <c r="KY17" s="496">
        <v>0.52083333333333337</v>
      </c>
      <c r="KZ17" s="497"/>
      <c r="LA17" s="497"/>
      <c r="LB17" s="498"/>
      <c r="LC17" s="609"/>
      <c r="LD17" s="479"/>
      <c r="LE17" s="511"/>
      <c r="LF17" s="487"/>
      <c r="LG17" s="487"/>
      <c r="LH17" s="487"/>
      <c r="LI17" s="488"/>
      <c r="LJ17" s="496">
        <v>0.52083333333333337</v>
      </c>
      <c r="LK17" s="497"/>
      <c r="LL17" s="497"/>
      <c r="LM17" s="498"/>
      <c r="LN17" s="81">
        <v>0.52083333333333337</v>
      </c>
      <c r="LO17" s="496">
        <v>0.54166666666666674</v>
      </c>
      <c r="LP17" s="497"/>
      <c r="LQ17" s="497"/>
      <c r="LR17" s="498"/>
      <c r="LS17" s="609"/>
      <c r="LT17" s="496">
        <v>0.54166666666666674</v>
      </c>
      <c r="LU17" s="497"/>
      <c r="LV17" s="497"/>
      <c r="LW17" s="498"/>
      <c r="LX17" s="609"/>
      <c r="LY17" s="496">
        <v>0.52083333333333337</v>
      </c>
      <c r="LZ17" s="497"/>
      <c r="MA17" s="497"/>
      <c r="MB17" s="498"/>
      <c r="MC17" s="81">
        <v>0.52083333333333337</v>
      </c>
      <c r="MD17" s="479"/>
      <c r="ME17" s="511"/>
      <c r="MF17" s="487"/>
      <c r="MG17" s="487"/>
      <c r="MH17" s="487"/>
      <c r="MI17" s="488"/>
      <c r="MJ17" s="496">
        <v>0.52083333333333337</v>
      </c>
      <c r="MK17" s="497"/>
      <c r="ML17" s="497"/>
      <c r="MM17" s="498"/>
      <c r="MN17" s="609"/>
      <c r="MO17" s="496">
        <v>0.52083333333333337</v>
      </c>
      <c r="MP17" s="497"/>
      <c r="MQ17" s="497"/>
      <c r="MR17" s="498"/>
      <c r="MS17" s="609"/>
      <c r="MT17" s="496">
        <v>0.52083333333333337</v>
      </c>
      <c r="MU17" s="497"/>
      <c r="MV17" s="497"/>
      <c r="MW17" s="498"/>
      <c r="MX17" s="81">
        <v>0.5</v>
      </c>
      <c r="MY17" s="496">
        <v>0.52083333333333337</v>
      </c>
      <c r="MZ17" s="497"/>
      <c r="NA17" s="497"/>
      <c r="NB17" s="498"/>
      <c r="NC17" s="311"/>
      <c r="ND17" s="321"/>
      <c r="NE17" s="609"/>
      <c r="NF17" s="479"/>
      <c r="NG17" s="511"/>
      <c r="NH17" s="487"/>
      <c r="NI17" s="487"/>
      <c r="NJ17" s="487"/>
      <c r="NK17" s="488"/>
      <c r="NL17" s="496">
        <v>0.52083333333333337</v>
      </c>
      <c r="NM17" s="497"/>
      <c r="NN17" s="497"/>
      <c r="NO17" s="498"/>
      <c r="NP17" s="609"/>
      <c r="NQ17" s="496">
        <v>0.54166666666666674</v>
      </c>
      <c r="NR17" s="497"/>
      <c r="NS17" s="497"/>
      <c r="NT17" s="498"/>
      <c r="NU17" s="81">
        <v>0.54166666666666674</v>
      </c>
      <c r="NV17" s="496">
        <v>0.52083333333333337</v>
      </c>
      <c r="NW17" s="497"/>
      <c r="NX17" s="497"/>
      <c r="NY17" s="498"/>
      <c r="NZ17" s="609"/>
      <c r="OA17" s="496">
        <v>0.54166666666666674</v>
      </c>
      <c r="OB17" s="497"/>
      <c r="OC17" s="497"/>
      <c r="OD17" s="498"/>
      <c r="OE17" s="332"/>
      <c r="OF17" s="332"/>
      <c r="OG17" s="81">
        <v>0.5625</v>
      </c>
      <c r="OH17" s="479"/>
      <c r="OI17" s="511"/>
      <c r="OJ17" s="487"/>
      <c r="OK17" s="487"/>
      <c r="OL17" s="487"/>
      <c r="OM17" s="488"/>
      <c r="ON17" s="496">
        <v>0.52083333333333337</v>
      </c>
      <c r="OO17" s="497"/>
      <c r="OP17" s="497"/>
      <c r="OQ17" s="498"/>
      <c r="OR17" s="609"/>
      <c r="OS17" s="496">
        <v>0.54166666666666674</v>
      </c>
      <c r="OT17" s="497"/>
      <c r="OU17" s="497"/>
      <c r="OV17" s="498"/>
      <c r="OW17" s="609"/>
      <c r="OX17" s="496">
        <v>0.54166666666666674</v>
      </c>
      <c r="OY17" s="497"/>
      <c r="OZ17" s="497"/>
      <c r="PA17" s="498"/>
      <c r="PB17" s="81">
        <v>0.54166666666666663</v>
      </c>
      <c r="PC17" s="496">
        <v>0.52083333333333337</v>
      </c>
      <c r="PD17" s="497"/>
      <c r="PE17" s="497"/>
      <c r="PF17" s="498"/>
      <c r="PG17" s="81">
        <v>0.54166666666666663</v>
      </c>
      <c r="PH17" s="479"/>
      <c r="PI17" s="511"/>
      <c r="PJ17" s="487"/>
      <c r="PK17" s="487"/>
      <c r="PL17" s="487"/>
      <c r="PM17" s="488"/>
      <c r="PN17" s="496">
        <v>0.54166666666666663</v>
      </c>
      <c r="PO17" s="497"/>
      <c r="PP17" s="497"/>
      <c r="PQ17" s="498"/>
      <c r="PR17" s="609"/>
      <c r="PS17" s="496">
        <v>0.52083333333333337</v>
      </c>
      <c r="PT17" s="497"/>
      <c r="PU17" s="497"/>
      <c r="PV17" s="498"/>
      <c r="PW17" s="81">
        <v>0.54166666666666663</v>
      </c>
      <c r="PX17" s="496">
        <v>0.52083333333333337</v>
      </c>
      <c r="PY17" s="497"/>
      <c r="PZ17" s="497"/>
      <c r="QA17" s="498"/>
      <c r="QB17" s="81">
        <v>0.54166666666666663</v>
      </c>
      <c r="QC17" s="496">
        <v>0.52083333333333337</v>
      </c>
      <c r="QD17" s="497"/>
      <c r="QE17" s="497"/>
      <c r="QF17" s="498"/>
      <c r="QG17" s="609"/>
      <c r="QH17" s="479"/>
      <c r="QI17" s="511"/>
      <c r="QJ17" s="487"/>
      <c r="QK17" s="487"/>
      <c r="QL17" s="487"/>
      <c r="QM17" s="488"/>
      <c r="QN17" s="496">
        <v>0.52083333333333337</v>
      </c>
      <c r="QO17" s="497"/>
      <c r="QP17" s="497"/>
      <c r="QQ17" s="498"/>
      <c r="QR17" s="609"/>
      <c r="QS17" s="496">
        <v>0.54166666666666663</v>
      </c>
      <c r="QT17" s="497"/>
      <c r="QU17" s="497"/>
      <c r="QV17" s="498"/>
      <c r="QW17" s="609"/>
      <c r="QX17" s="496">
        <v>0.52083333333333337</v>
      </c>
      <c r="QY17" s="497"/>
      <c r="QZ17" s="497"/>
      <c r="RA17" s="498"/>
      <c r="RB17" s="81">
        <v>0.54166666666666663</v>
      </c>
      <c r="RC17" s="496">
        <v>0.52083333333333337</v>
      </c>
      <c r="RD17" s="497"/>
      <c r="RE17" s="497"/>
      <c r="RF17" s="498"/>
      <c r="RG17" s="609"/>
      <c r="RH17" s="479"/>
      <c r="RI17" s="511"/>
      <c r="RJ17" s="487"/>
      <c r="RK17" s="487"/>
      <c r="RL17" s="487"/>
      <c r="RM17" s="488"/>
      <c r="RN17" s="496">
        <v>0.52083333333333337</v>
      </c>
      <c r="RO17" s="497"/>
      <c r="RP17" s="497"/>
      <c r="RQ17" s="498"/>
      <c r="RR17" s="609"/>
      <c r="RS17" s="496">
        <v>0.52083333333333337</v>
      </c>
      <c r="RT17" s="497"/>
      <c r="RU17" s="497"/>
      <c r="RV17" s="498"/>
      <c r="RW17" s="81">
        <v>0.52083333333333337</v>
      </c>
      <c r="RX17" s="496">
        <v>0.52083333333333337</v>
      </c>
      <c r="RY17" s="497"/>
      <c r="RZ17" s="497"/>
      <c r="SA17" s="498"/>
      <c r="SB17" s="81">
        <v>0.54166666666666663</v>
      </c>
      <c r="SC17" s="496">
        <v>0.54166666666666663</v>
      </c>
      <c r="SD17" s="497"/>
      <c r="SE17" s="497"/>
      <c r="SF17" s="498"/>
      <c r="SG17" s="81">
        <v>0.54166666666666663</v>
      </c>
      <c r="SH17" s="479"/>
      <c r="SI17" s="511"/>
      <c r="SJ17" s="487"/>
      <c r="SK17" s="487"/>
      <c r="SL17" s="487"/>
      <c r="SM17" s="488"/>
      <c r="SN17" s="496">
        <v>0.54166666666666663</v>
      </c>
      <c r="SO17" s="497"/>
      <c r="SP17" s="497"/>
      <c r="SQ17" s="498"/>
      <c r="SR17" s="609"/>
      <c r="SS17" s="496">
        <v>0.54166666666666663</v>
      </c>
      <c r="ST17" s="497"/>
      <c r="SU17" s="497"/>
      <c r="SV17" s="498"/>
      <c r="SW17" s="609"/>
      <c r="SX17" s="496">
        <v>0.54166666666666663</v>
      </c>
      <c r="SY17" s="497"/>
      <c r="SZ17" s="497"/>
      <c r="TA17" s="498"/>
      <c r="TB17" s="81">
        <v>0.54166666666666663</v>
      </c>
      <c r="TC17" s="496">
        <v>0.54166666666666663</v>
      </c>
      <c r="TD17" s="497"/>
      <c r="TE17" s="497"/>
      <c r="TF17" s="498"/>
      <c r="TG17" s="81">
        <v>0.52083333333333337</v>
      </c>
      <c r="TH17" s="479"/>
      <c r="TI17" s="511"/>
      <c r="TJ17" s="487"/>
      <c r="TK17" s="487"/>
      <c r="TL17" s="487"/>
      <c r="TM17" s="488"/>
      <c r="TN17" s="496">
        <v>0.52083333333333337</v>
      </c>
      <c r="TO17" s="497"/>
      <c r="TP17" s="497"/>
      <c r="TQ17" s="498"/>
      <c r="TR17" s="81">
        <v>0.54166666666666663</v>
      </c>
      <c r="TS17" s="496">
        <v>0.54166666666666663</v>
      </c>
      <c r="TT17" s="497"/>
      <c r="TU17" s="497"/>
      <c r="TV17" s="498"/>
      <c r="TW17" s="496">
        <v>0.54166666666666663</v>
      </c>
      <c r="TX17" s="497"/>
      <c r="TY17" s="497"/>
      <c r="TZ17" s="498"/>
      <c r="UA17" s="81">
        <v>0.54166666666666663</v>
      </c>
      <c r="UB17" s="496">
        <v>0.54166666666666663</v>
      </c>
      <c r="UC17" s="497"/>
      <c r="UD17" s="497"/>
      <c r="UE17" s="498"/>
      <c r="UF17" s="81">
        <v>0.54166666666666663</v>
      </c>
      <c r="UG17" s="496">
        <v>0.52083333333333337</v>
      </c>
      <c r="UH17" s="497"/>
      <c r="UI17" s="497"/>
      <c r="UJ17" s="498"/>
      <c r="UK17" s="81">
        <v>0.5625</v>
      </c>
      <c r="UL17" s="479"/>
      <c r="UM17" s="511"/>
      <c r="UN17" s="487"/>
      <c r="UO17" s="487"/>
      <c r="UP17" s="487"/>
      <c r="UQ17" s="488"/>
      <c r="UR17" s="496">
        <v>0.54166666666666663</v>
      </c>
      <c r="US17" s="497"/>
      <c r="UT17" s="497"/>
      <c r="UU17" s="498"/>
      <c r="UV17" s="609"/>
      <c r="UW17" s="496">
        <v>0.54166666666666663</v>
      </c>
      <c r="UX17" s="497"/>
      <c r="UY17" s="497"/>
      <c r="UZ17" s="498"/>
      <c r="VA17" s="81">
        <v>0.54166666666666663</v>
      </c>
      <c r="VB17" s="496">
        <v>0.52083333333333337</v>
      </c>
      <c r="VC17" s="497"/>
      <c r="VD17" s="497"/>
      <c r="VE17" s="498"/>
      <c r="VF17" s="81">
        <v>0.52083333333333337</v>
      </c>
      <c r="VG17" s="496"/>
      <c r="VH17" s="497"/>
      <c r="VI17" s="497"/>
      <c r="VJ17" s="498"/>
      <c r="VK17" s="81"/>
      <c r="VL17" s="81"/>
      <c r="VM17" s="496" t="str">
        <f>IF(VM15="","",VM15+TIME(0,30,0))</f>
        <v/>
      </c>
      <c r="VN17" s="497"/>
      <c r="VO17" s="497"/>
      <c r="VP17" s="498"/>
      <c r="VQ17" s="81" t="str">
        <f>IF(VQ15="","",VQ15+TIME(0,30,0))</f>
        <v/>
      </c>
      <c r="VR17" s="83"/>
    </row>
    <row r="18" spans="1:590" ht="45" customHeight="1" x14ac:dyDescent="0.4">
      <c r="A18" s="479"/>
      <c r="B18" s="512" t="s">
        <v>11</v>
      </c>
      <c r="C18" s="458"/>
      <c r="D18" s="458"/>
      <c r="E18" s="458"/>
      <c r="F18" s="465"/>
      <c r="G18" s="49">
        <v>99</v>
      </c>
      <c r="H18" s="46" t="s">
        <v>378</v>
      </c>
      <c r="I18" s="232" t="s">
        <v>160</v>
      </c>
      <c r="J18" s="70">
        <v>134</v>
      </c>
      <c r="K18" s="24">
        <v>92</v>
      </c>
      <c r="L18" s="49">
        <v>35</v>
      </c>
      <c r="M18" s="46" t="s">
        <v>378</v>
      </c>
      <c r="N18" s="232" t="s">
        <v>160</v>
      </c>
      <c r="O18" s="70">
        <v>126</v>
      </c>
      <c r="P18" s="24">
        <v>38</v>
      </c>
      <c r="Q18" s="49">
        <v>158</v>
      </c>
      <c r="R18" s="46" t="s">
        <v>378</v>
      </c>
      <c r="S18" s="232" t="s">
        <v>160</v>
      </c>
      <c r="T18" s="70">
        <v>193</v>
      </c>
      <c r="U18" s="24">
        <v>197</v>
      </c>
      <c r="V18" s="49">
        <v>151</v>
      </c>
      <c r="W18" s="46" t="s">
        <v>378</v>
      </c>
      <c r="X18" s="232" t="s">
        <v>160</v>
      </c>
      <c r="Y18" s="70">
        <v>186</v>
      </c>
      <c r="Z18" s="24">
        <v>191</v>
      </c>
      <c r="AA18" s="479"/>
      <c r="AB18" s="512" t="s">
        <v>11</v>
      </c>
      <c r="AC18" s="458"/>
      <c r="AD18" s="458"/>
      <c r="AE18" s="458"/>
      <c r="AF18" s="465"/>
      <c r="AG18" s="49">
        <v>94</v>
      </c>
      <c r="AH18" s="46" t="s">
        <v>378</v>
      </c>
      <c r="AI18" s="232" t="s">
        <v>160</v>
      </c>
      <c r="AJ18" s="70">
        <v>129</v>
      </c>
      <c r="AK18" s="24">
        <v>105</v>
      </c>
      <c r="AL18" s="49">
        <v>103</v>
      </c>
      <c r="AM18" s="46" t="s">
        <v>378</v>
      </c>
      <c r="AN18" s="232" t="s">
        <v>160</v>
      </c>
      <c r="AO18" s="70">
        <v>138</v>
      </c>
      <c r="AP18" s="24">
        <v>98</v>
      </c>
      <c r="AQ18" s="49">
        <v>84</v>
      </c>
      <c r="AR18" s="46" t="s">
        <v>378</v>
      </c>
      <c r="AS18" s="232" t="s">
        <v>160</v>
      </c>
      <c r="AT18" s="70">
        <v>119</v>
      </c>
      <c r="AU18" s="24">
        <v>97</v>
      </c>
      <c r="AV18" s="49">
        <v>61</v>
      </c>
      <c r="AW18" s="46" t="s">
        <v>378</v>
      </c>
      <c r="AX18" s="232" t="s">
        <v>160</v>
      </c>
      <c r="AY18" s="70">
        <v>96</v>
      </c>
      <c r="AZ18" s="24">
        <v>56</v>
      </c>
      <c r="BA18" s="479"/>
      <c r="BB18" s="512" t="s">
        <v>11</v>
      </c>
      <c r="BC18" s="458"/>
      <c r="BD18" s="458"/>
      <c r="BE18" s="458"/>
      <c r="BF18" s="465"/>
      <c r="BG18" s="49">
        <v>55</v>
      </c>
      <c r="BH18" s="46" t="s">
        <v>378</v>
      </c>
      <c r="BI18" s="232" t="s">
        <v>160</v>
      </c>
      <c r="BJ18" s="70">
        <v>151</v>
      </c>
      <c r="BK18" s="24">
        <v>55</v>
      </c>
      <c r="BL18" s="599">
        <v>101</v>
      </c>
      <c r="BM18" s="600"/>
      <c r="BN18" s="600"/>
      <c r="BO18" s="601"/>
      <c r="BP18" s="24">
        <v>106</v>
      </c>
      <c r="BQ18" s="49">
        <v>120</v>
      </c>
      <c r="BR18" s="46" t="s">
        <v>378</v>
      </c>
      <c r="BS18" s="232" t="s">
        <v>160</v>
      </c>
      <c r="BT18" s="70">
        <v>155</v>
      </c>
      <c r="BU18" s="24">
        <v>143</v>
      </c>
      <c r="BV18" s="599">
        <v>36</v>
      </c>
      <c r="BW18" s="600"/>
      <c r="BX18" s="600"/>
      <c r="BY18" s="601"/>
      <c r="BZ18" s="24">
        <v>46</v>
      </c>
      <c r="CA18" s="479"/>
      <c r="CB18" s="512" t="s">
        <v>11</v>
      </c>
      <c r="CC18" s="458"/>
      <c r="CD18" s="458"/>
      <c r="CE18" s="458"/>
      <c r="CF18" s="465"/>
      <c r="CG18" s="49">
        <v>130</v>
      </c>
      <c r="CH18" s="46" t="s">
        <v>378</v>
      </c>
      <c r="CI18" s="235" t="s">
        <v>160</v>
      </c>
      <c r="CJ18" s="70">
        <v>196</v>
      </c>
      <c r="CK18" s="24">
        <v>145</v>
      </c>
      <c r="CL18" s="49">
        <v>193</v>
      </c>
      <c r="CM18" s="46" t="s">
        <v>378</v>
      </c>
      <c r="CN18" s="235" t="s">
        <v>160</v>
      </c>
      <c r="CO18" s="70">
        <v>228</v>
      </c>
      <c r="CP18" s="24">
        <v>187</v>
      </c>
      <c r="CQ18" s="49">
        <v>53</v>
      </c>
      <c r="CR18" s="46" t="s">
        <v>378</v>
      </c>
      <c r="CS18" s="235" t="s">
        <v>160</v>
      </c>
      <c r="CT18" s="70">
        <v>149</v>
      </c>
      <c r="CU18" s="24">
        <v>56</v>
      </c>
      <c r="CV18" s="49">
        <v>0</v>
      </c>
      <c r="CW18" s="46" t="s">
        <v>378</v>
      </c>
      <c r="CX18" s="235" t="s">
        <v>160</v>
      </c>
      <c r="CY18" s="70">
        <v>55</v>
      </c>
      <c r="CZ18" s="624"/>
      <c r="DA18" s="625"/>
      <c r="DB18" s="625"/>
      <c r="DC18" s="626"/>
      <c r="DD18" s="479"/>
      <c r="DE18" s="512" t="s">
        <v>11</v>
      </c>
      <c r="DF18" s="458"/>
      <c r="DG18" s="458"/>
      <c r="DH18" s="458"/>
      <c r="DI18" s="465"/>
      <c r="DJ18" s="49">
        <v>155</v>
      </c>
      <c r="DK18" s="46" t="s">
        <v>378</v>
      </c>
      <c r="DL18" s="237" t="s">
        <v>160</v>
      </c>
      <c r="DM18" s="70">
        <v>190</v>
      </c>
      <c r="DN18" s="244">
        <v>186</v>
      </c>
      <c r="DO18" s="49">
        <v>45</v>
      </c>
      <c r="DP18" s="46" t="s">
        <v>378</v>
      </c>
      <c r="DQ18" s="238" t="s">
        <v>160</v>
      </c>
      <c r="DR18" s="70">
        <v>80</v>
      </c>
      <c r="DS18" s="24">
        <v>111</v>
      </c>
      <c r="DT18" s="49">
        <v>210</v>
      </c>
      <c r="DU18" s="46" t="s">
        <v>378</v>
      </c>
      <c r="DV18" s="240" t="s">
        <v>160</v>
      </c>
      <c r="DW18" s="70">
        <v>245</v>
      </c>
      <c r="DX18" s="24">
        <v>230</v>
      </c>
      <c r="DY18" s="49">
        <v>0</v>
      </c>
      <c r="DZ18" s="46" t="s">
        <v>378</v>
      </c>
      <c r="EA18" s="249" t="s">
        <v>160</v>
      </c>
      <c r="EB18" s="70">
        <v>57</v>
      </c>
      <c r="EC18" s="609"/>
      <c r="ED18" s="479"/>
      <c r="EE18" s="512" t="s">
        <v>11</v>
      </c>
      <c r="EF18" s="458"/>
      <c r="EG18" s="458"/>
      <c r="EH18" s="458"/>
      <c r="EI18" s="465"/>
      <c r="EJ18" s="49">
        <v>118</v>
      </c>
      <c r="EK18" s="46" t="s">
        <v>378</v>
      </c>
      <c r="EL18" s="254" t="s">
        <v>160</v>
      </c>
      <c r="EM18" s="70">
        <v>153</v>
      </c>
      <c r="EN18" s="24">
        <v>110</v>
      </c>
      <c r="EO18" s="49">
        <v>105</v>
      </c>
      <c r="EP18" s="46" t="s">
        <v>378</v>
      </c>
      <c r="EQ18" s="254" t="s">
        <v>160</v>
      </c>
      <c r="ER18" s="70">
        <v>140</v>
      </c>
      <c r="ES18" s="24">
        <v>94</v>
      </c>
      <c r="ET18" s="49">
        <v>178</v>
      </c>
      <c r="EU18" s="46" t="s">
        <v>378</v>
      </c>
      <c r="EV18" s="258" t="s">
        <v>160</v>
      </c>
      <c r="EW18" s="70">
        <v>209</v>
      </c>
      <c r="EX18" s="253">
        <v>179.2</v>
      </c>
      <c r="EY18" s="49">
        <v>101</v>
      </c>
      <c r="EZ18" s="46" t="s">
        <v>378</v>
      </c>
      <c r="FA18" s="261" t="s">
        <v>160</v>
      </c>
      <c r="FB18" s="70">
        <v>136</v>
      </c>
      <c r="FC18" s="24">
        <v>137</v>
      </c>
      <c r="FD18" s="479"/>
      <c r="FE18" s="512" t="s">
        <v>11</v>
      </c>
      <c r="FF18" s="458"/>
      <c r="FG18" s="458"/>
      <c r="FH18" s="458"/>
      <c r="FI18" s="465"/>
      <c r="FJ18" s="49">
        <v>49</v>
      </c>
      <c r="FK18" s="46" t="s">
        <v>378</v>
      </c>
      <c r="FL18" s="264" t="s">
        <v>160</v>
      </c>
      <c r="FM18" s="70">
        <v>84</v>
      </c>
      <c r="FN18" s="24">
        <v>79</v>
      </c>
      <c r="FO18" s="49">
        <v>0</v>
      </c>
      <c r="FP18" s="46" t="s">
        <v>378</v>
      </c>
      <c r="FQ18" s="264" t="s">
        <v>160</v>
      </c>
      <c r="FR18" s="70">
        <v>156</v>
      </c>
      <c r="FS18" s="24">
        <v>90</v>
      </c>
      <c r="FT18" s="49">
        <v>49</v>
      </c>
      <c r="FU18" s="46" t="s">
        <v>378</v>
      </c>
      <c r="FV18" s="266" t="s">
        <v>160</v>
      </c>
      <c r="FW18" s="70">
        <v>236</v>
      </c>
      <c r="FX18" s="24">
        <v>66</v>
      </c>
      <c r="FY18" s="49">
        <v>145</v>
      </c>
      <c r="FZ18" s="46" t="s">
        <v>378</v>
      </c>
      <c r="GA18" s="264" t="s">
        <v>160</v>
      </c>
      <c r="GB18" s="70">
        <v>252</v>
      </c>
      <c r="GC18" s="24">
        <v>152</v>
      </c>
      <c r="GD18" s="479"/>
      <c r="GE18" s="512" t="s">
        <v>11</v>
      </c>
      <c r="GF18" s="458"/>
      <c r="GG18" s="458"/>
      <c r="GH18" s="458"/>
      <c r="GI18" s="465"/>
      <c r="GJ18" s="49">
        <v>137</v>
      </c>
      <c r="GK18" s="46" t="s">
        <v>378</v>
      </c>
      <c r="GL18" s="268" t="s">
        <v>160</v>
      </c>
      <c r="GM18" s="70">
        <v>258</v>
      </c>
      <c r="GN18" s="24">
        <v>151</v>
      </c>
      <c r="GO18" s="49">
        <v>155</v>
      </c>
      <c r="GP18" s="46" t="s">
        <v>378</v>
      </c>
      <c r="GQ18" s="268" t="s">
        <v>160</v>
      </c>
      <c r="GR18" s="70">
        <v>171</v>
      </c>
      <c r="GS18" s="24">
        <v>171</v>
      </c>
      <c r="GT18" s="49">
        <v>139</v>
      </c>
      <c r="GU18" s="46" t="s">
        <v>378</v>
      </c>
      <c r="GV18" s="268" t="s">
        <v>160</v>
      </c>
      <c r="GW18" s="70">
        <v>189</v>
      </c>
      <c r="GX18" s="24">
        <v>141</v>
      </c>
      <c r="GY18" s="49">
        <v>0</v>
      </c>
      <c r="GZ18" s="46" t="s">
        <v>378</v>
      </c>
      <c r="HA18" s="272" t="s">
        <v>160</v>
      </c>
      <c r="HB18" s="70">
        <v>54</v>
      </c>
      <c r="HC18" s="609"/>
      <c r="HD18" s="479"/>
      <c r="HE18" s="512" t="s">
        <v>11</v>
      </c>
      <c r="HF18" s="458"/>
      <c r="HG18" s="458"/>
      <c r="HH18" s="458"/>
      <c r="HI18" s="465"/>
      <c r="HJ18" s="49">
        <v>0</v>
      </c>
      <c r="HK18" s="46" t="s">
        <v>378</v>
      </c>
      <c r="HL18" s="272" t="s">
        <v>160</v>
      </c>
      <c r="HM18" s="70">
        <v>139</v>
      </c>
      <c r="HN18" s="609"/>
      <c r="HO18" s="49">
        <v>132</v>
      </c>
      <c r="HP18" s="46" t="s">
        <v>378</v>
      </c>
      <c r="HQ18" s="272" t="s">
        <v>160</v>
      </c>
      <c r="HR18" s="70">
        <v>152</v>
      </c>
      <c r="HS18" s="24">
        <v>175</v>
      </c>
      <c r="HT18" s="49">
        <v>20</v>
      </c>
      <c r="HU18" s="46" t="s">
        <v>378</v>
      </c>
      <c r="HV18" s="273" t="s">
        <v>160</v>
      </c>
      <c r="HW18" s="70">
        <v>214</v>
      </c>
      <c r="HX18" s="24">
        <v>18</v>
      </c>
      <c r="HY18" s="49">
        <v>160</v>
      </c>
      <c r="HZ18" s="46" t="s">
        <v>378</v>
      </c>
      <c r="IA18" s="275" t="s">
        <v>160</v>
      </c>
      <c r="IB18" s="70">
        <v>183</v>
      </c>
      <c r="IC18" s="24">
        <v>163</v>
      </c>
      <c r="ID18" s="479"/>
      <c r="IE18" s="512" t="s">
        <v>11</v>
      </c>
      <c r="IF18" s="458"/>
      <c r="IG18" s="458"/>
      <c r="IH18" s="458"/>
      <c r="II18" s="465"/>
      <c r="IJ18" s="49">
        <v>104</v>
      </c>
      <c r="IK18" s="46" t="s">
        <v>378</v>
      </c>
      <c r="IL18" s="278" t="s">
        <v>160</v>
      </c>
      <c r="IM18" s="70">
        <v>165</v>
      </c>
      <c r="IN18" s="24">
        <v>117</v>
      </c>
      <c r="IO18" s="49">
        <v>75</v>
      </c>
      <c r="IP18" s="46" t="s">
        <v>378</v>
      </c>
      <c r="IQ18" s="280" t="s">
        <v>160</v>
      </c>
      <c r="IR18" s="70">
        <v>243</v>
      </c>
      <c r="IS18" s="24">
        <v>204</v>
      </c>
      <c r="IT18" s="49">
        <v>150</v>
      </c>
      <c r="IU18" s="46" t="s">
        <v>378</v>
      </c>
      <c r="IV18" s="282" t="s">
        <v>160</v>
      </c>
      <c r="IW18" s="70">
        <v>185</v>
      </c>
      <c r="IX18" s="24">
        <v>140</v>
      </c>
      <c r="IY18" s="49">
        <v>69</v>
      </c>
      <c r="IZ18" s="46" t="s">
        <v>378</v>
      </c>
      <c r="JA18" s="284" t="s">
        <v>160</v>
      </c>
      <c r="JB18" s="70">
        <v>109</v>
      </c>
      <c r="JC18" s="24">
        <v>67</v>
      </c>
      <c r="JD18" s="479"/>
      <c r="JE18" s="512" t="s">
        <v>11</v>
      </c>
      <c r="JF18" s="458"/>
      <c r="JG18" s="458"/>
      <c r="JH18" s="458"/>
      <c r="JI18" s="465"/>
      <c r="JJ18" s="49">
        <v>84</v>
      </c>
      <c r="JK18" s="46" t="s">
        <v>378</v>
      </c>
      <c r="JL18" s="284" t="s">
        <v>160</v>
      </c>
      <c r="JM18" s="70">
        <v>172</v>
      </c>
      <c r="JN18" s="24">
        <v>76</v>
      </c>
      <c r="JO18" s="49">
        <v>0</v>
      </c>
      <c r="JP18" s="46" t="s">
        <v>378</v>
      </c>
      <c r="JQ18" s="284" t="s">
        <v>160</v>
      </c>
      <c r="JR18" s="70">
        <v>123</v>
      </c>
      <c r="JS18" s="609"/>
      <c r="JT18" s="49">
        <v>0</v>
      </c>
      <c r="JU18" s="46" t="s">
        <v>378</v>
      </c>
      <c r="JV18" s="288" t="s">
        <v>160</v>
      </c>
      <c r="JW18" s="70">
        <v>112</v>
      </c>
      <c r="JX18" s="609"/>
      <c r="JY18" s="49">
        <v>134</v>
      </c>
      <c r="JZ18" s="46" t="s">
        <v>378</v>
      </c>
      <c r="KA18" s="284" t="s">
        <v>160</v>
      </c>
      <c r="KB18" s="70">
        <v>204</v>
      </c>
      <c r="KC18" s="24">
        <v>138</v>
      </c>
      <c r="KD18" s="479"/>
      <c r="KE18" s="512" t="s">
        <v>11</v>
      </c>
      <c r="KF18" s="458"/>
      <c r="KG18" s="458"/>
      <c r="KH18" s="458"/>
      <c r="KI18" s="465"/>
      <c r="KJ18" s="49">
        <v>0</v>
      </c>
      <c r="KK18" s="46" t="s">
        <v>378</v>
      </c>
      <c r="KL18" s="293" t="s">
        <v>160</v>
      </c>
      <c r="KM18" s="70">
        <v>10</v>
      </c>
      <c r="KN18" s="609"/>
      <c r="KO18" s="49">
        <v>3</v>
      </c>
      <c r="KP18" s="46" t="s">
        <v>378</v>
      </c>
      <c r="KQ18" s="293" t="s">
        <v>160</v>
      </c>
      <c r="KR18" s="70">
        <v>26</v>
      </c>
      <c r="KS18" s="24">
        <v>42</v>
      </c>
      <c r="KT18" s="49">
        <v>0</v>
      </c>
      <c r="KU18" s="46" t="s">
        <v>378</v>
      </c>
      <c r="KV18" s="296" t="s">
        <v>160</v>
      </c>
      <c r="KW18" s="70">
        <v>42</v>
      </c>
      <c r="KX18" s="609"/>
      <c r="KY18" s="49">
        <v>0</v>
      </c>
      <c r="KZ18" s="46" t="s">
        <v>378</v>
      </c>
      <c r="LA18" s="293" t="s">
        <v>160</v>
      </c>
      <c r="LB18" s="70">
        <v>69</v>
      </c>
      <c r="LC18" s="609"/>
      <c r="LD18" s="479"/>
      <c r="LE18" s="512" t="s">
        <v>11</v>
      </c>
      <c r="LF18" s="458"/>
      <c r="LG18" s="458"/>
      <c r="LH18" s="458"/>
      <c r="LI18" s="465"/>
      <c r="LJ18" s="49">
        <v>0</v>
      </c>
      <c r="LK18" s="46" t="s">
        <v>378</v>
      </c>
      <c r="LL18" s="392" t="s">
        <v>160</v>
      </c>
      <c r="LM18" s="70">
        <v>29</v>
      </c>
      <c r="LN18" s="24">
        <v>42</v>
      </c>
      <c r="LO18" s="49">
        <v>0</v>
      </c>
      <c r="LP18" s="46" t="s">
        <v>378</v>
      </c>
      <c r="LQ18" s="392" t="s">
        <v>160</v>
      </c>
      <c r="LR18" s="70">
        <v>52</v>
      </c>
      <c r="LS18" s="609"/>
      <c r="LT18" s="49">
        <v>0</v>
      </c>
      <c r="LU18" s="46" t="s">
        <v>378</v>
      </c>
      <c r="LV18" s="392" t="s">
        <v>160</v>
      </c>
      <c r="LW18" s="70">
        <v>62</v>
      </c>
      <c r="LX18" s="609"/>
      <c r="LY18" s="49">
        <v>24</v>
      </c>
      <c r="LZ18" s="46" t="s">
        <v>378</v>
      </c>
      <c r="MA18" s="392" t="s">
        <v>160</v>
      </c>
      <c r="MB18" s="70">
        <v>111</v>
      </c>
      <c r="MC18" s="24">
        <v>24</v>
      </c>
      <c r="MD18" s="479"/>
      <c r="ME18" s="512" t="s">
        <v>11</v>
      </c>
      <c r="MF18" s="458"/>
      <c r="MG18" s="458"/>
      <c r="MH18" s="458"/>
      <c r="MI18" s="465"/>
      <c r="MJ18" s="49">
        <v>0</v>
      </c>
      <c r="MK18" s="46" t="s">
        <v>378</v>
      </c>
      <c r="ML18" s="303" t="s">
        <v>160</v>
      </c>
      <c r="MM18" s="70">
        <v>58</v>
      </c>
      <c r="MN18" s="609"/>
      <c r="MO18" s="49">
        <v>0</v>
      </c>
      <c r="MP18" s="46" t="s">
        <v>378</v>
      </c>
      <c r="MQ18" s="304" t="s">
        <v>160</v>
      </c>
      <c r="MR18" s="70">
        <v>68</v>
      </c>
      <c r="MS18" s="609"/>
      <c r="MT18" s="49">
        <v>0</v>
      </c>
      <c r="MU18" s="46" t="s">
        <v>378</v>
      </c>
      <c r="MV18" s="314" t="s">
        <v>160</v>
      </c>
      <c r="MW18" s="70">
        <v>86</v>
      </c>
      <c r="MX18" s="24">
        <v>38</v>
      </c>
      <c r="MY18" s="49">
        <v>0</v>
      </c>
      <c r="MZ18" s="46" t="s">
        <v>378</v>
      </c>
      <c r="NA18" s="325" t="s">
        <v>160</v>
      </c>
      <c r="NB18" s="70">
        <v>55</v>
      </c>
      <c r="NC18" s="70"/>
      <c r="ND18" s="70"/>
      <c r="NE18" s="609"/>
      <c r="NF18" s="479"/>
      <c r="NG18" s="512" t="s">
        <v>11</v>
      </c>
      <c r="NH18" s="458"/>
      <c r="NI18" s="458"/>
      <c r="NJ18" s="458"/>
      <c r="NK18" s="465"/>
      <c r="NL18" s="49">
        <v>0</v>
      </c>
      <c r="NM18" s="46" t="s">
        <v>378</v>
      </c>
      <c r="NN18" s="335" t="s">
        <v>160</v>
      </c>
      <c r="NO18" s="70">
        <v>51</v>
      </c>
      <c r="NP18" s="609"/>
      <c r="NQ18" s="49">
        <v>0</v>
      </c>
      <c r="NR18" s="46" t="s">
        <v>378</v>
      </c>
      <c r="NS18" s="336" t="s">
        <v>160</v>
      </c>
      <c r="NT18" s="70">
        <v>37</v>
      </c>
      <c r="NU18" s="24">
        <v>19</v>
      </c>
      <c r="NV18" s="49">
        <v>0</v>
      </c>
      <c r="NW18" s="46" t="s">
        <v>378</v>
      </c>
      <c r="NX18" s="338" t="s">
        <v>160</v>
      </c>
      <c r="NY18" s="70">
        <v>24</v>
      </c>
      <c r="NZ18" s="609"/>
      <c r="OA18" s="49">
        <v>108.5</v>
      </c>
      <c r="OB18" s="46" t="s">
        <v>378</v>
      </c>
      <c r="OC18" s="335" t="s">
        <v>160</v>
      </c>
      <c r="OD18" s="70">
        <v>151.4</v>
      </c>
      <c r="OE18" s="70"/>
      <c r="OF18" s="70"/>
      <c r="OG18" s="24">
        <v>92</v>
      </c>
      <c r="OH18" s="479"/>
      <c r="OI18" s="512" t="s">
        <v>11</v>
      </c>
      <c r="OJ18" s="458"/>
      <c r="OK18" s="458"/>
      <c r="OL18" s="458"/>
      <c r="OM18" s="465"/>
      <c r="ON18" s="49">
        <v>0</v>
      </c>
      <c r="OO18" s="46" t="s">
        <v>378</v>
      </c>
      <c r="OP18" s="340" t="s">
        <v>160</v>
      </c>
      <c r="OQ18" s="70">
        <v>53.680000000000064</v>
      </c>
      <c r="OR18" s="609"/>
      <c r="OS18" s="49">
        <v>0</v>
      </c>
      <c r="OT18" s="46" t="s">
        <v>378</v>
      </c>
      <c r="OU18" s="342" t="s">
        <v>160</v>
      </c>
      <c r="OV18" s="70">
        <v>65.2</v>
      </c>
      <c r="OW18" s="609"/>
      <c r="OX18" s="49">
        <v>80.390000000000029</v>
      </c>
      <c r="OY18" s="46" t="s">
        <v>378</v>
      </c>
      <c r="OZ18" s="344" t="s">
        <v>160</v>
      </c>
      <c r="PA18" s="70">
        <v>122.08999999999992</v>
      </c>
      <c r="PB18" s="24">
        <v>76.2</v>
      </c>
      <c r="PC18" s="346">
        <v>187.43270000000001</v>
      </c>
      <c r="PD18" s="347" t="s">
        <v>378</v>
      </c>
      <c r="PE18" s="348" t="s">
        <v>160</v>
      </c>
      <c r="PF18" s="349">
        <v>195.14</v>
      </c>
      <c r="PG18" s="24">
        <v>193</v>
      </c>
      <c r="PH18" s="479"/>
      <c r="PI18" s="512" t="s">
        <v>11</v>
      </c>
      <c r="PJ18" s="458"/>
      <c r="PK18" s="458"/>
      <c r="PL18" s="458"/>
      <c r="PM18" s="465"/>
      <c r="PN18" s="49">
        <v>0</v>
      </c>
      <c r="PO18" s="46" t="s">
        <v>378</v>
      </c>
      <c r="PP18" s="379" t="s">
        <v>160</v>
      </c>
      <c r="PQ18" s="70">
        <v>116</v>
      </c>
      <c r="PR18" s="609"/>
      <c r="PS18" s="49">
        <v>83.27000000000011</v>
      </c>
      <c r="PT18" s="46" t="s">
        <v>378</v>
      </c>
      <c r="PU18" s="379" t="s">
        <v>160</v>
      </c>
      <c r="PV18" s="70">
        <v>126.26999999999998</v>
      </c>
      <c r="PW18" s="24">
        <v>88.9</v>
      </c>
      <c r="PX18" s="49">
        <v>68</v>
      </c>
      <c r="PY18" s="46" t="s">
        <v>378</v>
      </c>
      <c r="PZ18" s="379" t="s">
        <v>160</v>
      </c>
      <c r="QA18" s="70">
        <v>100.8</v>
      </c>
      <c r="QB18" s="24">
        <v>75</v>
      </c>
      <c r="QC18" s="49">
        <v>0</v>
      </c>
      <c r="QD18" s="46" t="s">
        <v>378</v>
      </c>
      <c r="QE18" s="379" t="s">
        <v>160</v>
      </c>
      <c r="QF18" s="70">
        <v>19.100000000000001</v>
      </c>
      <c r="QG18" s="609"/>
      <c r="QH18" s="479"/>
      <c r="QI18" s="512" t="s">
        <v>11</v>
      </c>
      <c r="QJ18" s="458"/>
      <c r="QK18" s="458"/>
      <c r="QL18" s="458"/>
      <c r="QM18" s="465"/>
      <c r="QN18" s="49">
        <v>0</v>
      </c>
      <c r="QO18" s="46" t="s">
        <v>378</v>
      </c>
      <c r="QP18" s="358" t="s">
        <v>160</v>
      </c>
      <c r="QQ18" s="393">
        <v>94</v>
      </c>
      <c r="QR18" s="609"/>
      <c r="QS18" s="49">
        <v>0</v>
      </c>
      <c r="QT18" s="46" t="s">
        <v>378</v>
      </c>
      <c r="QU18" s="358" t="s">
        <v>160</v>
      </c>
      <c r="QV18" s="70">
        <v>36.799999999999997</v>
      </c>
      <c r="QW18" s="609"/>
      <c r="QX18" s="49">
        <v>52.1</v>
      </c>
      <c r="QY18" s="46" t="s">
        <v>378</v>
      </c>
      <c r="QZ18" s="359" t="s">
        <v>160</v>
      </c>
      <c r="RA18" s="70">
        <v>85.5</v>
      </c>
      <c r="RB18" s="24">
        <v>50.799999999999955</v>
      </c>
      <c r="RC18" s="49">
        <v>0</v>
      </c>
      <c r="RD18" s="46" t="s">
        <v>378</v>
      </c>
      <c r="RE18" s="360" t="s">
        <v>160</v>
      </c>
      <c r="RF18" s="70">
        <v>25.3</v>
      </c>
      <c r="RG18" s="609"/>
      <c r="RH18" s="479"/>
      <c r="RI18" s="512" t="s">
        <v>11</v>
      </c>
      <c r="RJ18" s="458"/>
      <c r="RK18" s="458"/>
      <c r="RL18" s="458"/>
      <c r="RM18" s="465"/>
      <c r="RN18" s="49">
        <v>0</v>
      </c>
      <c r="RO18" s="46" t="s">
        <v>378</v>
      </c>
      <c r="RP18" s="362" t="s">
        <v>160</v>
      </c>
      <c r="RQ18" s="363">
        <v>97.7</v>
      </c>
      <c r="RR18" s="609"/>
      <c r="RS18" s="49">
        <v>61.9</v>
      </c>
      <c r="RT18" s="46" t="s">
        <v>378</v>
      </c>
      <c r="RU18" s="365" t="s">
        <v>160</v>
      </c>
      <c r="RV18" s="363">
        <v>189</v>
      </c>
      <c r="RW18" s="24">
        <v>75.2</v>
      </c>
      <c r="RX18" s="49">
        <v>25.5</v>
      </c>
      <c r="RY18" s="46" t="s">
        <v>378</v>
      </c>
      <c r="RZ18" s="367" t="s">
        <v>160</v>
      </c>
      <c r="SA18" s="363">
        <v>57.5</v>
      </c>
      <c r="SB18" s="24">
        <v>21.6</v>
      </c>
      <c r="SC18" s="49">
        <v>44.9</v>
      </c>
      <c r="SD18" s="46" t="s">
        <v>378</v>
      </c>
      <c r="SE18" s="371" t="s">
        <v>160</v>
      </c>
      <c r="SF18" s="363">
        <v>54.4</v>
      </c>
      <c r="SG18" s="24">
        <v>51.13</v>
      </c>
      <c r="SH18" s="479"/>
      <c r="SI18" s="512" t="s">
        <v>11</v>
      </c>
      <c r="SJ18" s="458"/>
      <c r="SK18" s="458"/>
      <c r="SL18" s="458"/>
      <c r="SM18" s="465"/>
      <c r="SN18" s="49">
        <v>0</v>
      </c>
      <c r="SO18" s="46" t="s">
        <v>378</v>
      </c>
      <c r="SP18" s="392" t="s">
        <v>160</v>
      </c>
      <c r="SQ18" s="363">
        <v>120.5</v>
      </c>
      <c r="SR18" s="609"/>
      <c r="SS18" s="49">
        <v>0</v>
      </c>
      <c r="ST18" s="46" t="s">
        <v>378</v>
      </c>
      <c r="SU18" s="392" t="s">
        <v>160</v>
      </c>
      <c r="SV18" s="363">
        <v>64.099999999999994</v>
      </c>
      <c r="SW18" s="609"/>
      <c r="SX18" s="49">
        <v>25</v>
      </c>
      <c r="SY18" s="46" t="s">
        <v>378</v>
      </c>
      <c r="SZ18" s="392" t="s">
        <v>160</v>
      </c>
      <c r="TA18" s="363">
        <v>165.5</v>
      </c>
      <c r="TB18" s="24">
        <v>25</v>
      </c>
      <c r="TC18" s="49">
        <v>143</v>
      </c>
      <c r="TD18" s="46" t="s">
        <v>378</v>
      </c>
      <c r="TE18" s="392" t="s">
        <v>160</v>
      </c>
      <c r="TF18" s="363">
        <v>167.1</v>
      </c>
      <c r="TG18" s="24">
        <v>199</v>
      </c>
      <c r="TH18" s="479"/>
      <c r="TI18" s="512" t="s">
        <v>11</v>
      </c>
      <c r="TJ18" s="458"/>
      <c r="TK18" s="458"/>
      <c r="TL18" s="458"/>
      <c r="TM18" s="465"/>
      <c r="TN18" s="49">
        <v>0</v>
      </c>
      <c r="TO18" s="46" t="s">
        <v>378</v>
      </c>
      <c r="TP18" s="375" t="s">
        <v>160</v>
      </c>
      <c r="TQ18" s="363">
        <v>140.1</v>
      </c>
      <c r="TR18" s="24">
        <v>85.5</v>
      </c>
      <c r="TS18" s="599">
        <v>81.5</v>
      </c>
      <c r="TT18" s="600"/>
      <c r="TU18" s="600"/>
      <c r="TV18" s="601"/>
      <c r="TW18" s="49">
        <v>62.7</v>
      </c>
      <c r="TX18" s="46" t="s">
        <v>378</v>
      </c>
      <c r="TY18" s="381" t="s">
        <v>160</v>
      </c>
      <c r="TZ18" s="363">
        <v>216.3</v>
      </c>
      <c r="UA18" s="24">
        <v>214.6</v>
      </c>
      <c r="UB18" s="49">
        <v>218.1</v>
      </c>
      <c r="UC18" s="46" t="s">
        <v>378</v>
      </c>
      <c r="UD18" s="385" t="s">
        <v>160</v>
      </c>
      <c r="UE18" s="363">
        <v>272.3</v>
      </c>
      <c r="UF18" s="24">
        <v>266</v>
      </c>
      <c r="UG18" s="346">
        <v>173.5</v>
      </c>
      <c r="UH18" s="46" t="s">
        <v>378</v>
      </c>
      <c r="UI18" s="385" t="s">
        <v>160</v>
      </c>
      <c r="UJ18" s="382">
        <v>385.7</v>
      </c>
      <c r="UK18" s="24">
        <v>305</v>
      </c>
      <c r="UL18" s="479"/>
      <c r="UM18" s="512" t="s">
        <v>11</v>
      </c>
      <c r="UN18" s="458"/>
      <c r="UO18" s="458"/>
      <c r="UP18" s="458"/>
      <c r="UQ18" s="465"/>
      <c r="UR18" s="49">
        <v>0</v>
      </c>
      <c r="US18" s="46" t="s">
        <v>378</v>
      </c>
      <c r="UT18" s="385" t="s">
        <v>673</v>
      </c>
      <c r="UU18" s="363">
        <v>187.9</v>
      </c>
      <c r="UV18" s="609"/>
      <c r="UW18" s="49">
        <v>213.8</v>
      </c>
      <c r="UX18" s="46" t="s">
        <v>378</v>
      </c>
      <c r="UY18" s="385" t="s">
        <v>673</v>
      </c>
      <c r="UZ18" s="363">
        <v>227.4</v>
      </c>
      <c r="VA18" s="24">
        <v>193.7</v>
      </c>
      <c r="VB18" s="346">
        <v>192</v>
      </c>
      <c r="VC18" s="46" t="s">
        <v>378</v>
      </c>
      <c r="VD18" s="388" t="s">
        <v>673</v>
      </c>
      <c r="VE18" s="363">
        <v>212.9</v>
      </c>
      <c r="VF18" s="24">
        <v>200</v>
      </c>
      <c r="VG18" s="49"/>
      <c r="VH18" s="46"/>
      <c r="VI18" s="385"/>
      <c r="VJ18" s="363"/>
      <c r="VK18" s="24"/>
      <c r="VL18" s="24"/>
      <c r="VM18" s="49"/>
      <c r="VN18" s="46" t="str">
        <f>IF(VM18="","","※")</f>
        <v/>
      </c>
      <c r="VO18" s="302" t="str">
        <f>IF(VM18="","","～")</f>
        <v/>
      </c>
      <c r="VP18" s="70"/>
      <c r="VQ18" s="24"/>
      <c r="VR18" s="191"/>
    </row>
    <row r="19" spans="1:590" ht="45" customHeight="1" x14ac:dyDescent="0.4">
      <c r="A19" s="480"/>
      <c r="B19" s="511" t="s">
        <v>60</v>
      </c>
      <c r="C19" s="487"/>
      <c r="D19" s="487"/>
      <c r="E19" s="487"/>
      <c r="F19" s="488"/>
      <c r="G19" s="51">
        <v>0.11</v>
      </c>
      <c r="H19" s="603" t="s">
        <v>160</v>
      </c>
      <c r="I19" s="603"/>
      <c r="J19" s="52">
        <v>0.15</v>
      </c>
      <c r="K19" s="227">
        <v>0.11</v>
      </c>
      <c r="L19" s="51">
        <v>0.06</v>
      </c>
      <c r="M19" s="603" t="s">
        <v>160</v>
      </c>
      <c r="N19" s="603"/>
      <c r="O19" s="52">
        <v>0.23</v>
      </c>
      <c r="P19" s="227">
        <v>0.06</v>
      </c>
      <c r="Q19" s="51">
        <v>0.22</v>
      </c>
      <c r="R19" s="603" t="s">
        <v>160</v>
      </c>
      <c r="S19" s="603"/>
      <c r="T19" s="52">
        <v>0.26</v>
      </c>
      <c r="U19" s="227">
        <v>0.26</v>
      </c>
      <c r="V19" s="51">
        <v>0.18</v>
      </c>
      <c r="W19" s="603" t="s">
        <v>160</v>
      </c>
      <c r="X19" s="603"/>
      <c r="Y19" s="52">
        <v>0.22</v>
      </c>
      <c r="Z19" s="227">
        <v>0.21</v>
      </c>
      <c r="AA19" s="480"/>
      <c r="AB19" s="511" t="s">
        <v>60</v>
      </c>
      <c r="AC19" s="487"/>
      <c r="AD19" s="487"/>
      <c r="AE19" s="487"/>
      <c r="AF19" s="488"/>
      <c r="AG19" s="51">
        <v>0.16</v>
      </c>
      <c r="AH19" s="603" t="s">
        <v>160</v>
      </c>
      <c r="AI19" s="603"/>
      <c r="AJ19" s="52">
        <v>0.2</v>
      </c>
      <c r="AK19" s="229">
        <v>0.17</v>
      </c>
      <c r="AL19" s="51">
        <v>0.11</v>
      </c>
      <c r="AM19" s="603" t="s">
        <v>160</v>
      </c>
      <c r="AN19" s="603"/>
      <c r="AO19" s="52">
        <v>0.15</v>
      </c>
      <c r="AP19" s="229">
        <v>0.11</v>
      </c>
      <c r="AQ19" s="51">
        <v>0.14000000000000001</v>
      </c>
      <c r="AR19" s="603" t="s">
        <v>160</v>
      </c>
      <c r="AS19" s="603"/>
      <c r="AT19" s="52">
        <v>0.18</v>
      </c>
      <c r="AU19" s="229">
        <v>0.16</v>
      </c>
      <c r="AV19" s="51">
        <v>7.0000000000000007E-2</v>
      </c>
      <c r="AW19" s="603" t="s">
        <v>160</v>
      </c>
      <c r="AX19" s="603"/>
      <c r="AY19" s="52">
        <v>0.11</v>
      </c>
      <c r="AZ19" s="227">
        <v>7.0000000000000007E-2</v>
      </c>
      <c r="BA19" s="479"/>
      <c r="BB19" s="511" t="s">
        <v>60</v>
      </c>
      <c r="BC19" s="487"/>
      <c r="BD19" s="487"/>
      <c r="BE19" s="487"/>
      <c r="BF19" s="488"/>
      <c r="BG19" s="51">
        <v>7.0000000000000007E-2</v>
      </c>
      <c r="BH19" s="603" t="s">
        <v>160</v>
      </c>
      <c r="BI19" s="603"/>
      <c r="BJ19" s="52">
        <v>0.2</v>
      </c>
      <c r="BK19" s="229">
        <v>7.0000000000000007E-2</v>
      </c>
      <c r="BL19" s="602">
        <v>0.16</v>
      </c>
      <c r="BM19" s="603"/>
      <c r="BN19" s="603"/>
      <c r="BO19" s="604"/>
      <c r="BP19" s="229">
        <v>0.16</v>
      </c>
      <c r="BQ19" s="51">
        <v>0.18</v>
      </c>
      <c r="BR19" s="603" t="s">
        <v>160</v>
      </c>
      <c r="BS19" s="603"/>
      <c r="BT19" s="52">
        <v>0.22</v>
      </c>
      <c r="BU19" s="229">
        <v>0.2</v>
      </c>
      <c r="BV19" s="602">
        <v>7.0000000000000007E-2</v>
      </c>
      <c r="BW19" s="603"/>
      <c r="BX19" s="603"/>
      <c r="BY19" s="604"/>
      <c r="BZ19" s="229">
        <v>7.0000000000000007E-2</v>
      </c>
      <c r="CA19" s="480"/>
      <c r="CB19" s="511" t="s">
        <v>60</v>
      </c>
      <c r="CC19" s="487"/>
      <c r="CD19" s="487"/>
      <c r="CE19" s="487"/>
      <c r="CF19" s="488"/>
      <c r="CG19" s="51">
        <v>0.15</v>
      </c>
      <c r="CH19" s="603" t="s">
        <v>160</v>
      </c>
      <c r="CI19" s="603"/>
      <c r="CJ19" s="52">
        <v>0.23</v>
      </c>
      <c r="CK19" s="229">
        <v>0.17</v>
      </c>
      <c r="CL19" s="51">
        <v>0.25</v>
      </c>
      <c r="CM19" s="603" t="s">
        <v>160</v>
      </c>
      <c r="CN19" s="603"/>
      <c r="CO19" s="52">
        <v>0.28999999999999998</v>
      </c>
      <c r="CP19" s="229">
        <v>0.25</v>
      </c>
      <c r="CQ19" s="51">
        <v>7.0000000000000007E-2</v>
      </c>
      <c r="CR19" s="603" t="s">
        <v>160</v>
      </c>
      <c r="CS19" s="603"/>
      <c r="CT19" s="52">
        <v>0.21</v>
      </c>
      <c r="CU19" s="229">
        <v>7.0000000000000007E-2</v>
      </c>
      <c r="CV19" s="51">
        <v>0</v>
      </c>
      <c r="CW19" s="603" t="s">
        <v>160</v>
      </c>
      <c r="CX19" s="603"/>
      <c r="CY19" s="52">
        <v>0.11</v>
      </c>
      <c r="CZ19" s="627"/>
      <c r="DA19" s="628"/>
      <c r="DB19" s="628"/>
      <c r="DC19" s="629"/>
      <c r="DD19" s="480"/>
      <c r="DE19" s="511" t="s">
        <v>60</v>
      </c>
      <c r="DF19" s="487"/>
      <c r="DG19" s="487"/>
      <c r="DH19" s="487"/>
      <c r="DI19" s="488"/>
      <c r="DJ19" s="51">
        <v>0.17</v>
      </c>
      <c r="DK19" s="603" t="s">
        <v>160</v>
      </c>
      <c r="DL19" s="603"/>
      <c r="DM19" s="52">
        <v>0.21</v>
      </c>
      <c r="DN19" s="245">
        <v>0.2</v>
      </c>
      <c r="DO19" s="51">
        <v>0.05</v>
      </c>
      <c r="DP19" s="603" t="s">
        <v>160</v>
      </c>
      <c r="DQ19" s="603"/>
      <c r="DR19" s="52">
        <v>0.09</v>
      </c>
      <c r="DS19" s="229">
        <v>0.13</v>
      </c>
      <c r="DT19" s="51">
        <v>0.27</v>
      </c>
      <c r="DU19" s="603" t="s">
        <v>160</v>
      </c>
      <c r="DV19" s="603"/>
      <c r="DW19" s="52">
        <v>0.31</v>
      </c>
      <c r="DX19" s="229">
        <v>0.28999999999999998</v>
      </c>
      <c r="DY19" s="51">
        <v>0</v>
      </c>
      <c r="DZ19" s="603" t="s">
        <v>160</v>
      </c>
      <c r="EA19" s="603"/>
      <c r="EB19" s="52">
        <v>0.11</v>
      </c>
      <c r="EC19" s="610"/>
      <c r="ED19" s="480"/>
      <c r="EE19" s="511" t="s">
        <v>60</v>
      </c>
      <c r="EF19" s="487"/>
      <c r="EG19" s="487"/>
      <c r="EH19" s="487"/>
      <c r="EI19" s="488"/>
      <c r="EJ19" s="51">
        <v>0.13</v>
      </c>
      <c r="EK19" s="603" t="s">
        <v>160</v>
      </c>
      <c r="EL19" s="603"/>
      <c r="EM19" s="52">
        <v>0.17</v>
      </c>
      <c r="EN19" s="229">
        <v>0.13</v>
      </c>
      <c r="EO19" s="51">
        <v>0.11</v>
      </c>
      <c r="EP19" s="603" t="s">
        <v>160</v>
      </c>
      <c r="EQ19" s="603"/>
      <c r="ER19" s="52">
        <v>0.15</v>
      </c>
      <c r="ES19" s="229">
        <v>0.11</v>
      </c>
      <c r="ET19" s="51">
        <v>0.24</v>
      </c>
      <c r="EU19" s="603" t="s">
        <v>160</v>
      </c>
      <c r="EV19" s="603"/>
      <c r="EW19" s="52">
        <v>0.28000000000000003</v>
      </c>
      <c r="EX19" s="256">
        <v>0.24</v>
      </c>
      <c r="EY19" s="51">
        <v>0.11</v>
      </c>
      <c r="EZ19" s="603" t="s">
        <v>160</v>
      </c>
      <c r="FA19" s="603"/>
      <c r="FB19" s="52">
        <v>0.15</v>
      </c>
      <c r="FC19" s="229">
        <v>0.15</v>
      </c>
      <c r="FD19" s="480"/>
      <c r="FE19" s="511" t="s">
        <v>60</v>
      </c>
      <c r="FF19" s="487"/>
      <c r="FG19" s="487"/>
      <c r="FH19" s="487"/>
      <c r="FI19" s="488"/>
      <c r="FJ19" s="51">
        <v>0.11</v>
      </c>
      <c r="FK19" s="603" t="s">
        <v>160</v>
      </c>
      <c r="FL19" s="603"/>
      <c r="FM19" s="52">
        <v>0.15</v>
      </c>
      <c r="FN19" s="229">
        <v>0.15</v>
      </c>
      <c r="FO19" s="51">
        <v>0</v>
      </c>
      <c r="FP19" s="603" t="s">
        <v>160</v>
      </c>
      <c r="FQ19" s="603"/>
      <c r="FR19" s="52">
        <v>0.22</v>
      </c>
      <c r="FS19" s="229">
        <v>0.11</v>
      </c>
      <c r="FT19" s="51">
        <v>0.08</v>
      </c>
      <c r="FU19" s="603" t="s">
        <v>160</v>
      </c>
      <c r="FV19" s="603"/>
      <c r="FW19" s="52">
        <v>0.31</v>
      </c>
      <c r="FX19" s="229">
        <v>0.08</v>
      </c>
      <c r="FY19" s="51">
        <v>0.19</v>
      </c>
      <c r="FZ19" s="603" t="s">
        <v>160</v>
      </c>
      <c r="GA19" s="603"/>
      <c r="GB19" s="52">
        <v>0.33</v>
      </c>
      <c r="GC19" s="229">
        <v>0.19</v>
      </c>
      <c r="GD19" s="480"/>
      <c r="GE19" s="511" t="s">
        <v>60</v>
      </c>
      <c r="GF19" s="487"/>
      <c r="GG19" s="487"/>
      <c r="GH19" s="487"/>
      <c r="GI19" s="488"/>
      <c r="GJ19" s="51">
        <v>0.24</v>
      </c>
      <c r="GK19" s="603" t="s">
        <v>160</v>
      </c>
      <c r="GL19" s="603"/>
      <c r="GM19" s="52">
        <v>0.41</v>
      </c>
      <c r="GN19" s="229">
        <v>0.24</v>
      </c>
      <c r="GO19" s="51">
        <v>0.16</v>
      </c>
      <c r="GP19" s="603" t="s">
        <v>160</v>
      </c>
      <c r="GQ19" s="603"/>
      <c r="GR19" s="52">
        <v>0.18</v>
      </c>
      <c r="GS19" s="229">
        <v>0.18</v>
      </c>
      <c r="GT19" s="51">
        <v>0.21</v>
      </c>
      <c r="GU19" s="603" t="s">
        <v>160</v>
      </c>
      <c r="GV19" s="603"/>
      <c r="GW19" s="52">
        <v>0.27</v>
      </c>
      <c r="GX19" s="229">
        <v>0.21</v>
      </c>
      <c r="GY19" s="51">
        <v>0</v>
      </c>
      <c r="GZ19" s="603" t="s">
        <v>160</v>
      </c>
      <c r="HA19" s="603"/>
      <c r="HB19" s="52">
        <v>0.14000000000000001</v>
      </c>
      <c r="HC19" s="610"/>
      <c r="HD19" s="480"/>
      <c r="HE19" s="511" t="s">
        <v>60</v>
      </c>
      <c r="HF19" s="487"/>
      <c r="HG19" s="487"/>
      <c r="HH19" s="487"/>
      <c r="HI19" s="488"/>
      <c r="HJ19" s="51">
        <v>0</v>
      </c>
      <c r="HK19" s="603" t="s">
        <v>160</v>
      </c>
      <c r="HL19" s="603"/>
      <c r="HM19" s="52">
        <v>0.22</v>
      </c>
      <c r="HN19" s="610"/>
      <c r="HO19" s="51">
        <v>0.14000000000000001</v>
      </c>
      <c r="HP19" s="603" t="s">
        <v>160</v>
      </c>
      <c r="HQ19" s="603"/>
      <c r="HR19" s="52">
        <v>0.16</v>
      </c>
      <c r="HS19" s="229">
        <v>0.19</v>
      </c>
      <c r="HT19" s="51">
        <v>0.03</v>
      </c>
      <c r="HU19" s="603" t="s">
        <v>160</v>
      </c>
      <c r="HV19" s="603"/>
      <c r="HW19" s="52">
        <v>0.25</v>
      </c>
      <c r="HX19" s="229">
        <v>0.03</v>
      </c>
      <c r="HY19" s="51">
        <v>0.22</v>
      </c>
      <c r="HZ19" s="603" t="s">
        <v>160</v>
      </c>
      <c r="IA19" s="603"/>
      <c r="IB19" s="52">
        <v>0.24</v>
      </c>
      <c r="IC19" s="229">
        <v>0.22</v>
      </c>
      <c r="ID19" s="480"/>
      <c r="IE19" s="511" t="s">
        <v>60</v>
      </c>
      <c r="IF19" s="487"/>
      <c r="IG19" s="487"/>
      <c r="IH19" s="487"/>
      <c r="II19" s="488"/>
      <c r="IJ19" s="51">
        <v>0.12</v>
      </c>
      <c r="IK19" s="603" t="s">
        <v>160</v>
      </c>
      <c r="IL19" s="603"/>
      <c r="IM19" s="52">
        <v>0.2</v>
      </c>
      <c r="IN19" s="229">
        <v>0.12</v>
      </c>
      <c r="IO19" s="51">
        <v>0.19</v>
      </c>
      <c r="IP19" s="603" t="s">
        <v>160</v>
      </c>
      <c r="IQ19" s="603"/>
      <c r="IR19" s="52">
        <v>0.41</v>
      </c>
      <c r="IS19" s="229">
        <v>0.34</v>
      </c>
      <c r="IT19" s="51">
        <v>0.16</v>
      </c>
      <c r="IU19" s="603" t="s">
        <v>160</v>
      </c>
      <c r="IV19" s="603"/>
      <c r="IW19" s="52">
        <v>0.2</v>
      </c>
      <c r="IX19" s="229">
        <v>0.16</v>
      </c>
      <c r="IY19" s="51">
        <v>0.08</v>
      </c>
      <c r="IZ19" s="603" t="s">
        <v>160</v>
      </c>
      <c r="JA19" s="603"/>
      <c r="JB19" s="52">
        <v>0.13</v>
      </c>
      <c r="JC19" s="229">
        <v>0.08</v>
      </c>
      <c r="JD19" s="480"/>
      <c r="JE19" s="511" t="s">
        <v>60</v>
      </c>
      <c r="JF19" s="487"/>
      <c r="JG19" s="487"/>
      <c r="JH19" s="487"/>
      <c r="JI19" s="488"/>
      <c r="JJ19" s="51">
        <v>0.16</v>
      </c>
      <c r="JK19" s="603" t="s">
        <v>160</v>
      </c>
      <c r="JL19" s="603"/>
      <c r="JM19" s="52">
        <v>0.28000000000000003</v>
      </c>
      <c r="JN19" s="229">
        <v>0.16</v>
      </c>
      <c r="JO19" s="51">
        <v>0</v>
      </c>
      <c r="JP19" s="603" t="s">
        <v>160</v>
      </c>
      <c r="JQ19" s="603"/>
      <c r="JR19" s="52">
        <v>0.2</v>
      </c>
      <c r="JS19" s="610"/>
      <c r="JT19" s="51">
        <v>0</v>
      </c>
      <c r="JU19" s="603" t="s">
        <v>160</v>
      </c>
      <c r="JV19" s="603"/>
      <c r="JW19" s="52">
        <v>0.17</v>
      </c>
      <c r="JX19" s="610"/>
      <c r="JY19" s="51">
        <v>0.17</v>
      </c>
      <c r="JZ19" s="603" t="s">
        <v>160</v>
      </c>
      <c r="KA19" s="603"/>
      <c r="KB19" s="52">
        <v>0.26</v>
      </c>
      <c r="KC19" s="229">
        <v>0.17</v>
      </c>
      <c r="KD19" s="480"/>
      <c r="KE19" s="511" t="s">
        <v>60</v>
      </c>
      <c r="KF19" s="487"/>
      <c r="KG19" s="487"/>
      <c r="KH19" s="487"/>
      <c r="KI19" s="488"/>
      <c r="KJ19" s="51">
        <v>0</v>
      </c>
      <c r="KK19" s="603" t="s">
        <v>160</v>
      </c>
      <c r="KL19" s="603"/>
      <c r="KM19" s="52">
        <v>0.02</v>
      </c>
      <c r="KN19" s="610"/>
      <c r="KO19" s="51">
        <v>0</v>
      </c>
      <c r="KP19" s="603" t="s">
        <v>160</v>
      </c>
      <c r="KQ19" s="603"/>
      <c r="KR19" s="52">
        <v>0.03</v>
      </c>
      <c r="KS19" s="227">
        <v>0.05</v>
      </c>
      <c r="KT19" s="51">
        <v>0</v>
      </c>
      <c r="KU19" s="603" t="s">
        <v>160</v>
      </c>
      <c r="KV19" s="603"/>
      <c r="KW19" s="52">
        <v>7.0000000000000007E-2</v>
      </c>
      <c r="KX19" s="610"/>
      <c r="KY19" s="51">
        <v>0</v>
      </c>
      <c r="KZ19" s="603" t="s">
        <v>160</v>
      </c>
      <c r="LA19" s="603"/>
      <c r="LB19" s="52">
        <v>0.09</v>
      </c>
      <c r="LC19" s="610"/>
      <c r="LD19" s="480"/>
      <c r="LE19" s="511" t="s">
        <v>60</v>
      </c>
      <c r="LF19" s="487"/>
      <c r="LG19" s="487"/>
      <c r="LH19" s="487"/>
      <c r="LI19" s="488"/>
      <c r="LJ19" s="51">
        <v>0</v>
      </c>
      <c r="LK19" s="603" t="s">
        <v>160</v>
      </c>
      <c r="LL19" s="603"/>
      <c r="LM19" s="52">
        <v>0.04</v>
      </c>
      <c r="LN19" s="227">
        <v>0.05</v>
      </c>
      <c r="LO19" s="51">
        <v>0</v>
      </c>
      <c r="LP19" s="603" t="s">
        <v>160</v>
      </c>
      <c r="LQ19" s="603"/>
      <c r="LR19" s="52">
        <v>0.08</v>
      </c>
      <c r="LS19" s="610"/>
      <c r="LT19" s="51">
        <v>0</v>
      </c>
      <c r="LU19" s="603" t="s">
        <v>160</v>
      </c>
      <c r="LV19" s="603"/>
      <c r="LW19" s="52">
        <v>0.12</v>
      </c>
      <c r="LX19" s="610"/>
      <c r="LY19" s="51">
        <v>0.03</v>
      </c>
      <c r="LZ19" s="603" t="s">
        <v>160</v>
      </c>
      <c r="MA19" s="603"/>
      <c r="MB19" s="52">
        <v>0.15</v>
      </c>
      <c r="MC19" s="227">
        <v>0.03</v>
      </c>
      <c r="MD19" s="480"/>
      <c r="ME19" s="511" t="s">
        <v>60</v>
      </c>
      <c r="MF19" s="487"/>
      <c r="MG19" s="487"/>
      <c r="MH19" s="487"/>
      <c r="MI19" s="488"/>
      <c r="MJ19" s="51">
        <v>0</v>
      </c>
      <c r="MK19" s="603" t="s">
        <v>160</v>
      </c>
      <c r="ML19" s="603"/>
      <c r="MM19" s="52">
        <v>0.08</v>
      </c>
      <c r="MN19" s="610"/>
      <c r="MO19" s="51">
        <v>0</v>
      </c>
      <c r="MP19" s="603" t="s">
        <v>160</v>
      </c>
      <c r="MQ19" s="603"/>
      <c r="MR19" s="52">
        <v>0.09</v>
      </c>
      <c r="MS19" s="610"/>
      <c r="MT19" s="51">
        <v>0</v>
      </c>
      <c r="MU19" s="603" t="s">
        <v>160</v>
      </c>
      <c r="MV19" s="603"/>
      <c r="MW19" s="52">
        <v>0.11</v>
      </c>
      <c r="MX19" s="227">
        <v>0.04</v>
      </c>
      <c r="MY19" s="51">
        <v>0</v>
      </c>
      <c r="MZ19" s="603" t="s">
        <v>160</v>
      </c>
      <c r="NA19" s="603"/>
      <c r="NB19" s="52">
        <v>7.0000000000000007E-2</v>
      </c>
      <c r="NC19" s="52"/>
      <c r="ND19" s="52"/>
      <c r="NE19" s="610"/>
      <c r="NF19" s="480"/>
      <c r="NG19" s="511" t="s">
        <v>60</v>
      </c>
      <c r="NH19" s="487"/>
      <c r="NI19" s="487"/>
      <c r="NJ19" s="487"/>
      <c r="NK19" s="488"/>
      <c r="NL19" s="51">
        <v>0</v>
      </c>
      <c r="NM19" s="603" t="s">
        <v>160</v>
      </c>
      <c r="NN19" s="603"/>
      <c r="NO19" s="52">
        <v>8.5000000000000006E-2</v>
      </c>
      <c r="NP19" s="610"/>
      <c r="NQ19" s="51">
        <v>0</v>
      </c>
      <c r="NR19" s="603" t="s">
        <v>160</v>
      </c>
      <c r="NS19" s="603"/>
      <c r="NT19" s="52">
        <v>6.2E-2</v>
      </c>
      <c r="NU19" s="227">
        <v>0.02</v>
      </c>
      <c r="NV19" s="51">
        <v>0</v>
      </c>
      <c r="NW19" s="603" t="s">
        <v>160</v>
      </c>
      <c r="NX19" s="603"/>
      <c r="NY19" s="52">
        <v>3.3000000000000002E-2</v>
      </c>
      <c r="NZ19" s="610"/>
      <c r="OA19" s="51">
        <v>0.16600000000000001</v>
      </c>
      <c r="OB19" s="603" t="s">
        <v>160</v>
      </c>
      <c r="OC19" s="603"/>
      <c r="OD19" s="52">
        <v>0.218</v>
      </c>
      <c r="OE19" s="52"/>
      <c r="OF19" s="52"/>
      <c r="OG19" s="227">
        <v>0.17</v>
      </c>
      <c r="OH19" s="480"/>
      <c r="OI19" s="511" t="s">
        <v>60</v>
      </c>
      <c r="OJ19" s="487"/>
      <c r="OK19" s="487"/>
      <c r="OL19" s="487"/>
      <c r="OM19" s="488"/>
      <c r="ON19" s="51">
        <v>0</v>
      </c>
      <c r="OO19" s="603" t="s">
        <v>160</v>
      </c>
      <c r="OP19" s="603"/>
      <c r="OQ19" s="52">
        <v>8.9399999999999993E-2</v>
      </c>
      <c r="OR19" s="610"/>
      <c r="OS19" s="51">
        <v>0</v>
      </c>
      <c r="OT19" s="603" t="s">
        <v>160</v>
      </c>
      <c r="OU19" s="603"/>
      <c r="OV19" s="52">
        <v>8.1000000000000003E-2</v>
      </c>
      <c r="OW19" s="610"/>
      <c r="OX19" s="51">
        <v>8.9252336448598132E-2</v>
      </c>
      <c r="OY19" s="603" t="s">
        <v>160</v>
      </c>
      <c r="OZ19" s="603"/>
      <c r="PA19" s="52">
        <v>0.13691588785046729</v>
      </c>
      <c r="PB19" s="227">
        <v>8.9249999999999996E-2</v>
      </c>
      <c r="PC19" s="350">
        <v>0.22800000000000001</v>
      </c>
      <c r="PD19" s="603" t="s">
        <v>160</v>
      </c>
      <c r="PE19" s="603"/>
      <c r="PF19" s="351">
        <v>0.23699999999999999</v>
      </c>
      <c r="PG19" s="227">
        <v>0.23</v>
      </c>
      <c r="PH19" s="480"/>
      <c r="PI19" s="511" t="s">
        <v>60</v>
      </c>
      <c r="PJ19" s="487"/>
      <c r="PK19" s="487"/>
      <c r="PL19" s="487"/>
      <c r="PM19" s="488"/>
      <c r="PN19" s="51">
        <v>0</v>
      </c>
      <c r="PO19" s="341"/>
      <c r="PP19" s="378" t="s">
        <v>160</v>
      </c>
      <c r="PQ19" s="52">
        <v>0.14399999999999999</v>
      </c>
      <c r="PR19" s="610"/>
      <c r="PS19" s="51">
        <v>9.4672897196261679E-2</v>
      </c>
      <c r="PT19" s="341"/>
      <c r="PU19" s="378" t="s">
        <v>160</v>
      </c>
      <c r="PV19" s="52">
        <v>0.14429906542056076</v>
      </c>
      <c r="PW19" s="227">
        <v>0.09</v>
      </c>
      <c r="PX19" s="51">
        <v>0.120934579439252</v>
      </c>
      <c r="PY19" s="341"/>
      <c r="PZ19" s="378" t="s">
        <v>160</v>
      </c>
      <c r="QA19" s="52">
        <v>0.15757009345794401</v>
      </c>
      <c r="QB19" s="227">
        <v>0.12</v>
      </c>
      <c r="QC19" s="51">
        <v>0</v>
      </c>
      <c r="QD19" s="341"/>
      <c r="QE19" s="378" t="s">
        <v>160</v>
      </c>
      <c r="QF19" s="351">
        <v>3.0083565E-2</v>
      </c>
      <c r="QG19" s="610"/>
      <c r="QH19" s="480"/>
      <c r="QI19" s="511" t="s">
        <v>60</v>
      </c>
      <c r="QJ19" s="487"/>
      <c r="QK19" s="487"/>
      <c r="QL19" s="487"/>
      <c r="QM19" s="488"/>
      <c r="QN19" s="51">
        <v>0</v>
      </c>
      <c r="QO19" s="341"/>
      <c r="QP19" s="357" t="s">
        <v>160</v>
      </c>
      <c r="QQ19" s="351">
        <v>0.1125</v>
      </c>
      <c r="QR19" s="610"/>
      <c r="QS19" s="51">
        <v>0</v>
      </c>
      <c r="QT19" s="341"/>
      <c r="QU19" s="341" t="s">
        <v>160</v>
      </c>
      <c r="QV19" s="52">
        <v>4.6982358402971221E-2</v>
      </c>
      <c r="QW19" s="610"/>
      <c r="QX19" s="51">
        <v>5.4781801299907153E-2</v>
      </c>
      <c r="QY19" s="341"/>
      <c r="QZ19" s="341" t="s">
        <v>160</v>
      </c>
      <c r="RA19" s="52">
        <v>9.0900649953574747E-2</v>
      </c>
      <c r="RB19" s="227">
        <v>5.4781801299907153E-2</v>
      </c>
      <c r="RC19" s="51">
        <v>0</v>
      </c>
      <c r="RD19" s="341"/>
      <c r="RE19" s="341" t="s">
        <v>160</v>
      </c>
      <c r="RF19" s="52">
        <v>3.3704735376044563E-2</v>
      </c>
      <c r="RG19" s="610"/>
      <c r="RH19" s="480"/>
      <c r="RI19" s="511" t="s">
        <v>60</v>
      </c>
      <c r="RJ19" s="487"/>
      <c r="RK19" s="487"/>
      <c r="RL19" s="487"/>
      <c r="RM19" s="488"/>
      <c r="RN19" s="51">
        <v>0</v>
      </c>
      <c r="RO19" s="341"/>
      <c r="RP19" s="361" t="s">
        <v>160</v>
      </c>
      <c r="RQ19" s="351">
        <v>0.14206128133704735</v>
      </c>
      <c r="RR19" s="610"/>
      <c r="RS19" s="51">
        <v>7.5399999999999995E-2</v>
      </c>
      <c r="RT19" s="341"/>
      <c r="RU19" s="364" t="s">
        <v>160</v>
      </c>
      <c r="RV19" s="351">
        <v>0.23300000000000001</v>
      </c>
      <c r="RW19" s="227">
        <v>0.10334261838440111</v>
      </c>
      <c r="RX19" s="51">
        <v>2.7699999999999999E-2</v>
      </c>
      <c r="RY19" s="341"/>
      <c r="RZ19" s="366" t="s">
        <v>160</v>
      </c>
      <c r="SA19" s="351">
        <v>6.3600000000000004E-2</v>
      </c>
      <c r="SB19" s="227">
        <v>2.7699999999999999E-2</v>
      </c>
      <c r="SC19" s="51">
        <v>9.2999999999999999E-2</v>
      </c>
      <c r="SD19" s="341"/>
      <c r="SE19" s="370" t="s">
        <v>160</v>
      </c>
      <c r="SF19" s="351">
        <v>0.104</v>
      </c>
      <c r="SG19" s="227">
        <v>9.2999999999999999E-2</v>
      </c>
      <c r="SH19" s="480"/>
      <c r="SI19" s="511" t="s">
        <v>60</v>
      </c>
      <c r="SJ19" s="487"/>
      <c r="SK19" s="487"/>
      <c r="SL19" s="487"/>
      <c r="SM19" s="488"/>
      <c r="SN19" s="51">
        <v>0</v>
      </c>
      <c r="SO19" s="341"/>
      <c r="SP19" s="391" t="s">
        <v>160</v>
      </c>
      <c r="SQ19" s="351">
        <v>0.14614670380687095</v>
      </c>
      <c r="SR19" s="610"/>
      <c r="SS19" s="51">
        <v>0</v>
      </c>
      <c r="ST19" s="341"/>
      <c r="SU19" s="391" t="s">
        <v>160</v>
      </c>
      <c r="SV19" s="351">
        <v>9.1550603528319396E-2</v>
      </c>
      <c r="SW19" s="610"/>
      <c r="SX19" s="51">
        <v>2.9247910863509748E-2</v>
      </c>
      <c r="SY19" s="341"/>
      <c r="SZ19" s="391" t="s">
        <v>160</v>
      </c>
      <c r="TA19" s="351">
        <v>0.19832869080779944</v>
      </c>
      <c r="TB19" s="227">
        <v>0.03</v>
      </c>
      <c r="TC19" s="51">
        <v>0.14308263695450324</v>
      </c>
      <c r="TD19" s="341"/>
      <c r="TE19" s="391" t="s">
        <v>160</v>
      </c>
      <c r="TF19" s="351">
        <v>0.16768802228412255</v>
      </c>
      <c r="TG19" s="227">
        <v>0.20166999999999999</v>
      </c>
      <c r="TH19" s="480"/>
      <c r="TI19" s="511" t="s">
        <v>60</v>
      </c>
      <c r="TJ19" s="487"/>
      <c r="TK19" s="487"/>
      <c r="TL19" s="487"/>
      <c r="TM19" s="488"/>
      <c r="TN19" s="51">
        <v>0</v>
      </c>
      <c r="TO19" s="341"/>
      <c r="TP19" s="374" t="s">
        <v>160</v>
      </c>
      <c r="TQ19" s="351">
        <v>0.22404828226555248</v>
      </c>
      <c r="TR19" s="227">
        <v>9.5078922934076146E-2</v>
      </c>
      <c r="TS19" s="602">
        <v>0.1</v>
      </c>
      <c r="TT19" s="603"/>
      <c r="TU19" s="603"/>
      <c r="TV19" s="604"/>
      <c r="TW19" s="51">
        <v>0.11792014856081709</v>
      </c>
      <c r="TX19" s="341"/>
      <c r="TY19" s="380" t="s">
        <v>160</v>
      </c>
      <c r="TZ19" s="351">
        <v>0.32024141132776229</v>
      </c>
      <c r="UA19" s="227">
        <v>0.29285</v>
      </c>
      <c r="UB19" s="51">
        <v>0.26</v>
      </c>
      <c r="UC19" s="341"/>
      <c r="UD19" s="383" t="s">
        <v>160</v>
      </c>
      <c r="UE19" s="351">
        <v>0.32</v>
      </c>
      <c r="UF19" s="227">
        <v>0.31698999999999999</v>
      </c>
      <c r="UG19" s="350">
        <v>0.25979572887650881</v>
      </c>
      <c r="UH19" s="341"/>
      <c r="UI19" s="383" t="s">
        <v>160</v>
      </c>
      <c r="UJ19" s="351">
        <v>0.52943361188486537</v>
      </c>
      <c r="UK19" s="227">
        <v>0.36870937790157843</v>
      </c>
      <c r="UL19" s="480"/>
      <c r="UM19" s="511" t="s">
        <v>60</v>
      </c>
      <c r="UN19" s="487"/>
      <c r="UO19" s="487"/>
      <c r="UP19" s="487"/>
      <c r="UQ19" s="488"/>
      <c r="UR19" s="350">
        <v>0</v>
      </c>
      <c r="US19" s="341"/>
      <c r="UT19" s="383" t="s">
        <v>160</v>
      </c>
      <c r="UU19" s="351">
        <v>0.37483751160631384</v>
      </c>
      <c r="UV19" s="610"/>
      <c r="UW19" s="350">
        <v>0.26248839368616528</v>
      </c>
      <c r="UX19" s="341"/>
      <c r="UY19" s="383" t="s">
        <v>160</v>
      </c>
      <c r="UZ19" s="351">
        <v>0.27725162488393684</v>
      </c>
      <c r="VA19" s="227">
        <v>0.26</v>
      </c>
      <c r="VB19" s="350">
        <v>0.25078922934076142</v>
      </c>
      <c r="VC19" s="341"/>
      <c r="VD19" s="387" t="s">
        <v>160</v>
      </c>
      <c r="VE19" s="351">
        <v>0.27520891364902511</v>
      </c>
      <c r="VF19" s="227">
        <v>0.28999999999999998</v>
      </c>
      <c r="VG19" s="51"/>
      <c r="VH19" s="341"/>
      <c r="VI19" s="383"/>
      <c r="VJ19" s="351"/>
      <c r="VK19" s="227"/>
      <c r="VL19" s="227"/>
      <c r="VM19" s="51"/>
      <c r="VN19" s="603" t="str">
        <f>IF(VM19="","","～")</f>
        <v/>
      </c>
      <c r="VO19" s="603"/>
      <c r="VP19" s="52"/>
      <c r="VQ19" s="227"/>
      <c r="VR19" s="229"/>
    </row>
    <row r="20" spans="1:590" ht="45" customHeight="1" x14ac:dyDescent="0.4">
      <c r="A20" s="525" t="s">
        <v>284</v>
      </c>
      <c r="B20" s="20"/>
      <c r="C20" s="457" t="s">
        <v>67</v>
      </c>
      <c r="D20" s="459"/>
      <c r="E20" s="459"/>
      <c r="F20" s="21" t="s">
        <v>4</v>
      </c>
      <c r="G20" s="526">
        <v>911</v>
      </c>
      <c r="H20" s="593"/>
      <c r="I20" s="593"/>
      <c r="J20" s="527"/>
      <c r="K20" s="22">
        <v>898</v>
      </c>
      <c r="L20" s="526">
        <v>879</v>
      </c>
      <c r="M20" s="593"/>
      <c r="N20" s="593"/>
      <c r="O20" s="527"/>
      <c r="P20" s="22">
        <v>908</v>
      </c>
      <c r="Q20" s="526">
        <v>821</v>
      </c>
      <c r="R20" s="593"/>
      <c r="S20" s="593"/>
      <c r="T20" s="527"/>
      <c r="U20" s="22">
        <v>813</v>
      </c>
      <c r="V20" s="526">
        <v>761</v>
      </c>
      <c r="W20" s="593"/>
      <c r="X20" s="593"/>
      <c r="Y20" s="527"/>
      <c r="Z20" s="22">
        <v>766</v>
      </c>
      <c r="AA20" s="525" t="s">
        <v>284</v>
      </c>
      <c r="AB20" s="20"/>
      <c r="AC20" s="457" t="s">
        <v>67</v>
      </c>
      <c r="AD20" s="459"/>
      <c r="AE20" s="459"/>
      <c r="AF20" s="21" t="s">
        <v>4</v>
      </c>
      <c r="AG20" s="526">
        <v>871</v>
      </c>
      <c r="AH20" s="593"/>
      <c r="AI20" s="593"/>
      <c r="AJ20" s="527"/>
      <c r="AK20" s="22">
        <v>908</v>
      </c>
      <c r="AL20" s="526">
        <v>871</v>
      </c>
      <c r="AM20" s="593"/>
      <c r="AN20" s="593"/>
      <c r="AO20" s="527"/>
      <c r="AP20" s="22">
        <v>884</v>
      </c>
      <c r="AQ20" s="526">
        <v>871</v>
      </c>
      <c r="AR20" s="593"/>
      <c r="AS20" s="593"/>
      <c r="AT20" s="527"/>
      <c r="AU20" s="22">
        <v>872</v>
      </c>
      <c r="AV20" s="526">
        <v>861</v>
      </c>
      <c r="AW20" s="593"/>
      <c r="AX20" s="593"/>
      <c r="AY20" s="527"/>
      <c r="AZ20" s="22">
        <v>879</v>
      </c>
      <c r="BA20" s="525" t="s">
        <v>284</v>
      </c>
      <c r="BB20" s="223"/>
      <c r="BC20" s="457" t="s">
        <v>308</v>
      </c>
      <c r="BD20" s="459"/>
      <c r="BE20" s="459"/>
      <c r="BF20" s="21" t="s">
        <v>4</v>
      </c>
      <c r="BG20" s="526">
        <v>849</v>
      </c>
      <c r="BH20" s="593"/>
      <c r="BI20" s="593"/>
      <c r="BJ20" s="527"/>
      <c r="BK20" s="22">
        <v>905</v>
      </c>
      <c r="BL20" s="526">
        <v>790</v>
      </c>
      <c r="BM20" s="593"/>
      <c r="BN20" s="593"/>
      <c r="BO20" s="527"/>
      <c r="BP20" s="22">
        <v>797</v>
      </c>
      <c r="BQ20" s="526">
        <v>871</v>
      </c>
      <c r="BR20" s="593"/>
      <c r="BS20" s="593"/>
      <c r="BT20" s="527"/>
      <c r="BU20" s="22">
        <v>892</v>
      </c>
      <c r="BV20" s="526">
        <v>850</v>
      </c>
      <c r="BW20" s="593"/>
      <c r="BX20" s="593"/>
      <c r="BY20" s="527"/>
      <c r="BZ20" s="22">
        <v>884</v>
      </c>
      <c r="CA20" s="525" t="s">
        <v>284</v>
      </c>
      <c r="CB20" s="20"/>
      <c r="CC20" s="457" t="s">
        <v>67</v>
      </c>
      <c r="CD20" s="459"/>
      <c r="CE20" s="459"/>
      <c r="CF20" s="21" t="s">
        <v>4</v>
      </c>
      <c r="CG20" s="526">
        <v>839</v>
      </c>
      <c r="CH20" s="593"/>
      <c r="CI20" s="593"/>
      <c r="CJ20" s="527"/>
      <c r="CK20" s="22">
        <v>875</v>
      </c>
      <c r="CL20" s="526">
        <v>781</v>
      </c>
      <c r="CM20" s="593"/>
      <c r="CN20" s="593"/>
      <c r="CO20" s="527"/>
      <c r="CP20" s="22">
        <v>792</v>
      </c>
      <c r="CQ20" s="526">
        <v>809</v>
      </c>
      <c r="CR20" s="593"/>
      <c r="CS20" s="593"/>
      <c r="CT20" s="527"/>
      <c r="CU20" s="22">
        <v>891</v>
      </c>
      <c r="CV20" s="526">
        <v>829</v>
      </c>
      <c r="CW20" s="593"/>
      <c r="CX20" s="593"/>
      <c r="CY20" s="527"/>
      <c r="CZ20" s="526">
        <v>863</v>
      </c>
      <c r="DA20" s="593"/>
      <c r="DB20" s="593"/>
      <c r="DC20" s="527"/>
      <c r="DD20" s="525" t="s">
        <v>284</v>
      </c>
      <c r="DE20" s="20"/>
      <c r="DF20" s="457" t="s">
        <v>67</v>
      </c>
      <c r="DG20" s="459"/>
      <c r="DH20" s="459"/>
      <c r="DI20" s="21" t="s">
        <v>4</v>
      </c>
      <c r="DJ20" s="526">
        <v>851</v>
      </c>
      <c r="DK20" s="593"/>
      <c r="DL20" s="593"/>
      <c r="DM20" s="527"/>
      <c r="DN20" s="246">
        <v>895</v>
      </c>
      <c r="DO20" s="526">
        <v>871</v>
      </c>
      <c r="DP20" s="593"/>
      <c r="DQ20" s="593"/>
      <c r="DR20" s="527"/>
      <c r="DS20" s="22">
        <v>912</v>
      </c>
      <c r="DT20" s="526">
        <v>771</v>
      </c>
      <c r="DU20" s="593"/>
      <c r="DV20" s="593"/>
      <c r="DW20" s="527"/>
      <c r="DX20" s="22">
        <v>800</v>
      </c>
      <c r="DY20" s="526">
        <v>709</v>
      </c>
      <c r="DZ20" s="593"/>
      <c r="EA20" s="593"/>
      <c r="EB20" s="527"/>
      <c r="EC20" s="22">
        <v>712</v>
      </c>
      <c r="ED20" s="525" t="s">
        <v>284</v>
      </c>
      <c r="EE20" s="20"/>
      <c r="EF20" s="457" t="s">
        <v>67</v>
      </c>
      <c r="EG20" s="459"/>
      <c r="EH20" s="459"/>
      <c r="EI20" s="21" t="s">
        <v>4</v>
      </c>
      <c r="EJ20" s="526">
        <v>801</v>
      </c>
      <c r="EK20" s="593"/>
      <c r="EL20" s="593"/>
      <c r="EM20" s="527"/>
      <c r="EN20" s="22">
        <v>848</v>
      </c>
      <c r="EO20" s="526">
        <v>811</v>
      </c>
      <c r="EP20" s="593"/>
      <c r="EQ20" s="593"/>
      <c r="ER20" s="527"/>
      <c r="ES20" s="22">
        <v>851</v>
      </c>
      <c r="ET20" s="526">
        <v>751</v>
      </c>
      <c r="EU20" s="593"/>
      <c r="EV20" s="593"/>
      <c r="EW20" s="527"/>
      <c r="EX20" s="251">
        <v>798</v>
      </c>
      <c r="EY20" s="526">
        <v>821</v>
      </c>
      <c r="EZ20" s="593"/>
      <c r="FA20" s="593"/>
      <c r="FB20" s="527"/>
      <c r="FC20" s="22">
        <v>833</v>
      </c>
      <c r="FD20" s="525" t="s">
        <v>284</v>
      </c>
      <c r="FE20" s="20"/>
      <c r="FF20" s="457" t="s">
        <v>67</v>
      </c>
      <c r="FG20" s="459"/>
      <c r="FH20" s="459"/>
      <c r="FI20" s="21" t="s">
        <v>4</v>
      </c>
      <c r="FJ20" s="526">
        <v>835</v>
      </c>
      <c r="FK20" s="593"/>
      <c r="FL20" s="593"/>
      <c r="FM20" s="527"/>
      <c r="FN20" s="22">
        <v>815</v>
      </c>
      <c r="FO20" s="526">
        <v>722</v>
      </c>
      <c r="FP20" s="593"/>
      <c r="FQ20" s="593"/>
      <c r="FR20" s="527"/>
      <c r="FS20" s="22">
        <v>759</v>
      </c>
      <c r="FT20" s="526">
        <v>652</v>
      </c>
      <c r="FU20" s="593"/>
      <c r="FV20" s="593"/>
      <c r="FW20" s="527"/>
      <c r="FX20" s="22">
        <v>739</v>
      </c>
      <c r="FY20" s="526">
        <v>678</v>
      </c>
      <c r="FZ20" s="593"/>
      <c r="GA20" s="593"/>
      <c r="GB20" s="527"/>
      <c r="GC20" s="22">
        <v>719</v>
      </c>
      <c r="GD20" s="525" t="s">
        <v>284</v>
      </c>
      <c r="GE20" s="20"/>
      <c r="GF20" s="457" t="s">
        <v>67</v>
      </c>
      <c r="GG20" s="459"/>
      <c r="GH20" s="459"/>
      <c r="GI20" s="21" t="s">
        <v>4</v>
      </c>
      <c r="GJ20" s="526">
        <v>678</v>
      </c>
      <c r="GK20" s="593"/>
      <c r="GL20" s="593"/>
      <c r="GM20" s="527"/>
      <c r="GN20" s="22">
        <v>738</v>
      </c>
      <c r="GO20" s="526">
        <v>805</v>
      </c>
      <c r="GP20" s="593"/>
      <c r="GQ20" s="593"/>
      <c r="GR20" s="527"/>
      <c r="GS20" s="22">
        <v>822</v>
      </c>
      <c r="GT20" s="526">
        <v>798</v>
      </c>
      <c r="GU20" s="593"/>
      <c r="GV20" s="593"/>
      <c r="GW20" s="527"/>
      <c r="GX20" s="22">
        <v>838</v>
      </c>
      <c r="GY20" s="526">
        <v>772</v>
      </c>
      <c r="GZ20" s="593"/>
      <c r="HA20" s="593"/>
      <c r="HB20" s="527"/>
      <c r="HC20" s="22">
        <v>767</v>
      </c>
      <c r="HD20" s="525" t="s">
        <v>284</v>
      </c>
      <c r="HE20" s="20"/>
      <c r="HF20" s="457" t="s">
        <v>67</v>
      </c>
      <c r="HG20" s="459"/>
      <c r="HH20" s="459"/>
      <c r="HI20" s="21" t="s">
        <v>4</v>
      </c>
      <c r="HJ20" s="526">
        <v>702</v>
      </c>
      <c r="HK20" s="593"/>
      <c r="HL20" s="593"/>
      <c r="HM20" s="527"/>
      <c r="HN20" s="22">
        <v>716</v>
      </c>
      <c r="HO20" s="526">
        <v>885</v>
      </c>
      <c r="HP20" s="593"/>
      <c r="HQ20" s="593"/>
      <c r="HR20" s="527"/>
      <c r="HS20" s="22">
        <v>874</v>
      </c>
      <c r="HT20" s="526">
        <v>812</v>
      </c>
      <c r="HU20" s="593"/>
      <c r="HV20" s="593"/>
      <c r="HW20" s="527"/>
      <c r="HX20" s="22">
        <v>824</v>
      </c>
      <c r="HY20" s="526">
        <v>855</v>
      </c>
      <c r="HZ20" s="593"/>
      <c r="IA20" s="593"/>
      <c r="IB20" s="527"/>
      <c r="IC20" s="22">
        <v>861</v>
      </c>
      <c r="ID20" s="525" t="s">
        <v>284</v>
      </c>
      <c r="IE20" s="20"/>
      <c r="IF20" s="457" t="s">
        <v>67</v>
      </c>
      <c r="IG20" s="459"/>
      <c r="IH20" s="459"/>
      <c r="II20" s="21" t="s">
        <v>4</v>
      </c>
      <c r="IJ20" s="621">
        <v>848</v>
      </c>
      <c r="IK20" s="622"/>
      <c r="IL20" s="622"/>
      <c r="IM20" s="623"/>
      <c r="IN20" s="22">
        <v>901</v>
      </c>
      <c r="IO20" s="526">
        <v>712</v>
      </c>
      <c r="IP20" s="593"/>
      <c r="IQ20" s="593"/>
      <c r="IR20" s="527"/>
      <c r="IS20" s="22">
        <v>794</v>
      </c>
      <c r="IT20" s="526">
        <v>875</v>
      </c>
      <c r="IU20" s="593"/>
      <c r="IV20" s="593"/>
      <c r="IW20" s="527"/>
      <c r="IX20" s="22">
        <v>860</v>
      </c>
      <c r="IY20" s="526">
        <v>868</v>
      </c>
      <c r="IZ20" s="593"/>
      <c r="JA20" s="593"/>
      <c r="JB20" s="527"/>
      <c r="JC20" s="22">
        <v>880</v>
      </c>
      <c r="JD20" s="525" t="s">
        <v>284</v>
      </c>
      <c r="JE20" s="20"/>
      <c r="JF20" s="457" t="s">
        <v>67</v>
      </c>
      <c r="JG20" s="459"/>
      <c r="JH20" s="459"/>
      <c r="JI20" s="21" t="s">
        <v>4</v>
      </c>
      <c r="JJ20" s="526">
        <v>858</v>
      </c>
      <c r="JK20" s="593"/>
      <c r="JL20" s="593"/>
      <c r="JM20" s="527"/>
      <c r="JN20" s="22">
        <v>861</v>
      </c>
      <c r="JO20" s="526">
        <v>842</v>
      </c>
      <c r="JP20" s="593"/>
      <c r="JQ20" s="593"/>
      <c r="JR20" s="527"/>
      <c r="JS20" s="22">
        <v>878</v>
      </c>
      <c r="JT20" s="526">
        <v>818</v>
      </c>
      <c r="JU20" s="593"/>
      <c r="JV20" s="593"/>
      <c r="JW20" s="527"/>
      <c r="JX20" s="22">
        <v>833</v>
      </c>
      <c r="JY20" s="526">
        <v>808</v>
      </c>
      <c r="JZ20" s="593"/>
      <c r="KA20" s="593"/>
      <c r="KB20" s="527"/>
      <c r="KC20" s="22">
        <v>836</v>
      </c>
      <c r="KD20" s="525" t="s">
        <v>284</v>
      </c>
      <c r="KE20" s="20"/>
      <c r="KF20" s="457" t="s">
        <v>67</v>
      </c>
      <c r="KG20" s="459"/>
      <c r="KH20" s="459"/>
      <c r="KI20" s="21" t="s">
        <v>4</v>
      </c>
      <c r="KJ20" s="526">
        <v>872</v>
      </c>
      <c r="KK20" s="593"/>
      <c r="KL20" s="593"/>
      <c r="KM20" s="527"/>
      <c r="KN20" s="22">
        <v>949</v>
      </c>
      <c r="KO20" s="526">
        <v>867</v>
      </c>
      <c r="KP20" s="593"/>
      <c r="KQ20" s="593"/>
      <c r="KR20" s="527"/>
      <c r="KS20" s="22">
        <v>835</v>
      </c>
      <c r="KT20" s="526">
        <v>852</v>
      </c>
      <c r="KU20" s="593"/>
      <c r="KV20" s="593"/>
      <c r="KW20" s="527"/>
      <c r="KX20" s="22">
        <v>875</v>
      </c>
      <c r="KY20" s="526">
        <v>877</v>
      </c>
      <c r="KZ20" s="593"/>
      <c r="LA20" s="593"/>
      <c r="LB20" s="527"/>
      <c r="LC20" s="299">
        <v>790</v>
      </c>
      <c r="LD20" s="525" t="s">
        <v>284</v>
      </c>
      <c r="LE20" s="20"/>
      <c r="LF20" s="457" t="s">
        <v>67</v>
      </c>
      <c r="LG20" s="459"/>
      <c r="LH20" s="459"/>
      <c r="LI20" s="21" t="s">
        <v>4</v>
      </c>
      <c r="LJ20" s="526">
        <v>1107</v>
      </c>
      <c r="LK20" s="593"/>
      <c r="LL20" s="593"/>
      <c r="LM20" s="527"/>
      <c r="LN20" s="22">
        <v>1103</v>
      </c>
      <c r="LO20" s="526">
        <v>1038</v>
      </c>
      <c r="LP20" s="593"/>
      <c r="LQ20" s="593"/>
      <c r="LR20" s="527"/>
      <c r="LS20" s="22">
        <v>1105</v>
      </c>
      <c r="LT20" s="526">
        <v>935</v>
      </c>
      <c r="LU20" s="593"/>
      <c r="LV20" s="593"/>
      <c r="LW20" s="527"/>
      <c r="LX20" s="22">
        <v>965</v>
      </c>
      <c r="LY20" s="526">
        <v>740</v>
      </c>
      <c r="LZ20" s="593"/>
      <c r="MA20" s="593"/>
      <c r="MB20" s="527"/>
      <c r="MC20" s="22">
        <v>804</v>
      </c>
      <c r="MD20" s="525" t="s">
        <v>284</v>
      </c>
      <c r="ME20" s="20"/>
      <c r="MF20" s="457" t="s">
        <v>67</v>
      </c>
      <c r="MG20" s="459"/>
      <c r="MH20" s="459"/>
      <c r="MI20" s="21" t="s">
        <v>4</v>
      </c>
      <c r="MJ20" s="526">
        <v>701</v>
      </c>
      <c r="MK20" s="593"/>
      <c r="ML20" s="593"/>
      <c r="MM20" s="527"/>
      <c r="MN20" s="22">
        <v>718</v>
      </c>
      <c r="MO20" s="526">
        <v>751</v>
      </c>
      <c r="MP20" s="593"/>
      <c r="MQ20" s="593"/>
      <c r="MR20" s="527"/>
      <c r="MS20" s="22">
        <v>771</v>
      </c>
      <c r="MT20" s="526">
        <v>711</v>
      </c>
      <c r="MU20" s="593"/>
      <c r="MV20" s="593"/>
      <c r="MW20" s="527"/>
      <c r="MX20" s="22">
        <v>725</v>
      </c>
      <c r="MY20" s="526">
        <v>751</v>
      </c>
      <c r="MZ20" s="593"/>
      <c r="NA20" s="593"/>
      <c r="NB20" s="527"/>
      <c r="NC20" s="306"/>
      <c r="ND20" s="317"/>
      <c r="NE20" s="22">
        <v>765</v>
      </c>
      <c r="NF20" s="525" t="s">
        <v>284</v>
      </c>
      <c r="NG20" s="20"/>
      <c r="NH20" s="457" t="s">
        <v>67</v>
      </c>
      <c r="NI20" s="459"/>
      <c r="NJ20" s="459"/>
      <c r="NK20" s="21" t="s">
        <v>4</v>
      </c>
      <c r="NL20" s="526">
        <v>800</v>
      </c>
      <c r="NM20" s="593"/>
      <c r="NN20" s="593"/>
      <c r="NO20" s="527"/>
      <c r="NP20" s="22">
        <v>823.8</v>
      </c>
      <c r="NQ20" s="526">
        <v>810</v>
      </c>
      <c r="NR20" s="593"/>
      <c r="NS20" s="593"/>
      <c r="NT20" s="527"/>
      <c r="NU20" s="22">
        <v>832</v>
      </c>
      <c r="NV20" s="526">
        <v>890</v>
      </c>
      <c r="NW20" s="593"/>
      <c r="NX20" s="593"/>
      <c r="NY20" s="527"/>
      <c r="NZ20" s="22">
        <v>887</v>
      </c>
      <c r="OA20" s="526">
        <v>813</v>
      </c>
      <c r="OB20" s="593"/>
      <c r="OC20" s="593"/>
      <c r="OD20" s="527"/>
      <c r="OE20" s="326"/>
      <c r="OF20" s="326"/>
      <c r="OG20" s="22">
        <v>779</v>
      </c>
      <c r="OH20" s="525" t="s">
        <v>284</v>
      </c>
      <c r="OI20" s="20"/>
      <c r="OJ20" s="457" t="s">
        <v>67</v>
      </c>
      <c r="OK20" s="459"/>
      <c r="OL20" s="459"/>
      <c r="OM20" s="21" t="s">
        <v>4</v>
      </c>
      <c r="ON20" s="526">
        <v>979</v>
      </c>
      <c r="OO20" s="593"/>
      <c r="OP20" s="593"/>
      <c r="OQ20" s="527"/>
      <c r="OR20" s="22">
        <v>1046</v>
      </c>
      <c r="OS20" s="526">
        <v>962</v>
      </c>
      <c r="OT20" s="593"/>
      <c r="OU20" s="593"/>
      <c r="OV20" s="527"/>
      <c r="OW20" s="22">
        <v>998.4</v>
      </c>
      <c r="OX20" s="526">
        <v>883</v>
      </c>
      <c r="OY20" s="593"/>
      <c r="OZ20" s="593"/>
      <c r="PA20" s="527"/>
      <c r="PB20" s="22">
        <v>884</v>
      </c>
      <c r="PC20" s="526">
        <v>803</v>
      </c>
      <c r="PD20" s="593"/>
      <c r="PE20" s="593"/>
      <c r="PF20" s="527"/>
      <c r="PG20" s="22">
        <v>752</v>
      </c>
      <c r="PH20" s="525" t="s">
        <v>284</v>
      </c>
      <c r="PI20" s="20"/>
      <c r="PJ20" s="457" t="s">
        <v>67</v>
      </c>
      <c r="PK20" s="459"/>
      <c r="PL20" s="459"/>
      <c r="PM20" s="21" t="s">
        <v>4</v>
      </c>
      <c r="PN20" s="526">
        <v>882</v>
      </c>
      <c r="PO20" s="593"/>
      <c r="PP20" s="593"/>
      <c r="PQ20" s="527"/>
      <c r="PR20" s="22">
        <v>875</v>
      </c>
      <c r="PS20" s="526">
        <v>853</v>
      </c>
      <c r="PT20" s="593"/>
      <c r="PU20" s="593"/>
      <c r="PV20" s="527"/>
      <c r="PW20" s="22">
        <v>837</v>
      </c>
      <c r="PX20" s="526">
        <v>953</v>
      </c>
      <c r="PY20" s="593"/>
      <c r="PZ20" s="593"/>
      <c r="QA20" s="527"/>
      <c r="QB20" s="22">
        <v>922.4</v>
      </c>
      <c r="QC20" s="526">
        <v>884</v>
      </c>
      <c r="QD20" s="593"/>
      <c r="QE20" s="593"/>
      <c r="QF20" s="527"/>
      <c r="QG20" s="22">
        <v>859.4</v>
      </c>
      <c r="QH20" s="525" t="s">
        <v>284</v>
      </c>
      <c r="QI20" s="20"/>
      <c r="QJ20" s="457" t="s">
        <v>67</v>
      </c>
      <c r="QK20" s="459"/>
      <c r="QL20" s="459"/>
      <c r="QM20" s="21" t="s">
        <v>4</v>
      </c>
      <c r="QN20" s="526">
        <v>926</v>
      </c>
      <c r="QO20" s="593"/>
      <c r="QP20" s="593"/>
      <c r="QQ20" s="527"/>
      <c r="QR20" s="22">
        <v>988.6</v>
      </c>
      <c r="QS20" s="526">
        <v>916</v>
      </c>
      <c r="QT20" s="593"/>
      <c r="QU20" s="593"/>
      <c r="QV20" s="527"/>
      <c r="QW20" s="22">
        <v>901.2</v>
      </c>
      <c r="QX20" s="526">
        <v>928</v>
      </c>
      <c r="QY20" s="593"/>
      <c r="QZ20" s="593"/>
      <c r="RA20" s="527"/>
      <c r="RB20" s="22">
        <v>907.2</v>
      </c>
      <c r="RC20" s="526">
        <v>886</v>
      </c>
      <c r="RD20" s="593"/>
      <c r="RE20" s="593"/>
      <c r="RF20" s="527"/>
      <c r="RG20" s="22">
        <v>919.4</v>
      </c>
      <c r="RH20" s="525" t="s">
        <v>284</v>
      </c>
      <c r="RI20" s="20"/>
      <c r="RJ20" s="457" t="s">
        <v>67</v>
      </c>
      <c r="RK20" s="459"/>
      <c r="RL20" s="459"/>
      <c r="RM20" s="21" t="s">
        <v>4</v>
      </c>
      <c r="RN20" s="526">
        <v>834</v>
      </c>
      <c r="RO20" s="593"/>
      <c r="RP20" s="593"/>
      <c r="RQ20" s="527"/>
      <c r="RR20" s="22">
        <v>900.4</v>
      </c>
      <c r="RS20" s="526">
        <v>746</v>
      </c>
      <c r="RT20" s="593"/>
      <c r="RU20" s="593"/>
      <c r="RV20" s="527"/>
      <c r="RW20" s="22">
        <v>804.8</v>
      </c>
      <c r="RX20" s="526">
        <v>908</v>
      </c>
      <c r="RY20" s="593"/>
      <c r="RZ20" s="593"/>
      <c r="SA20" s="527"/>
      <c r="SB20" s="22">
        <v>886.8</v>
      </c>
      <c r="SC20" s="526">
        <v>900</v>
      </c>
      <c r="SD20" s="593"/>
      <c r="SE20" s="593"/>
      <c r="SF20" s="527"/>
      <c r="SG20" s="22">
        <v>885</v>
      </c>
      <c r="SH20" s="525" t="s">
        <v>284</v>
      </c>
      <c r="SI20" s="20"/>
      <c r="SJ20" s="457" t="s">
        <v>67</v>
      </c>
      <c r="SK20" s="459"/>
      <c r="SL20" s="459"/>
      <c r="SM20" s="21" t="s">
        <v>4</v>
      </c>
      <c r="SN20" s="526">
        <v>903</v>
      </c>
      <c r="SO20" s="593"/>
      <c r="SP20" s="593"/>
      <c r="SQ20" s="527"/>
      <c r="SR20" s="22">
        <v>887.6</v>
      </c>
      <c r="SS20" s="526">
        <v>923</v>
      </c>
      <c r="ST20" s="593"/>
      <c r="SU20" s="593"/>
      <c r="SV20" s="527"/>
      <c r="SW20" s="22">
        <v>855.2</v>
      </c>
      <c r="SX20" s="526">
        <v>943</v>
      </c>
      <c r="SY20" s="593"/>
      <c r="SZ20" s="593"/>
      <c r="TA20" s="527"/>
      <c r="TB20" s="22">
        <v>964</v>
      </c>
      <c r="TC20" s="526">
        <v>950</v>
      </c>
      <c r="TD20" s="593"/>
      <c r="TE20" s="593"/>
      <c r="TF20" s="527"/>
      <c r="TG20" s="22">
        <v>934</v>
      </c>
      <c r="TH20" s="525" t="s">
        <v>284</v>
      </c>
      <c r="TI20" s="20"/>
      <c r="TJ20" s="457" t="s">
        <v>67</v>
      </c>
      <c r="TK20" s="459"/>
      <c r="TL20" s="459"/>
      <c r="TM20" s="21" t="s">
        <v>4</v>
      </c>
      <c r="TN20" s="526">
        <v>889</v>
      </c>
      <c r="TO20" s="593"/>
      <c r="TP20" s="593"/>
      <c r="TQ20" s="527"/>
      <c r="TR20" s="22">
        <v>903</v>
      </c>
      <c r="TS20" s="526">
        <v>903</v>
      </c>
      <c r="TT20" s="593"/>
      <c r="TU20" s="593"/>
      <c r="TV20" s="527"/>
      <c r="TW20" s="526">
        <v>903</v>
      </c>
      <c r="TX20" s="593"/>
      <c r="TY20" s="593"/>
      <c r="TZ20" s="527"/>
      <c r="UA20" s="22">
        <v>859.2</v>
      </c>
      <c r="UB20" s="526">
        <v>890</v>
      </c>
      <c r="UC20" s="593"/>
      <c r="UD20" s="593"/>
      <c r="UE20" s="527"/>
      <c r="UF20" s="22">
        <v>887.2</v>
      </c>
      <c r="UG20" s="526">
        <v>783</v>
      </c>
      <c r="UH20" s="593"/>
      <c r="UI20" s="593"/>
      <c r="UJ20" s="527"/>
      <c r="UK20" s="22">
        <v>806.4</v>
      </c>
      <c r="UL20" s="525" t="s">
        <v>284</v>
      </c>
      <c r="UM20" s="20"/>
      <c r="UN20" s="457" t="s">
        <v>67</v>
      </c>
      <c r="UO20" s="459"/>
      <c r="UP20" s="459"/>
      <c r="UQ20" s="21" t="s">
        <v>4</v>
      </c>
      <c r="UR20" s="526">
        <v>759</v>
      </c>
      <c r="US20" s="593"/>
      <c r="UT20" s="593"/>
      <c r="UU20" s="527"/>
      <c r="UV20" s="22">
        <v>787</v>
      </c>
      <c r="UW20" s="526">
        <v>880</v>
      </c>
      <c r="UX20" s="593"/>
      <c r="UY20" s="593"/>
      <c r="UZ20" s="527"/>
      <c r="VA20" s="22">
        <v>851.6</v>
      </c>
      <c r="VB20" s="526">
        <v>860</v>
      </c>
      <c r="VC20" s="593"/>
      <c r="VD20" s="593"/>
      <c r="VE20" s="527"/>
      <c r="VF20" s="22">
        <v>854</v>
      </c>
      <c r="VG20" s="526"/>
      <c r="VH20" s="593"/>
      <c r="VI20" s="593"/>
      <c r="VJ20" s="527"/>
      <c r="VK20" s="22"/>
      <c r="VL20" s="22"/>
      <c r="VM20" s="526"/>
      <c r="VN20" s="593"/>
      <c r="VO20" s="593"/>
      <c r="VP20" s="527"/>
      <c r="VQ20" s="22"/>
      <c r="VR20" s="24"/>
    </row>
    <row r="21" spans="1:590" ht="56.25" customHeight="1" x14ac:dyDescent="0.4">
      <c r="A21" s="492"/>
      <c r="B21" s="23"/>
      <c r="C21" s="519" t="s">
        <v>73</v>
      </c>
      <c r="D21" s="520"/>
      <c r="E21" s="520"/>
      <c r="F21" s="21" t="s">
        <v>15</v>
      </c>
      <c r="G21" s="526">
        <v>226</v>
      </c>
      <c r="H21" s="593"/>
      <c r="I21" s="593"/>
      <c r="J21" s="527"/>
      <c r="K21" s="22">
        <v>214</v>
      </c>
      <c r="L21" s="526">
        <v>226</v>
      </c>
      <c r="M21" s="593"/>
      <c r="N21" s="593"/>
      <c r="O21" s="527"/>
      <c r="P21" s="22">
        <v>174</v>
      </c>
      <c r="Q21" s="526">
        <v>226</v>
      </c>
      <c r="R21" s="593"/>
      <c r="S21" s="593"/>
      <c r="T21" s="527"/>
      <c r="U21" s="22">
        <v>153</v>
      </c>
      <c r="V21" s="526">
        <v>226</v>
      </c>
      <c r="W21" s="593"/>
      <c r="X21" s="593"/>
      <c r="Y21" s="527"/>
      <c r="Z21" s="22">
        <v>206</v>
      </c>
      <c r="AA21" s="492"/>
      <c r="AB21" s="23"/>
      <c r="AC21" s="519" t="s">
        <v>73</v>
      </c>
      <c r="AD21" s="520"/>
      <c r="AE21" s="520"/>
      <c r="AF21" s="21" t="s">
        <v>15</v>
      </c>
      <c r="AG21" s="526">
        <v>226</v>
      </c>
      <c r="AH21" s="593"/>
      <c r="AI21" s="593"/>
      <c r="AJ21" s="527"/>
      <c r="AK21" s="22">
        <v>187</v>
      </c>
      <c r="AL21" s="526">
        <v>226</v>
      </c>
      <c r="AM21" s="593"/>
      <c r="AN21" s="593"/>
      <c r="AO21" s="527"/>
      <c r="AP21" s="22">
        <v>190</v>
      </c>
      <c r="AQ21" s="526">
        <v>226</v>
      </c>
      <c r="AR21" s="593"/>
      <c r="AS21" s="593"/>
      <c r="AT21" s="527"/>
      <c r="AU21" s="22">
        <v>157</v>
      </c>
      <c r="AV21" s="526">
        <v>226</v>
      </c>
      <c r="AW21" s="593"/>
      <c r="AX21" s="593"/>
      <c r="AY21" s="527"/>
      <c r="AZ21" s="22">
        <v>144</v>
      </c>
      <c r="BA21" s="492"/>
      <c r="BB21" s="224"/>
      <c r="BC21" s="519" t="s">
        <v>73</v>
      </c>
      <c r="BD21" s="520"/>
      <c r="BE21" s="520"/>
      <c r="BF21" s="21" t="s">
        <v>15</v>
      </c>
      <c r="BG21" s="526">
        <v>226</v>
      </c>
      <c r="BH21" s="593"/>
      <c r="BI21" s="593"/>
      <c r="BJ21" s="527"/>
      <c r="BK21" s="22">
        <v>116</v>
      </c>
      <c r="BL21" s="526">
        <v>226</v>
      </c>
      <c r="BM21" s="593"/>
      <c r="BN21" s="593"/>
      <c r="BO21" s="527"/>
      <c r="BP21" s="22">
        <v>164</v>
      </c>
      <c r="BQ21" s="526">
        <v>225.7</v>
      </c>
      <c r="BR21" s="593"/>
      <c r="BS21" s="593"/>
      <c r="BT21" s="527"/>
      <c r="BU21" s="22">
        <v>211</v>
      </c>
      <c r="BV21" s="526">
        <v>226</v>
      </c>
      <c r="BW21" s="593"/>
      <c r="BX21" s="593"/>
      <c r="BY21" s="527"/>
      <c r="BZ21" s="22">
        <v>204</v>
      </c>
      <c r="CA21" s="492"/>
      <c r="CB21" s="23"/>
      <c r="CC21" s="519" t="s">
        <v>73</v>
      </c>
      <c r="CD21" s="520"/>
      <c r="CE21" s="520"/>
      <c r="CF21" s="21" t="s">
        <v>15</v>
      </c>
      <c r="CG21" s="526">
        <v>226</v>
      </c>
      <c r="CH21" s="593"/>
      <c r="CI21" s="593"/>
      <c r="CJ21" s="527"/>
      <c r="CK21" s="22">
        <v>129</v>
      </c>
      <c r="CL21" s="526">
        <v>226</v>
      </c>
      <c r="CM21" s="593"/>
      <c r="CN21" s="593"/>
      <c r="CO21" s="527"/>
      <c r="CP21" s="22">
        <v>182</v>
      </c>
      <c r="CQ21" s="526">
        <v>226</v>
      </c>
      <c r="CR21" s="593"/>
      <c r="CS21" s="593"/>
      <c r="CT21" s="527"/>
      <c r="CU21" s="22">
        <v>131</v>
      </c>
      <c r="CV21" s="526">
        <v>226</v>
      </c>
      <c r="CW21" s="593"/>
      <c r="CX21" s="593"/>
      <c r="CY21" s="527"/>
      <c r="CZ21" s="526">
        <v>222</v>
      </c>
      <c r="DA21" s="593"/>
      <c r="DB21" s="593"/>
      <c r="DC21" s="527"/>
      <c r="DD21" s="492"/>
      <c r="DE21" s="23"/>
      <c r="DF21" s="519" t="s">
        <v>73</v>
      </c>
      <c r="DG21" s="520"/>
      <c r="DH21" s="520"/>
      <c r="DI21" s="21" t="s">
        <v>15</v>
      </c>
      <c r="DJ21" s="526">
        <v>226</v>
      </c>
      <c r="DK21" s="593"/>
      <c r="DL21" s="593"/>
      <c r="DM21" s="527"/>
      <c r="DN21" s="246">
        <v>176</v>
      </c>
      <c r="DO21" s="526">
        <v>258</v>
      </c>
      <c r="DP21" s="593"/>
      <c r="DQ21" s="593"/>
      <c r="DR21" s="527"/>
      <c r="DS21" s="22">
        <v>243</v>
      </c>
      <c r="DT21" s="526">
        <v>258</v>
      </c>
      <c r="DU21" s="593"/>
      <c r="DV21" s="593"/>
      <c r="DW21" s="527"/>
      <c r="DX21" s="22">
        <v>164</v>
      </c>
      <c r="DY21" s="526">
        <v>258.2</v>
      </c>
      <c r="DZ21" s="593"/>
      <c r="EA21" s="593"/>
      <c r="EB21" s="527"/>
      <c r="EC21" s="22">
        <v>27</v>
      </c>
      <c r="ED21" s="492"/>
      <c r="EE21" s="23"/>
      <c r="EF21" s="519" t="s">
        <v>73</v>
      </c>
      <c r="EG21" s="520"/>
      <c r="EH21" s="520"/>
      <c r="EI21" s="21" t="s">
        <v>15</v>
      </c>
      <c r="EJ21" s="526">
        <v>258.2</v>
      </c>
      <c r="EK21" s="593"/>
      <c r="EL21" s="593"/>
      <c r="EM21" s="527"/>
      <c r="EN21" s="22">
        <v>154</v>
      </c>
      <c r="EO21" s="526">
        <v>258</v>
      </c>
      <c r="EP21" s="593"/>
      <c r="EQ21" s="593"/>
      <c r="ER21" s="527"/>
      <c r="ES21" s="22">
        <v>120</v>
      </c>
      <c r="ET21" s="526">
        <v>258</v>
      </c>
      <c r="EU21" s="593"/>
      <c r="EV21" s="593"/>
      <c r="EW21" s="527"/>
      <c r="EX21" s="251">
        <v>206</v>
      </c>
      <c r="EY21" s="526">
        <v>258</v>
      </c>
      <c r="EZ21" s="593"/>
      <c r="FA21" s="593"/>
      <c r="FB21" s="527"/>
      <c r="FC21" s="22">
        <v>213</v>
      </c>
      <c r="FD21" s="492"/>
      <c r="FE21" s="23"/>
      <c r="FF21" s="519" t="s">
        <v>73</v>
      </c>
      <c r="FG21" s="520"/>
      <c r="FH21" s="520"/>
      <c r="FI21" s="21" t="s">
        <v>15</v>
      </c>
      <c r="FJ21" s="526">
        <v>258</v>
      </c>
      <c r="FK21" s="593"/>
      <c r="FL21" s="593"/>
      <c r="FM21" s="527"/>
      <c r="FN21" s="22">
        <v>227</v>
      </c>
      <c r="FO21" s="526">
        <v>258</v>
      </c>
      <c r="FP21" s="593"/>
      <c r="FQ21" s="593"/>
      <c r="FR21" s="527"/>
      <c r="FS21" s="22">
        <v>210</v>
      </c>
      <c r="FT21" s="526">
        <v>258</v>
      </c>
      <c r="FU21" s="593"/>
      <c r="FV21" s="593"/>
      <c r="FW21" s="527"/>
      <c r="FX21" s="22">
        <v>225</v>
      </c>
      <c r="FY21" s="526">
        <v>258</v>
      </c>
      <c r="FZ21" s="593"/>
      <c r="GA21" s="593"/>
      <c r="GB21" s="527"/>
      <c r="GC21" s="22">
        <v>176</v>
      </c>
      <c r="GD21" s="492"/>
      <c r="GE21" s="23"/>
      <c r="GF21" s="519" t="s">
        <v>73</v>
      </c>
      <c r="GG21" s="520"/>
      <c r="GH21" s="520"/>
      <c r="GI21" s="21" t="s">
        <v>15</v>
      </c>
      <c r="GJ21" s="526">
        <v>258</v>
      </c>
      <c r="GK21" s="593"/>
      <c r="GL21" s="593"/>
      <c r="GM21" s="527"/>
      <c r="GN21" s="22">
        <v>125</v>
      </c>
      <c r="GO21" s="526">
        <v>258</v>
      </c>
      <c r="GP21" s="593"/>
      <c r="GQ21" s="593"/>
      <c r="GR21" s="527"/>
      <c r="GS21" s="22">
        <v>217</v>
      </c>
      <c r="GT21" s="526">
        <v>258</v>
      </c>
      <c r="GU21" s="593"/>
      <c r="GV21" s="593"/>
      <c r="GW21" s="527"/>
      <c r="GX21" s="22">
        <v>141</v>
      </c>
      <c r="GY21" s="526">
        <v>258</v>
      </c>
      <c r="GZ21" s="593"/>
      <c r="HA21" s="593"/>
      <c r="HB21" s="527"/>
      <c r="HC21" s="22">
        <v>3</v>
      </c>
      <c r="HD21" s="492"/>
      <c r="HE21" s="23"/>
      <c r="HF21" s="519" t="s">
        <v>73</v>
      </c>
      <c r="HG21" s="520"/>
      <c r="HH21" s="520"/>
      <c r="HI21" s="21" t="s">
        <v>15</v>
      </c>
      <c r="HJ21" s="526">
        <v>258</v>
      </c>
      <c r="HK21" s="593"/>
      <c r="HL21" s="593"/>
      <c r="HM21" s="527"/>
      <c r="HN21" s="22">
        <v>57</v>
      </c>
      <c r="HO21" s="526">
        <v>206</v>
      </c>
      <c r="HP21" s="593"/>
      <c r="HQ21" s="593"/>
      <c r="HR21" s="527"/>
      <c r="HS21" s="22">
        <v>167</v>
      </c>
      <c r="HT21" s="526">
        <v>206</v>
      </c>
      <c r="HU21" s="593"/>
      <c r="HV21" s="593"/>
      <c r="HW21" s="527"/>
      <c r="HX21" s="22">
        <v>94</v>
      </c>
      <c r="HY21" s="526">
        <v>206</v>
      </c>
      <c r="HZ21" s="593"/>
      <c r="IA21" s="593"/>
      <c r="IB21" s="527"/>
      <c r="IC21" s="22">
        <v>202</v>
      </c>
      <c r="ID21" s="492"/>
      <c r="IE21" s="23"/>
      <c r="IF21" s="519" t="s">
        <v>73</v>
      </c>
      <c r="IG21" s="520"/>
      <c r="IH21" s="520"/>
      <c r="II21" s="21" t="s">
        <v>15</v>
      </c>
      <c r="IJ21" s="621">
        <v>232</v>
      </c>
      <c r="IK21" s="622"/>
      <c r="IL21" s="622"/>
      <c r="IM21" s="623"/>
      <c r="IN21" s="22">
        <v>182</v>
      </c>
      <c r="IO21" s="526">
        <v>232</v>
      </c>
      <c r="IP21" s="593"/>
      <c r="IQ21" s="593"/>
      <c r="IR21" s="527"/>
      <c r="IS21" s="22">
        <v>132</v>
      </c>
      <c r="IT21" s="526">
        <v>232</v>
      </c>
      <c r="IU21" s="593"/>
      <c r="IV21" s="593"/>
      <c r="IW21" s="527"/>
      <c r="IX21" s="22">
        <v>185</v>
      </c>
      <c r="IY21" s="526">
        <v>232</v>
      </c>
      <c r="IZ21" s="593"/>
      <c r="JA21" s="593"/>
      <c r="JB21" s="527"/>
      <c r="JC21" s="22">
        <v>116</v>
      </c>
      <c r="JD21" s="492"/>
      <c r="JE21" s="23"/>
      <c r="JF21" s="519" t="s">
        <v>73</v>
      </c>
      <c r="JG21" s="520"/>
      <c r="JH21" s="520"/>
      <c r="JI21" s="21" t="s">
        <v>15</v>
      </c>
      <c r="JJ21" s="526">
        <v>232</v>
      </c>
      <c r="JK21" s="593"/>
      <c r="JL21" s="593"/>
      <c r="JM21" s="527"/>
      <c r="JN21" s="22">
        <v>158</v>
      </c>
      <c r="JO21" s="526">
        <v>232</v>
      </c>
      <c r="JP21" s="593"/>
      <c r="JQ21" s="593"/>
      <c r="JR21" s="527"/>
      <c r="JS21" s="22">
        <v>76</v>
      </c>
      <c r="JT21" s="526">
        <v>232</v>
      </c>
      <c r="JU21" s="593"/>
      <c r="JV21" s="593"/>
      <c r="JW21" s="527"/>
      <c r="JX21" s="22">
        <v>173</v>
      </c>
      <c r="JY21" s="526">
        <v>232</v>
      </c>
      <c r="JZ21" s="593"/>
      <c r="KA21" s="593"/>
      <c r="KB21" s="527"/>
      <c r="KC21" s="22">
        <v>128</v>
      </c>
      <c r="KD21" s="492"/>
      <c r="KE21" s="23"/>
      <c r="KF21" s="519" t="s">
        <v>73</v>
      </c>
      <c r="KG21" s="520"/>
      <c r="KH21" s="520"/>
      <c r="KI21" s="21" t="s">
        <v>15</v>
      </c>
      <c r="KJ21" s="526">
        <v>232</v>
      </c>
      <c r="KK21" s="593"/>
      <c r="KL21" s="593"/>
      <c r="KM21" s="527"/>
      <c r="KN21" s="22">
        <v>125</v>
      </c>
      <c r="KO21" s="526">
        <v>231</v>
      </c>
      <c r="KP21" s="593"/>
      <c r="KQ21" s="593"/>
      <c r="KR21" s="527"/>
      <c r="KS21" s="22">
        <v>181</v>
      </c>
      <c r="KT21" s="526">
        <v>231</v>
      </c>
      <c r="KU21" s="593"/>
      <c r="KV21" s="593"/>
      <c r="KW21" s="527"/>
      <c r="KX21" s="22">
        <v>117</v>
      </c>
      <c r="KY21" s="526">
        <v>231</v>
      </c>
      <c r="KZ21" s="593"/>
      <c r="LA21" s="593"/>
      <c r="LB21" s="527"/>
      <c r="LC21" s="299">
        <v>0</v>
      </c>
      <c r="LD21" s="492"/>
      <c r="LE21" s="23"/>
      <c r="LF21" s="519" t="s">
        <v>73</v>
      </c>
      <c r="LG21" s="520"/>
      <c r="LH21" s="520"/>
      <c r="LI21" s="21" t="s">
        <v>15</v>
      </c>
      <c r="LJ21" s="526">
        <v>197</v>
      </c>
      <c r="LK21" s="593"/>
      <c r="LL21" s="593"/>
      <c r="LM21" s="527"/>
      <c r="LN21" s="22">
        <v>153</v>
      </c>
      <c r="LO21" s="526">
        <v>169</v>
      </c>
      <c r="LP21" s="593"/>
      <c r="LQ21" s="593"/>
      <c r="LR21" s="527"/>
      <c r="LS21" s="22">
        <v>27</v>
      </c>
      <c r="LT21" s="526">
        <v>195</v>
      </c>
      <c r="LU21" s="593"/>
      <c r="LV21" s="593"/>
      <c r="LW21" s="527"/>
      <c r="LX21" s="22">
        <v>68</v>
      </c>
      <c r="LY21" s="526">
        <v>170</v>
      </c>
      <c r="LZ21" s="593"/>
      <c r="MA21" s="593"/>
      <c r="MB21" s="527"/>
      <c r="MC21" s="22">
        <v>108</v>
      </c>
      <c r="MD21" s="492"/>
      <c r="ME21" s="23"/>
      <c r="MF21" s="519" t="s">
        <v>73</v>
      </c>
      <c r="MG21" s="520"/>
      <c r="MH21" s="520"/>
      <c r="MI21" s="21" t="s">
        <v>15</v>
      </c>
      <c r="MJ21" s="526">
        <v>167</v>
      </c>
      <c r="MK21" s="593"/>
      <c r="ML21" s="593"/>
      <c r="MM21" s="527"/>
      <c r="MN21" s="22">
        <v>120</v>
      </c>
      <c r="MO21" s="526">
        <v>167</v>
      </c>
      <c r="MP21" s="593"/>
      <c r="MQ21" s="593"/>
      <c r="MR21" s="527"/>
      <c r="MS21" s="22">
        <v>136</v>
      </c>
      <c r="MT21" s="526">
        <v>167</v>
      </c>
      <c r="MU21" s="593"/>
      <c r="MV21" s="593"/>
      <c r="MW21" s="527"/>
      <c r="MX21" s="22">
        <v>138</v>
      </c>
      <c r="MY21" s="526">
        <v>167</v>
      </c>
      <c r="MZ21" s="593"/>
      <c r="NA21" s="593"/>
      <c r="NB21" s="527"/>
      <c r="NC21" s="306"/>
      <c r="ND21" s="317"/>
      <c r="NE21" s="22">
        <v>145</v>
      </c>
      <c r="NF21" s="492"/>
      <c r="NG21" s="23"/>
      <c r="NH21" s="519" t="s">
        <v>73</v>
      </c>
      <c r="NI21" s="520"/>
      <c r="NJ21" s="520"/>
      <c r="NK21" s="21" t="s">
        <v>15</v>
      </c>
      <c r="NL21" s="526">
        <v>188.8</v>
      </c>
      <c r="NM21" s="593"/>
      <c r="NN21" s="593"/>
      <c r="NO21" s="527"/>
      <c r="NP21" s="22">
        <v>160.6</v>
      </c>
      <c r="NQ21" s="526">
        <v>224.2</v>
      </c>
      <c r="NR21" s="593"/>
      <c r="NS21" s="593"/>
      <c r="NT21" s="527"/>
      <c r="NU21" s="22">
        <v>192</v>
      </c>
      <c r="NV21" s="526">
        <v>219.2</v>
      </c>
      <c r="NW21" s="593"/>
      <c r="NX21" s="593"/>
      <c r="NY21" s="527"/>
      <c r="NZ21" s="22">
        <v>183</v>
      </c>
      <c r="OA21" s="526">
        <v>219.2</v>
      </c>
      <c r="OB21" s="593"/>
      <c r="OC21" s="593"/>
      <c r="OD21" s="527"/>
      <c r="OE21" s="326"/>
      <c r="OF21" s="326"/>
      <c r="OG21" s="22">
        <v>170</v>
      </c>
      <c r="OH21" s="492"/>
      <c r="OI21" s="23"/>
      <c r="OJ21" s="519" t="s">
        <v>73</v>
      </c>
      <c r="OK21" s="520"/>
      <c r="OL21" s="520"/>
      <c r="OM21" s="21" t="s">
        <v>15</v>
      </c>
      <c r="ON21" s="526">
        <v>219.2</v>
      </c>
      <c r="OO21" s="593"/>
      <c r="OP21" s="593"/>
      <c r="OQ21" s="527"/>
      <c r="OR21" s="22">
        <v>201.4</v>
      </c>
      <c r="OS21" s="526">
        <v>219.2</v>
      </c>
      <c r="OT21" s="593"/>
      <c r="OU21" s="593"/>
      <c r="OV21" s="527"/>
      <c r="OW21" s="22">
        <v>207.8</v>
      </c>
      <c r="OX21" s="526">
        <v>219.2</v>
      </c>
      <c r="OY21" s="593"/>
      <c r="OZ21" s="593"/>
      <c r="PA21" s="527"/>
      <c r="PB21" s="22">
        <v>146.4</v>
      </c>
      <c r="PC21" s="526">
        <v>219.2</v>
      </c>
      <c r="PD21" s="593"/>
      <c r="PE21" s="593"/>
      <c r="PF21" s="527"/>
      <c r="PG21" s="22">
        <v>185</v>
      </c>
      <c r="PH21" s="492"/>
      <c r="PI21" s="23"/>
      <c r="PJ21" s="519" t="s">
        <v>73</v>
      </c>
      <c r="PK21" s="520"/>
      <c r="PL21" s="520"/>
      <c r="PM21" s="21" t="s">
        <v>15</v>
      </c>
      <c r="PN21" s="526">
        <v>219.2</v>
      </c>
      <c r="PO21" s="593"/>
      <c r="PP21" s="593"/>
      <c r="PQ21" s="527"/>
      <c r="PR21" s="22">
        <v>45</v>
      </c>
      <c r="PS21" s="526">
        <v>219.2</v>
      </c>
      <c r="PT21" s="593"/>
      <c r="PU21" s="593"/>
      <c r="PV21" s="527"/>
      <c r="PW21" s="22">
        <v>210</v>
      </c>
      <c r="PX21" s="526">
        <v>185.2</v>
      </c>
      <c r="PY21" s="593"/>
      <c r="PZ21" s="593"/>
      <c r="QA21" s="527"/>
      <c r="QB21" s="22">
        <v>176.8</v>
      </c>
      <c r="QC21" s="526">
        <v>224.2</v>
      </c>
      <c r="QD21" s="593"/>
      <c r="QE21" s="593"/>
      <c r="QF21" s="527"/>
      <c r="QG21" s="22">
        <v>209.6</v>
      </c>
      <c r="QH21" s="492"/>
      <c r="QI21" s="23"/>
      <c r="QJ21" s="519" t="s">
        <v>73</v>
      </c>
      <c r="QK21" s="520"/>
      <c r="QL21" s="520"/>
      <c r="QM21" s="21" t="s">
        <v>15</v>
      </c>
      <c r="QN21" s="526">
        <v>224.2</v>
      </c>
      <c r="QO21" s="593"/>
      <c r="QP21" s="593"/>
      <c r="QQ21" s="527"/>
      <c r="QR21" s="22">
        <v>192.4</v>
      </c>
      <c r="QS21" s="526">
        <v>224.2</v>
      </c>
      <c r="QT21" s="593"/>
      <c r="QU21" s="593"/>
      <c r="QV21" s="527"/>
      <c r="QW21" s="22">
        <v>214.6</v>
      </c>
      <c r="QX21" s="526">
        <v>224.2</v>
      </c>
      <c r="QY21" s="593"/>
      <c r="QZ21" s="593"/>
      <c r="RA21" s="527"/>
      <c r="RB21" s="22">
        <v>173.8</v>
      </c>
      <c r="RC21" s="526">
        <v>224.2</v>
      </c>
      <c r="RD21" s="593"/>
      <c r="RE21" s="593"/>
      <c r="RF21" s="527"/>
      <c r="RG21" s="22">
        <v>162</v>
      </c>
      <c r="RH21" s="492"/>
      <c r="RI21" s="23"/>
      <c r="RJ21" s="519" t="s">
        <v>73</v>
      </c>
      <c r="RK21" s="520"/>
      <c r="RL21" s="520"/>
      <c r="RM21" s="21" t="s">
        <v>15</v>
      </c>
      <c r="RN21" s="526">
        <v>224.2</v>
      </c>
      <c r="RO21" s="593"/>
      <c r="RP21" s="593"/>
      <c r="RQ21" s="527"/>
      <c r="RR21" s="22">
        <v>102.6</v>
      </c>
      <c r="RS21" s="526">
        <v>224.2</v>
      </c>
      <c r="RT21" s="593"/>
      <c r="RU21" s="593"/>
      <c r="RV21" s="527"/>
      <c r="RW21" s="22">
        <v>85</v>
      </c>
      <c r="RX21" s="526">
        <v>224.2</v>
      </c>
      <c r="RY21" s="593"/>
      <c r="RZ21" s="593"/>
      <c r="SA21" s="527"/>
      <c r="SB21" s="22">
        <v>128</v>
      </c>
      <c r="SC21" s="526">
        <v>224.2</v>
      </c>
      <c r="SD21" s="593"/>
      <c r="SE21" s="593"/>
      <c r="SF21" s="527"/>
      <c r="SG21" s="22">
        <v>208.2</v>
      </c>
      <c r="SH21" s="492"/>
      <c r="SI21" s="23"/>
      <c r="SJ21" s="519" t="s">
        <v>73</v>
      </c>
      <c r="SK21" s="520"/>
      <c r="SL21" s="520"/>
      <c r="SM21" s="21" t="s">
        <v>15</v>
      </c>
      <c r="SN21" s="526">
        <v>224.2</v>
      </c>
      <c r="SO21" s="593"/>
      <c r="SP21" s="593"/>
      <c r="SQ21" s="527"/>
      <c r="SR21" s="22">
        <v>201</v>
      </c>
      <c r="SS21" s="526">
        <v>224.2</v>
      </c>
      <c r="ST21" s="593"/>
      <c r="SU21" s="593"/>
      <c r="SV21" s="527"/>
      <c r="SW21" s="22">
        <v>137.19999999999999</v>
      </c>
      <c r="SX21" s="526">
        <v>224.2</v>
      </c>
      <c r="SY21" s="593"/>
      <c r="SZ21" s="593"/>
      <c r="TA21" s="527"/>
      <c r="TB21" s="22">
        <v>163</v>
      </c>
      <c r="TC21" s="526">
        <v>224.2</v>
      </c>
      <c r="TD21" s="593"/>
      <c r="TE21" s="593"/>
      <c r="TF21" s="527"/>
      <c r="TG21" s="22">
        <v>203</v>
      </c>
      <c r="TH21" s="492"/>
      <c r="TI21" s="23"/>
      <c r="TJ21" s="519" t="s">
        <v>73</v>
      </c>
      <c r="TK21" s="520"/>
      <c r="TL21" s="520"/>
      <c r="TM21" s="21" t="s">
        <v>15</v>
      </c>
      <c r="TN21" s="526">
        <v>198.1</v>
      </c>
      <c r="TO21" s="593"/>
      <c r="TP21" s="593"/>
      <c r="TQ21" s="527"/>
      <c r="TR21" s="22">
        <v>194.4</v>
      </c>
      <c r="TS21" s="526">
        <v>194.4</v>
      </c>
      <c r="TT21" s="593"/>
      <c r="TU21" s="593"/>
      <c r="TV21" s="527"/>
      <c r="TW21" s="526">
        <v>224.2</v>
      </c>
      <c r="TX21" s="593"/>
      <c r="TY21" s="593"/>
      <c r="TZ21" s="527"/>
      <c r="UA21" s="22">
        <v>182.2</v>
      </c>
      <c r="UB21" s="526">
        <v>191.7</v>
      </c>
      <c r="UC21" s="593"/>
      <c r="UD21" s="593"/>
      <c r="UE21" s="527"/>
      <c r="UF21" s="22">
        <v>184.6</v>
      </c>
      <c r="UG21" s="526">
        <v>191.7</v>
      </c>
      <c r="UH21" s="593"/>
      <c r="UI21" s="593"/>
      <c r="UJ21" s="527"/>
      <c r="UK21" s="22">
        <v>149.19999999999999</v>
      </c>
      <c r="UL21" s="492"/>
      <c r="UM21" s="23"/>
      <c r="UN21" s="519" t="s">
        <v>73</v>
      </c>
      <c r="UO21" s="520"/>
      <c r="UP21" s="520"/>
      <c r="UQ21" s="21" t="s">
        <v>15</v>
      </c>
      <c r="UR21" s="526">
        <v>191.7</v>
      </c>
      <c r="US21" s="593"/>
      <c r="UT21" s="593"/>
      <c r="UU21" s="527"/>
      <c r="UV21" s="22">
        <v>3.4</v>
      </c>
      <c r="UW21" s="526">
        <v>192</v>
      </c>
      <c r="UX21" s="593"/>
      <c r="UY21" s="593"/>
      <c r="UZ21" s="527"/>
      <c r="VA21" s="22">
        <v>161</v>
      </c>
      <c r="VB21" s="526">
        <v>191.7</v>
      </c>
      <c r="VC21" s="593"/>
      <c r="VD21" s="593"/>
      <c r="VE21" s="527"/>
      <c r="VF21" s="22">
        <v>161</v>
      </c>
      <c r="VG21" s="526"/>
      <c r="VH21" s="593"/>
      <c r="VI21" s="593"/>
      <c r="VJ21" s="527"/>
      <c r="VK21" s="22"/>
      <c r="VL21" s="22"/>
      <c r="VM21" s="526"/>
      <c r="VN21" s="593"/>
      <c r="VO21" s="593"/>
      <c r="VP21" s="527"/>
      <c r="VQ21" s="22"/>
      <c r="VR21" s="191"/>
    </row>
    <row r="22" spans="1:590" ht="45" customHeight="1" x14ac:dyDescent="0.4">
      <c r="A22" s="492"/>
      <c r="B22" s="23"/>
      <c r="C22" s="457" t="s">
        <v>68</v>
      </c>
      <c r="D22" s="459"/>
      <c r="E22" s="459"/>
      <c r="F22" s="21" t="s">
        <v>16</v>
      </c>
      <c r="G22" s="526">
        <v>240</v>
      </c>
      <c r="H22" s="593"/>
      <c r="I22" s="593"/>
      <c r="J22" s="527"/>
      <c r="K22" s="22">
        <v>237</v>
      </c>
      <c r="L22" s="526">
        <v>80</v>
      </c>
      <c r="M22" s="593"/>
      <c r="N22" s="593"/>
      <c r="O22" s="527"/>
      <c r="P22" s="22">
        <v>76</v>
      </c>
      <c r="Q22" s="526">
        <v>192</v>
      </c>
      <c r="R22" s="593"/>
      <c r="S22" s="593"/>
      <c r="T22" s="527"/>
      <c r="U22" s="22">
        <v>189</v>
      </c>
      <c r="V22" s="526">
        <v>191</v>
      </c>
      <c r="W22" s="593"/>
      <c r="X22" s="593"/>
      <c r="Y22" s="527"/>
      <c r="Z22" s="22">
        <v>191</v>
      </c>
      <c r="AA22" s="492"/>
      <c r="AB22" s="23"/>
      <c r="AC22" s="457" t="s">
        <v>68</v>
      </c>
      <c r="AD22" s="459"/>
      <c r="AE22" s="459"/>
      <c r="AF22" s="21" t="s">
        <v>16</v>
      </c>
      <c r="AG22" s="526">
        <v>240</v>
      </c>
      <c r="AH22" s="593"/>
      <c r="AI22" s="593"/>
      <c r="AJ22" s="527"/>
      <c r="AK22" s="22">
        <v>235</v>
      </c>
      <c r="AL22" s="526">
        <v>240</v>
      </c>
      <c r="AM22" s="593"/>
      <c r="AN22" s="593"/>
      <c r="AO22" s="527"/>
      <c r="AP22" s="22">
        <v>236</v>
      </c>
      <c r="AQ22" s="526">
        <v>240</v>
      </c>
      <c r="AR22" s="593"/>
      <c r="AS22" s="593"/>
      <c r="AT22" s="527"/>
      <c r="AU22" s="22">
        <v>237</v>
      </c>
      <c r="AV22" s="526">
        <v>240</v>
      </c>
      <c r="AW22" s="593"/>
      <c r="AX22" s="593"/>
      <c r="AY22" s="527"/>
      <c r="AZ22" s="22">
        <v>236</v>
      </c>
      <c r="BA22" s="492"/>
      <c r="BB22" s="224"/>
      <c r="BC22" s="457" t="s">
        <v>68</v>
      </c>
      <c r="BD22" s="459"/>
      <c r="BE22" s="459"/>
      <c r="BF22" s="21" t="s">
        <v>16</v>
      </c>
      <c r="BG22" s="526">
        <v>240</v>
      </c>
      <c r="BH22" s="593"/>
      <c r="BI22" s="593"/>
      <c r="BJ22" s="527"/>
      <c r="BK22" s="22">
        <v>231</v>
      </c>
      <c r="BL22" s="526">
        <v>89</v>
      </c>
      <c r="BM22" s="593"/>
      <c r="BN22" s="593"/>
      <c r="BO22" s="527"/>
      <c r="BP22" s="22">
        <v>88</v>
      </c>
      <c r="BQ22" s="526">
        <v>240</v>
      </c>
      <c r="BR22" s="593"/>
      <c r="BS22" s="593"/>
      <c r="BT22" s="527"/>
      <c r="BU22" s="22">
        <v>236</v>
      </c>
      <c r="BV22" s="526">
        <v>158</v>
      </c>
      <c r="BW22" s="593"/>
      <c r="BX22" s="593"/>
      <c r="BY22" s="527"/>
      <c r="BZ22" s="22">
        <v>159</v>
      </c>
      <c r="CA22" s="492"/>
      <c r="CB22" s="23"/>
      <c r="CC22" s="457" t="s">
        <v>68</v>
      </c>
      <c r="CD22" s="459"/>
      <c r="CE22" s="459"/>
      <c r="CF22" s="21" t="s">
        <v>16</v>
      </c>
      <c r="CG22" s="526">
        <v>240</v>
      </c>
      <c r="CH22" s="593"/>
      <c r="CI22" s="593"/>
      <c r="CJ22" s="527"/>
      <c r="CK22" s="22">
        <v>232</v>
      </c>
      <c r="CL22" s="526">
        <v>191</v>
      </c>
      <c r="CM22" s="593"/>
      <c r="CN22" s="593"/>
      <c r="CO22" s="527"/>
      <c r="CP22" s="22">
        <v>185</v>
      </c>
      <c r="CQ22" s="526">
        <v>240</v>
      </c>
      <c r="CR22" s="593"/>
      <c r="CS22" s="593"/>
      <c r="CT22" s="527"/>
      <c r="CU22" s="22">
        <v>250</v>
      </c>
      <c r="CV22" s="526">
        <v>214</v>
      </c>
      <c r="CW22" s="593"/>
      <c r="CX22" s="593"/>
      <c r="CY22" s="527"/>
      <c r="CZ22" s="526">
        <v>234</v>
      </c>
      <c r="DA22" s="593"/>
      <c r="DB22" s="593"/>
      <c r="DC22" s="527"/>
      <c r="DD22" s="492"/>
      <c r="DE22" s="23"/>
      <c r="DF22" s="457" t="s">
        <v>68</v>
      </c>
      <c r="DG22" s="459"/>
      <c r="DH22" s="459"/>
      <c r="DI22" s="21" t="s">
        <v>16</v>
      </c>
      <c r="DJ22" s="526">
        <v>240</v>
      </c>
      <c r="DK22" s="593"/>
      <c r="DL22" s="593"/>
      <c r="DM22" s="527"/>
      <c r="DN22" s="246">
        <v>235</v>
      </c>
      <c r="DO22" s="526">
        <v>240</v>
      </c>
      <c r="DP22" s="593"/>
      <c r="DQ22" s="593"/>
      <c r="DR22" s="527"/>
      <c r="DS22" s="22">
        <v>237</v>
      </c>
      <c r="DT22" s="526">
        <v>192</v>
      </c>
      <c r="DU22" s="593"/>
      <c r="DV22" s="593"/>
      <c r="DW22" s="527"/>
      <c r="DX22" s="22">
        <v>190</v>
      </c>
      <c r="DY22" s="526">
        <v>192</v>
      </c>
      <c r="DZ22" s="593"/>
      <c r="EA22" s="593"/>
      <c r="EB22" s="527"/>
      <c r="EC22" s="22">
        <v>184</v>
      </c>
      <c r="ED22" s="492"/>
      <c r="EE22" s="23"/>
      <c r="EF22" s="457" t="s">
        <v>68</v>
      </c>
      <c r="EG22" s="459"/>
      <c r="EH22" s="459"/>
      <c r="EI22" s="21" t="s">
        <v>16</v>
      </c>
      <c r="EJ22" s="526">
        <v>240</v>
      </c>
      <c r="EK22" s="593"/>
      <c r="EL22" s="593"/>
      <c r="EM22" s="527"/>
      <c r="EN22" s="22">
        <v>236</v>
      </c>
      <c r="EO22" s="526">
        <v>240</v>
      </c>
      <c r="EP22" s="593"/>
      <c r="EQ22" s="593"/>
      <c r="ER22" s="527"/>
      <c r="ES22" s="22">
        <v>238</v>
      </c>
      <c r="ET22" s="526">
        <v>192</v>
      </c>
      <c r="EU22" s="593"/>
      <c r="EV22" s="593"/>
      <c r="EW22" s="527"/>
      <c r="EX22" s="251">
        <v>188</v>
      </c>
      <c r="EY22" s="526">
        <v>192</v>
      </c>
      <c r="EZ22" s="593"/>
      <c r="FA22" s="593"/>
      <c r="FB22" s="527"/>
      <c r="FC22" s="22">
        <v>188</v>
      </c>
      <c r="FD22" s="492"/>
      <c r="FE22" s="23"/>
      <c r="FF22" s="457" t="s">
        <v>68</v>
      </c>
      <c r="FG22" s="459"/>
      <c r="FH22" s="459"/>
      <c r="FI22" s="21" t="s">
        <v>16</v>
      </c>
      <c r="FJ22" s="526">
        <v>189</v>
      </c>
      <c r="FK22" s="593"/>
      <c r="FL22" s="593"/>
      <c r="FM22" s="527"/>
      <c r="FN22" s="22">
        <v>186</v>
      </c>
      <c r="FO22" s="526">
        <v>189</v>
      </c>
      <c r="FP22" s="593"/>
      <c r="FQ22" s="593"/>
      <c r="FR22" s="527"/>
      <c r="FS22" s="22">
        <v>186</v>
      </c>
      <c r="FT22" s="526">
        <v>188</v>
      </c>
      <c r="FU22" s="593"/>
      <c r="FV22" s="593"/>
      <c r="FW22" s="527"/>
      <c r="FX22" s="22">
        <v>186</v>
      </c>
      <c r="FY22" s="526">
        <v>189</v>
      </c>
      <c r="FZ22" s="593"/>
      <c r="GA22" s="593"/>
      <c r="GB22" s="527"/>
      <c r="GC22" s="22">
        <v>179</v>
      </c>
      <c r="GD22" s="492"/>
      <c r="GE22" s="23"/>
      <c r="GF22" s="457" t="s">
        <v>68</v>
      </c>
      <c r="GG22" s="459"/>
      <c r="GH22" s="459"/>
      <c r="GI22" s="21" t="s">
        <v>16</v>
      </c>
      <c r="GJ22" s="526">
        <v>189</v>
      </c>
      <c r="GK22" s="593"/>
      <c r="GL22" s="593"/>
      <c r="GM22" s="527"/>
      <c r="GN22" s="22">
        <v>186</v>
      </c>
      <c r="GO22" s="526">
        <v>239</v>
      </c>
      <c r="GP22" s="593"/>
      <c r="GQ22" s="593"/>
      <c r="GR22" s="527"/>
      <c r="GS22" s="22">
        <v>236</v>
      </c>
      <c r="GT22" s="526">
        <v>239</v>
      </c>
      <c r="GU22" s="593"/>
      <c r="GV22" s="593"/>
      <c r="GW22" s="527"/>
      <c r="GX22" s="22">
        <v>232</v>
      </c>
      <c r="GY22" s="526">
        <v>189</v>
      </c>
      <c r="GZ22" s="593"/>
      <c r="HA22" s="593"/>
      <c r="HB22" s="527"/>
      <c r="HC22" s="22">
        <v>188</v>
      </c>
      <c r="HD22" s="492"/>
      <c r="HE22" s="23"/>
      <c r="HF22" s="457" t="s">
        <v>68</v>
      </c>
      <c r="HG22" s="459"/>
      <c r="HH22" s="459"/>
      <c r="HI22" s="21" t="s">
        <v>16</v>
      </c>
      <c r="HJ22" s="526">
        <v>161</v>
      </c>
      <c r="HK22" s="593"/>
      <c r="HL22" s="593"/>
      <c r="HM22" s="527"/>
      <c r="HN22" s="22">
        <v>159</v>
      </c>
      <c r="HO22" s="526">
        <v>239</v>
      </c>
      <c r="HP22" s="593"/>
      <c r="HQ22" s="593"/>
      <c r="HR22" s="527"/>
      <c r="HS22" s="22">
        <v>238</v>
      </c>
      <c r="HT22" s="526">
        <v>239</v>
      </c>
      <c r="HU22" s="593"/>
      <c r="HV22" s="593"/>
      <c r="HW22" s="527"/>
      <c r="HX22" s="22">
        <v>236</v>
      </c>
      <c r="HY22" s="526">
        <v>239</v>
      </c>
      <c r="HZ22" s="593"/>
      <c r="IA22" s="593"/>
      <c r="IB22" s="527"/>
      <c r="IC22" s="22">
        <v>236</v>
      </c>
      <c r="ID22" s="492"/>
      <c r="IE22" s="23"/>
      <c r="IF22" s="457" t="s">
        <v>68</v>
      </c>
      <c r="IG22" s="459"/>
      <c r="IH22" s="459"/>
      <c r="II22" s="21" t="s">
        <v>16</v>
      </c>
      <c r="IJ22" s="621">
        <v>239</v>
      </c>
      <c r="IK22" s="622"/>
      <c r="IL22" s="622"/>
      <c r="IM22" s="623"/>
      <c r="IN22" s="22">
        <v>238</v>
      </c>
      <c r="IO22" s="526">
        <v>149</v>
      </c>
      <c r="IP22" s="593"/>
      <c r="IQ22" s="593"/>
      <c r="IR22" s="527"/>
      <c r="IS22" s="22">
        <v>150</v>
      </c>
      <c r="IT22" s="526">
        <v>239</v>
      </c>
      <c r="IU22" s="593"/>
      <c r="IV22" s="593"/>
      <c r="IW22" s="527"/>
      <c r="IX22" s="22">
        <v>235</v>
      </c>
      <c r="IY22" s="526">
        <v>239</v>
      </c>
      <c r="IZ22" s="593"/>
      <c r="JA22" s="593"/>
      <c r="JB22" s="527"/>
      <c r="JC22" s="22">
        <v>234</v>
      </c>
      <c r="JD22" s="492"/>
      <c r="JE22" s="23"/>
      <c r="JF22" s="457" t="s">
        <v>68</v>
      </c>
      <c r="JG22" s="459"/>
      <c r="JH22" s="459"/>
      <c r="JI22" s="21" t="s">
        <v>16</v>
      </c>
      <c r="JJ22" s="526">
        <v>224</v>
      </c>
      <c r="JK22" s="593"/>
      <c r="JL22" s="593"/>
      <c r="JM22" s="527"/>
      <c r="JN22" s="22">
        <v>218</v>
      </c>
      <c r="JO22" s="526">
        <v>239</v>
      </c>
      <c r="JP22" s="593"/>
      <c r="JQ22" s="593"/>
      <c r="JR22" s="527"/>
      <c r="JS22" s="22">
        <v>232</v>
      </c>
      <c r="JT22" s="526">
        <v>189</v>
      </c>
      <c r="JU22" s="593"/>
      <c r="JV22" s="593"/>
      <c r="JW22" s="527"/>
      <c r="JX22" s="22">
        <v>187</v>
      </c>
      <c r="JY22" s="526">
        <v>151</v>
      </c>
      <c r="JZ22" s="593"/>
      <c r="KA22" s="593"/>
      <c r="KB22" s="527"/>
      <c r="KC22" s="22">
        <v>149</v>
      </c>
      <c r="KD22" s="492"/>
      <c r="KE22" s="23"/>
      <c r="KF22" s="457" t="s">
        <v>68</v>
      </c>
      <c r="KG22" s="459"/>
      <c r="KH22" s="459"/>
      <c r="KI22" s="21" t="s">
        <v>16</v>
      </c>
      <c r="KJ22" s="526">
        <v>239</v>
      </c>
      <c r="KK22" s="593"/>
      <c r="KL22" s="593"/>
      <c r="KM22" s="527"/>
      <c r="KN22" s="22">
        <v>186</v>
      </c>
      <c r="KO22" s="526">
        <v>202</v>
      </c>
      <c r="KP22" s="593"/>
      <c r="KQ22" s="593"/>
      <c r="KR22" s="527"/>
      <c r="KS22" s="22">
        <v>196</v>
      </c>
      <c r="KT22" s="526">
        <v>111</v>
      </c>
      <c r="KU22" s="593"/>
      <c r="KV22" s="593"/>
      <c r="KW22" s="527"/>
      <c r="KX22" s="22">
        <v>108</v>
      </c>
      <c r="KY22" s="526">
        <v>185</v>
      </c>
      <c r="KZ22" s="593"/>
      <c r="LA22" s="593"/>
      <c r="LB22" s="527"/>
      <c r="LC22" s="299">
        <v>174</v>
      </c>
      <c r="LD22" s="492"/>
      <c r="LE22" s="23"/>
      <c r="LF22" s="457" t="s">
        <v>68</v>
      </c>
      <c r="LG22" s="459"/>
      <c r="LH22" s="459"/>
      <c r="LI22" s="21" t="s">
        <v>16</v>
      </c>
      <c r="LJ22" s="526">
        <v>254</v>
      </c>
      <c r="LK22" s="593"/>
      <c r="LL22" s="593"/>
      <c r="LM22" s="527"/>
      <c r="LN22" s="22">
        <v>249</v>
      </c>
      <c r="LO22" s="526">
        <v>102</v>
      </c>
      <c r="LP22" s="593"/>
      <c r="LQ22" s="593"/>
      <c r="LR22" s="527"/>
      <c r="LS22" s="22">
        <v>103</v>
      </c>
      <c r="LT22" s="526">
        <v>64</v>
      </c>
      <c r="LU22" s="593"/>
      <c r="LV22" s="593"/>
      <c r="LW22" s="527"/>
      <c r="LX22" s="22">
        <v>52</v>
      </c>
      <c r="LY22" s="526">
        <v>215</v>
      </c>
      <c r="LZ22" s="593"/>
      <c r="MA22" s="593"/>
      <c r="MB22" s="527"/>
      <c r="MC22" s="22">
        <v>210</v>
      </c>
      <c r="MD22" s="492"/>
      <c r="ME22" s="23"/>
      <c r="MF22" s="457" t="s">
        <v>68</v>
      </c>
      <c r="MG22" s="459"/>
      <c r="MH22" s="459"/>
      <c r="MI22" s="21" t="s">
        <v>16</v>
      </c>
      <c r="MJ22" s="526">
        <v>196</v>
      </c>
      <c r="MK22" s="593"/>
      <c r="ML22" s="593"/>
      <c r="MM22" s="527"/>
      <c r="MN22" s="22">
        <v>196</v>
      </c>
      <c r="MO22" s="526">
        <v>196</v>
      </c>
      <c r="MP22" s="593"/>
      <c r="MQ22" s="593"/>
      <c r="MR22" s="527"/>
      <c r="MS22" s="22">
        <v>194</v>
      </c>
      <c r="MT22" s="526">
        <v>196</v>
      </c>
      <c r="MU22" s="593"/>
      <c r="MV22" s="593"/>
      <c r="MW22" s="527"/>
      <c r="MX22" s="22">
        <v>195</v>
      </c>
      <c r="MY22" s="526">
        <v>196</v>
      </c>
      <c r="MZ22" s="593"/>
      <c r="NA22" s="593"/>
      <c r="NB22" s="527"/>
      <c r="NC22" s="306"/>
      <c r="ND22" s="317"/>
      <c r="NE22" s="22">
        <v>196</v>
      </c>
      <c r="NF22" s="492"/>
      <c r="NG22" s="23"/>
      <c r="NH22" s="457" t="s">
        <v>68</v>
      </c>
      <c r="NI22" s="459"/>
      <c r="NJ22" s="459"/>
      <c r="NK22" s="21" t="s">
        <v>16</v>
      </c>
      <c r="NL22" s="526">
        <v>216</v>
      </c>
      <c r="NM22" s="593"/>
      <c r="NN22" s="593"/>
      <c r="NO22" s="527"/>
      <c r="NP22" s="22">
        <v>213.2</v>
      </c>
      <c r="NQ22" s="526">
        <v>186</v>
      </c>
      <c r="NR22" s="593"/>
      <c r="NS22" s="593"/>
      <c r="NT22" s="527"/>
      <c r="NU22" s="22">
        <v>184</v>
      </c>
      <c r="NV22" s="526">
        <v>230</v>
      </c>
      <c r="NW22" s="593"/>
      <c r="NX22" s="593"/>
      <c r="NY22" s="527"/>
      <c r="NZ22" s="22">
        <v>228</v>
      </c>
      <c r="OA22" s="526">
        <v>227</v>
      </c>
      <c r="OB22" s="593"/>
      <c r="OC22" s="593"/>
      <c r="OD22" s="527"/>
      <c r="OE22" s="326"/>
      <c r="OF22" s="326"/>
      <c r="OG22" s="22">
        <v>226</v>
      </c>
      <c r="OH22" s="492"/>
      <c r="OI22" s="23"/>
      <c r="OJ22" s="457" t="s">
        <v>68</v>
      </c>
      <c r="OK22" s="459"/>
      <c r="OL22" s="459"/>
      <c r="OM22" s="21" t="s">
        <v>16</v>
      </c>
      <c r="ON22" s="526">
        <v>274</v>
      </c>
      <c r="OO22" s="593"/>
      <c r="OP22" s="593"/>
      <c r="OQ22" s="527"/>
      <c r="OR22" s="22">
        <v>274</v>
      </c>
      <c r="OS22" s="526">
        <v>274</v>
      </c>
      <c r="OT22" s="593"/>
      <c r="OU22" s="593"/>
      <c r="OV22" s="527"/>
      <c r="OW22" s="22">
        <v>274</v>
      </c>
      <c r="OX22" s="526">
        <v>227</v>
      </c>
      <c r="OY22" s="593"/>
      <c r="OZ22" s="593"/>
      <c r="PA22" s="527"/>
      <c r="PB22" s="22">
        <v>224.8</v>
      </c>
      <c r="PC22" s="526">
        <v>228</v>
      </c>
      <c r="PD22" s="593"/>
      <c r="PE22" s="593"/>
      <c r="PF22" s="527"/>
      <c r="PG22" s="22">
        <v>226</v>
      </c>
      <c r="PH22" s="492"/>
      <c r="PI22" s="23"/>
      <c r="PJ22" s="457" t="s">
        <v>68</v>
      </c>
      <c r="PK22" s="459"/>
      <c r="PL22" s="459"/>
      <c r="PM22" s="21" t="s">
        <v>16</v>
      </c>
      <c r="PN22" s="526">
        <v>274</v>
      </c>
      <c r="PO22" s="593"/>
      <c r="PP22" s="593"/>
      <c r="PQ22" s="527"/>
      <c r="PR22" s="22">
        <v>272.39999999999998</v>
      </c>
      <c r="PS22" s="526">
        <v>228</v>
      </c>
      <c r="PT22" s="593"/>
      <c r="PU22" s="593"/>
      <c r="PV22" s="527"/>
      <c r="PW22" s="22">
        <v>227</v>
      </c>
      <c r="PX22" s="526">
        <v>274</v>
      </c>
      <c r="PY22" s="593"/>
      <c r="PZ22" s="593"/>
      <c r="QA22" s="527"/>
      <c r="QB22" s="22">
        <v>274</v>
      </c>
      <c r="QC22" s="526">
        <v>265</v>
      </c>
      <c r="QD22" s="593"/>
      <c r="QE22" s="593"/>
      <c r="QF22" s="527"/>
      <c r="QG22" s="22">
        <v>232.4</v>
      </c>
      <c r="QH22" s="492"/>
      <c r="QI22" s="23"/>
      <c r="QJ22" s="457" t="s">
        <v>68</v>
      </c>
      <c r="QK22" s="459"/>
      <c r="QL22" s="459"/>
      <c r="QM22" s="21" t="s">
        <v>16</v>
      </c>
      <c r="QN22" s="526">
        <v>265</v>
      </c>
      <c r="QO22" s="593"/>
      <c r="QP22" s="593"/>
      <c r="QQ22" s="527"/>
      <c r="QR22" s="22">
        <v>262</v>
      </c>
      <c r="QS22" s="526">
        <v>265</v>
      </c>
      <c r="QT22" s="593"/>
      <c r="QU22" s="593"/>
      <c r="QV22" s="527"/>
      <c r="QW22" s="22">
        <v>265</v>
      </c>
      <c r="QX22" s="526">
        <v>265</v>
      </c>
      <c r="QY22" s="593"/>
      <c r="QZ22" s="593"/>
      <c r="RA22" s="527"/>
      <c r="RB22" s="22">
        <v>264</v>
      </c>
      <c r="RC22" s="526">
        <v>265</v>
      </c>
      <c r="RD22" s="593"/>
      <c r="RE22" s="593"/>
      <c r="RF22" s="527"/>
      <c r="RG22" s="22">
        <v>263.60000000000002</v>
      </c>
      <c r="RH22" s="492"/>
      <c r="RI22" s="23"/>
      <c r="RJ22" s="457" t="s">
        <v>68</v>
      </c>
      <c r="RK22" s="459"/>
      <c r="RL22" s="459"/>
      <c r="RM22" s="21" t="s">
        <v>16</v>
      </c>
      <c r="RN22" s="526">
        <v>215</v>
      </c>
      <c r="RO22" s="593"/>
      <c r="RP22" s="593"/>
      <c r="RQ22" s="527"/>
      <c r="RR22" s="22">
        <v>210.8</v>
      </c>
      <c r="RS22" s="526">
        <v>215</v>
      </c>
      <c r="RT22" s="593"/>
      <c r="RU22" s="593"/>
      <c r="RV22" s="527"/>
      <c r="RW22" s="22">
        <v>205.6</v>
      </c>
      <c r="RX22" s="526">
        <v>265</v>
      </c>
      <c r="RY22" s="593"/>
      <c r="RZ22" s="593"/>
      <c r="SA22" s="527"/>
      <c r="SB22" s="22">
        <v>264.8</v>
      </c>
      <c r="SC22" s="526">
        <v>250</v>
      </c>
      <c r="SD22" s="593"/>
      <c r="SE22" s="593"/>
      <c r="SF22" s="527"/>
      <c r="SG22" s="22">
        <v>249.2</v>
      </c>
      <c r="SH22" s="492"/>
      <c r="SI22" s="23"/>
      <c r="SJ22" s="457" t="s">
        <v>68</v>
      </c>
      <c r="SK22" s="459"/>
      <c r="SL22" s="459"/>
      <c r="SM22" s="21" t="s">
        <v>16</v>
      </c>
      <c r="SN22" s="526">
        <v>250</v>
      </c>
      <c r="SO22" s="593"/>
      <c r="SP22" s="593"/>
      <c r="SQ22" s="527"/>
      <c r="SR22" s="22">
        <v>249.2</v>
      </c>
      <c r="SS22" s="526">
        <v>250</v>
      </c>
      <c r="ST22" s="593"/>
      <c r="SU22" s="593"/>
      <c r="SV22" s="527"/>
      <c r="SW22" s="22">
        <v>250</v>
      </c>
      <c r="SX22" s="526">
        <v>250</v>
      </c>
      <c r="SY22" s="593"/>
      <c r="SZ22" s="593"/>
      <c r="TA22" s="527"/>
      <c r="TB22" s="22">
        <v>249</v>
      </c>
      <c r="TC22" s="526">
        <v>250</v>
      </c>
      <c r="TD22" s="593"/>
      <c r="TE22" s="593"/>
      <c r="TF22" s="527"/>
      <c r="TG22" s="22">
        <v>250</v>
      </c>
      <c r="TH22" s="492"/>
      <c r="TI22" s="23"/>
      <c r="TJ22" s="457" t="s">
        <v>68</v>
      </c>
      <c r="TK22" s="459"/>
      <c r="TL22" s="459"/>
      <c r="TM22" s="21" t="s">
        <v>16</v>
      </c>
      <c r="TN22" s="526">
        <v>250</v>
      </c>
      <c r="TO22" s="593"/>
      <c r="TP22" s="593"/>
      <c r="TQ22" s="527"/>
      <c r="TR22" s="22">
        <v>246.4</v>
      </c>
      <c r="TS22" s="526">
        <v>246.4</v>
      </c>
      <c r="TT22" s="593"/>
      <c r="TU22" s="593"/>
      <c r="TV22" s="527"/>
      <c r="TW22" s="526">
        <v>250</v>
      </c>
      <c r="TX22" s="593"/>
      <c r="TY22" s="593"/>
      <c r="TZ22" s="527"/>
      <c r="UA22" s="22">
        <v>250</v>
      </c>
      <c r="UB22" s="526">
        <v>250</v>
      </c>
      <c r="UC22" s="593"/>
      <c r="UD22" s="593"/>
      <c r="UE22" s="527"/>
      <c r="UF22" s="22">
        <v>246.4</v>
      </c>
      <c r="UG22" s="526">
        <v>208</v>
      </c>
      <c r="UH22" s="593"/>
      <c r="UI22" s="593"/>
      <c r="UJ22" s="527"/>
      <c r="UK22" s="22">
        <v>202</v>
      </c>
      <c r="UL22" s="492"/>
      <c r="UM22" s="23"/>
      <c r="UN22" s="457" t="s">
        <v>68</v>
      </c>
      <c r="UO22" s="459"/>
      <c r="UP22" s="459"/>
      <c r="UQ22" s="21" t="s">
        <v>16</v>
      </c>
      <c r="UR22" s="526">
        <v>207</v>
      </c>
      <c r="US22" s="593"/>
      <c r="UT22" s="593"/>
      <c r="UU22" s="527"/>
      <c r="UV22" s="22">
        <v>207</v>
      </c>
      <c r="UW22" s="526">
        <v>250</v>
      </c>
      <c r="UX22" s="593"/>
      <c r="UY22" s="593"/>
      <c r="UZ22" s="527"/>
      <c r="VA22" s="22">
        <v>250</v>
      </c>
      <c r="VB22" s="526">
        <v>250</v>
      </c>
      <c r="VC22" s="593"/>
      <c r="VD22" s="593"/>
      <c r="VE22" s="527"/>
      <c r="VF22" s="22">
        <v>246</v>
      </c>
      <c r="VG22" s="526"/>
      <c r="VH22" s="593"/>
      <c r="VI22" s="593"/>
      <c r="VJ22" s="527"/>
      <c r="VK22" s="22"/>
      <c r="VL22" s="22"/>
      <c r="VM22" s="526"/>
      <c r="VN22" s="593"/>
      <c r="VO22" s="593"/>
      <c r="VP22" s="527"/>
      <c r="VQ22" s="22"/>
      <c r="VR22" s="191"/>
    </row>
    <row r="23" spans="1:590" ht="45" customHeight="1" x14ac:dyDescent="0.4">
      <c r="A23" s="492"/>
      <c r="B23" s="528" t="s">
        <v>18</v>
      </c>
      <c r="C23" s="466"/>
      <c r="D23" s="466"/>
      <c r="E23" s="466"/>
      <c r="F23" s="467"/>
      <c r="G23" s="526">
        <v>1377</v>
      </c>
      <c r="H23" s="593"/>
      <c r="I23" s="593"/>
      <c r="J23" s="527"/>
      <c r="K23" s="22">
        <v>1349</v>
      </c>
      <c r="L23" s="526">
        <v>1185</v>
      </c>
      <c r="M23" s="593"/>
      <c r="N23" s="593"/>
      <c r="O23" s="527"/>
      <c r="P23" s="22">
        <v>1158</v>
      </c>
      <c r="Q23" s="526">
        <v>1239</v>
      </c>
      <c r="R23" s="593"/>
      <c r="S23" s="593"/>
      <c r="T23" s="527"/>
      <c r="U23" s="22">
        <v>1155</v>
      </c>
      <c r="V23" s="526">
        <v>1178</v>
      </c>
      <c r="W23" s="593"/>
      <c r="X23" s="593"/>
      <c r="Y23" s="527"/>
      <c r="Z23" s="22">
        <v>1163</v>
      </c>
      <c r="AA23" s="492"/>
      <c r="AB23" s="528" t="s">
        <v>18</v>
      </c>
      <c r="AC23" s="466"/>
      <c r="AD23" s="466"/>
      <c r="AE23" s="466"/>
      <c r="AF23" s="467"/>
      <c r="AG23" s="526">
        <v>1337</v>
      </c>
      <c r="AH23" s="593"/>
      <c r="AI23" s="593"/>
      <c r="AJ23" s="527"/>
      <c r="AK23" s="22">
        <v>1330</v>
      </c>
      <c r="AL23" s="526">
        <v>1337</v>
      </c>
      <c r="AM23" s="593"/>
      <c r="AN23" s="593"/>
      <c r="AO23" s="527"/>
      <c r="AP23" s="22">
        <v>1310</v>
      </c>
      <c r="AQ23" s="526">
        <v>1337</v>
      </c>
      <c r="AR23" s="593"/>
      <c r="AS23" s="593"/>
      <c r="AT23" s="527"/>
      <c r="AU23" s="22">
        <v>1266</v>
      </c>
      <c r="AV23" s="526">
        <v>1327</v>
      </c>
      <c r="AW23" s="593"/>
      <c r="AX23" s="593"/>
      <c r="AY23" s="527"/>
      <c r="AZ23" s="22">
        <v>1259</v>
      </c>
      <c r="BA23" s="492"/>
      <c r="BB23" s="466" t="s">
        <v>18</v>
      </c>
      <c r="BC23" s="466"/>
      <c r="BD23" s="466"/>
      <c r="BE23" s="466"/>
      <c r="BF23" s="467"/>
      <c r="BG23" s="526">
        <v>1315</v>
      </c>
      <c r="BH23" s="593"/>
      <c r="BI23" s="593"/>
      <c r="BJ23" s="527"/>
      <c r="BK23" s="22">
        <v>1252</v>
      </c>
      <c r="BL23" s="526">
        <v>1105</v>
      </c>
      <c r="BM23" s="593"/>
      <c r="BN23" s="593"/>
      <c r="BO23" s="527"/>
      <c r="BP23" s="22">
        <v>1049</v>
      </c>
      <c r="BQ23" s="526">
        <v>1336.7</v>
      </c>
      <c r="BR23" s="593"/>
      <c r="BS23" s="593"/>
      <c r="BT23" s="527"/>
      <c r="BU23" s="22">
        <v>1339</v>
      </c>
      <c r="BV23" s="526">
        <v>1234</v>
      </c>
      <c r="BW23" s="593"/>
      <c r="BX23" s="593"/>
      <c r="BY23" s="527"/>
      <c r="BZ23" s="22">
        <v>1247</v>
      </c>
      <c r="CA23" s="492"/>
      <c r="CB23" s="528" t="s">
        <v>18</v>
      </c>
      <c r="CC23" s="466"/>
      <c r="CD23" s="466"/>
      <c r="CE23" s="466"/>
      <c r="CF23" s="467"/>
      <c r="CG23" s="526">
        <v>1305</v>
      </c>
      <c r="CH23" s="593"/>
      <c r="CI23" s="593"/>
      <c r="CJ23" s="527"/>
      <c r="CK23" s="22">
        <v>1236</v>
      </c>
      <c r="CL23" s="526">
        <v>1198</v>
      </c>
      <c r="CM23" s="593"/>
      <c r="CN23" s="593"/>
      <c r="CO23" s="527"/>
      <c r="CP23" s="22">
        <v>1159</v>
      </c>
      <c r="CQ23" s="526">
        <v>1275</v>
      </c>
      <c r="CR23" s="593"/>
      <c r="CS23" s="593"/>
      <c r="CT23" s="527"/>
      <c r="CU23" s="22">
        <v>1272</v>
      </c>
      <c r="CV23" s="526">
        <v>1269</v>
      </c>
      <c r="CW23" s="593"/>
      <c r="CX23" s="593"/>
      <c r="CY23" s="527"/>
      <c r="CZ23" s="526">
        <v>1319</v>
      </c>
      <c r="DA23" s="593"/>
      <c r="DB23" s="593"/>
      <c r="DC23" s="527"/>
      <c r="DD23" s="492"/>
      <c r="DE23" s="528" t="s">
        <v>18</v>
      </c>
      <c r="DF23" s="466"/>
      <c r="DG23" s="466"/>
      <c r="DH23" s="466"/>
      <c r="DI23" s="467"/>
      <c r="DJ23" s="526">
        <v>1317</v>
      </c>
      <c r="DK23" s="593"/>
      <c r="DL23" s="593"/>
      <c r="DM23" s="527"/>
      <c r="DN23" s="246">
        <v>1306</v>
      </c>
      <c r="DO23" s="526">
        <v>1369</v>
      </c>
      <c r="DP23" s="593"/>
      <c r="DQ23" s="593"/>
      <c r="DR23" s="527"/>
      <c r="DS23" s="246">
        <v>1392</v>
      </c>
      <c r="DT23" s="526">
        <v>1221</v>
      </c>
      <c r="DU23" s="593"/>
      <c r="DV23" s="593"/>
      <c r="DW23" s="527"/>
      <c r="DX23" s="246">
        <v>1154</v>
      </c>
      <c r="DY23" s="526">
        <v>1159.2</v>
      </c>
      <c r="DZ23" s="593"/>
      <c r="EA23" s="593"/>
      <c r="EB23" s="527"/>
      <c r="EC23" s="246">
        <v>923</v>
      </c>
      <c r="ED23" s="492"/>
      <c r="EE23" s="528" t="s">
        <v>18</v>
      </c>
      <c r="EF23" s="466"/>
      <c r="EG23" s="466"/>
      <c r="EH23" s="466"/>
      <c r="EI23" s="467"/>
      <c r="EJ23" s="526">
        <v>1299.2</v>
      </c>
      <c r="EK23" s="593"/>
      <c r="EL23" s="593"/>
      <c r="EM23" s="527"/>
      <c r="EN23" s="22">
        <v>1238</v>
      </c>
      <c r="EO23" s="526">
        <v>1309</v>
      </c>
      <c r="EP23" s="593"/>
      <c r="EQ23" s="593"/>
      <c r="ER23" s="527"/>
      <c r="ES23" s="22">
        <v>1209</v>
      </c>
      <c r="ET23" s="526">
        <v>1201</v>
      </c>
      <c r="EU23" s="593"/>
      <c r="EV23" s="593"/>
      <c r="EW23" s="527"/>
      <c r="EX23" s="22">
        <v>1192</v>
      </c>
      <c r="EY23" s="526">
        <v>1271</v>
      </c>
      <c r="EZ23" s="593"/>
      <c r="FA23" s="593"/>
      <c r="FB23" s="527"/>
      <c r="FC23" s="22">
        <v>1234</v>
      </c>
      <c r="FD23" s="492"/>
      <c r="FE23" s="528" t="s">
        <v>18</v>
      </c>
      <c r="FF23" s="466"/>
      <c r="FG23" s="466"/>
      <c r="FH23" s="466"/>
      <c r="FI23" s="467"/>
      <c r="FJ23" s="526">
        <v>1282</v>
      </c>
      <c r="FK23" s="593"/>
      <c r="FL23" s="593"/>
      <c r="FM23" s="527"/>
      <c r="FN23" s="22">
        <v>1228</v>
      </c>
      <c r="FO23" s="526">
        <v>1169</v>
      </c>
      <c r="FP23" s="593"/>
      <c r="FQ23" s="593"/>
      <c r="FR23" s="527"/>
      <c r="FS23" s="22">
        <v>1155</v>
      </c>
      <c r="FT23" s="526">
        <v>1098</v>
      </c>
      <c r="FU23" s="593"/>
      <c r="FV23" s="593"/>
      <c r="FW23" s="527"/>
      <c r="FX23" s="22">
        <v>1150</v>
      </c>
      <c r="FY23" s="526">
        <v>1125</v>
      </c>
      <c r="FZ23" s="593"/>
      <c r="GA23" s="593"/>
      <c r="GB23" s="527"/>
      <c r="GC23" s="22">
        <v>1074</v>
      </c>
      <c r="GD23" s="492"/>
      <c r="GE23" s="528" t="s">
        <v>18</v>
      </c>
      <c r="GF23" s="466"/>
      <c r="GG23" s="466"/>
      <c r="GH23" s="466"/>
      <c r="GI23" s="467"/>
      <c r="GJ23" s="526">
        <v>1125</v>
      </c>
      <c r="GK23" s="593"/>
      <c r="GL23" s="593"/>
      <c r="GM23" s="527"/>
      <c r="GN23" s="22">
        <v>1049</v>
      </c>
      <c r="GO23" s="526">
        <v>1302</v>
      </c>
      <c r="GP23" s="593"/>
      <c r="GQ23" s="593"/>
      <c r="GR23" s="527"/>
      <c r="GS23" s="22">
        <v>1275</v>
      </c>
      <c r="GT23" s="526">
        <v>1295</v>
      </c>
      <c r="GU23" s="593"/>
      <c r="GV23" s="593"/>
      <c r="GW23" s="527"/>
      <c r="GX23" s="22">
        <v>1211</v>
      </c>
      <c r="GY23" s="526">
        <v>1219</v>
      </c>
      <c r="GZ23" s="593"/>
      <c r="HA23" s="593"/>
      <c r="HB23" s="527"/>
      <c r="HC23" s="22">
        <v>958</v>
      </c>
      <c r="HD23" s="492"/>
      <c r="HE23" s="528" t="s">
        <v>18</v>
      </c>
      <c r="HF23" s="466"/>
      <c r="HG23" s="466"/>
      <c r="HH23" s="466"/>
      <c r="HI23" s="467"/>
      <c r="HJ23" s="526">
        <v>1121</v>
      </c>
      <c r="HK23" s="593"/>
      <c r="HL23" s="593"/>
      <c r="HM23" s="527"/>
      <c r="HN23" s="22">
        <v>932</v>
      </c>
      <c r="HO23" s="526">
        <v>1330</v>
      </c>
      <c r="HP23" s="593"/>
      <c r="HQ23" s="593"/>
      <c r="HR23" s="527"/>
      <c r="HS23" s="22">
        <v>1279</v>
      </c>
      <c r="HT23" s="526">
        <v>1257</v>
      </c>
      <c r="HU23" s="593"/>
      <c r="HV23" s="593"/>
      <c r="HW23" s="527"/>
      <c r="HX23" s="22">
        <v>1154</v>
      </c>
      <c r="HY23" s="526">
        <v>1300</v>
      </c>
      <c r="HZ23" s="593"/>
      <c r="IA23" s="593"/>
      <c r="IB23" s="527"/>
      <c r="IC23" s="22">
        <v>1299</v>
      </c>
      <c r="ID23" s="492"/>
      <c r="IE23" s="528" t="s">
        <v>18</v>
      </c>
      <c r="IF23" s="466"/>
      <c r="IG23" s="466"/>
      <c r="IH23" s="466"/>
      <c r="II23" s="467"/>
      <c r="IJ23" s="621">
        <v>1319</v>
      </c>
      <c r="IK23" s="622"/>
      <c r="IL23" s="622"/>
      <c r="IM23" s="623"/>
      <c r="IN23" s="22">
        <v>1321</v>
      </c>
      <c r="IO23" s="621">
        <v>1093</v>
      </c>
      <c r="IP23" s="622"/>
      <c r="IQ23" s="622"/>
      <c r="IR23" s="623"/>
      <c r="IS23" s="22">
        <v>1076</v>
      </c>
      <c r="IT23" s="621">
        <v>1346</v>
      </c>
      <c r="IU23" s="622"/>
      <c r="IV23" s="622"/>
      <c r="IW23" s="623"/>
      <c r="IX23" s="22">
        <v>1280</v>
      </c>
      <c r="IY23" s="621">
        <v>1339</v>
      </c>
      <c r="IZ23" s="622"/>
      <c r="JA23" s="622"/>
      <c r="JB23" s="623"/>
      <c r="JC23" s="22">
        <v>1230</v>
      </c>
      <c r="JD23" s="492"/>
      <c r="JE23" s="528" t="s">
        <v>18</v>
      </c>
      <c r="JF23" s="466"/>
      <c r="JG23" s="466"/>
      <c r="JH23" s="466"/>
      <c r="JI23" s="467"/>
      <c r="JJ23" s="621">
        <v>1314</v>
      </c>
      <c r="JK23" s="622"/>
      <c r="JL23" s="622"/>
      <c r="JM23" s="623"/>
      <c r="JN23" s="22">
        <v>1237</v>
      </c>
      <c r="JO23" s="621">
        <v>1313</v>
      </c>
      <c r="JP23" s="622"/>
      <c r="JQ23" s="622"/>
      <c r="JR23" s="623"/>
      <c r="JS23" s="22">
        <v>1186</v>
      </c>
      <c r="JT23" s="621">
        <v>1239</v>
      </c>
      <c r="JU23" s="622"/>
      <c r="JV23" s="622"/>
      <c r="JW23" s="623"/>
      <c r="JX23" s="22">
        <v>1193</v>
      </c>
      <c r="JY23" s="526">
        <v>1191</v>
      </c>
      <c r="JZ23" s="593"/>
      <c r="KA23" s="593"/>
      <c r="KB23" s="527"/>
      <c r="KC23" s="22">
        <v>1113</v>
      </c>
      <c r="KD23" s="492"/>
      <c r="KE23" s="528" t="s">
        <v>18</v>
      </c>
      <c r="KF23" s="466"/>
      <c r="KG23" s="466"/>
      <c r="KH23" s="466"/>
      <c r="KI23" s="467"/>
      <c r="KJ23" s="526">
        <v>1343</v>
      </c>
      <c r="KK23" s="593"/>
      <c r="KL23" s="593"/>
      <c r="KM23" s="527"/>
      <c r="KN23" s="22">
        <v>1260</v>
      </c>
      <c r="KO23" s="526">
        <v>1300</v>
      </c>
      <c r="KP23" s="593"/>
      <c r="KQ23" s="593"/>
      <c r="KR23" s="527"/>
      <c r="KS23" s="22">
        <v>1212</v>
      </c>
      <c r="KT23" s="526">
        <v>1194</v>
      </c>
      <c r="KU23" s="593"/>
      <c r="KV23" s="593"/>
      <c r="KW23" s="527"/>
      <c r="KX23" s="22">
        <v>1100</v>
      </c>
      <c r="KY23" s="526">
        <v>1293</v>
      </c>
      <c r="KZ23" s="593"/>
      <c r="LA23" s="593"/>
      <c r="LB23" s="527"/>
      <c r="LC23" s="22">
        <v>964</v>
      </c>
      <c r="LD23" s="492"/>
      <c r="LE23" s="528" t="s">
        <v>18</v>
      </c>
      <c r="LF23" s="466"/>
      <c r="LG23" s="466"/>
      <c r="LH23" s="466"/>
      <c r="LI23" s="467"/>
      <c r="LJ23" s="526">
        <v>1558</v>
      </c>
      <c r="LK23" s="593"/>
      <c r="LL23" s="593"/>
      <c r="LM23" s="527"/>
      <c r="LN23" s="22">
        <v>1505</v>
      </c>
      <c r="LO23" s="526">
        <v>1309</v>
      </c>
      <c r="LP23" s="593" t="s">
        <v>679</v>
      </c>
      <c r="LQ23" s="593" t="s">
        <v>679</v>
      </c>
      <c r="LR23" s="527" t="s">
        <v>679</v>
      </c>
      <c r="LS23" s="22">
        <v>1235</v>
      </c>
      <c r="LT23" s="526">
        <v>1194</v>
      </c>
      <c r="LU23" s="593" t="s">
        <v>679</v>
      </c>
      <c r="LV23" s="593" t="s">
        <v>679</v>
      </c>
      <c r="LW23" s="527" t="s">
        <v>679</v>
      </c>
      <c r="LX23" s="22">
        <v>1085</v>
      </c>
      <c r="LY23" s="526">
        <v>1125</v>
      </c>
      <c r="LZ23" s="593" t="s">
        <v>679</v>
      </c>
      <c r="MA23" s="593" t="s">
        <v>679</v>
      </c>
      <c r="MB23" s="527" t="s">
        <v>679</v>
      </c>
      <c r="MC23" s="22">
        <v>1122</v>
      </c>
      <c r="MD23" s="492"/>
      <c r="ME23" s="528" t="s">
        <v>18</v>
      </c>
      <c r="MF23" s="466"/>
      <c r="MG23" s="466"/>
      <c r="MH23" s="466"/>
      <c r="MI23" s="467"/>
      <c r="MJ23" s="526">
        <v>1064</v>
      </c>
      <c r="MK23" s="593"/>
      <c r="ML23" s="593"/>
      <c r="MM23" s="527"/>
      <c r="MN23" s="22">
        <v>1034</v>
      </c>
      <c r="MO23" s="526">
        <v>1114</v>
      </c>
      <c r="MP23" s="593"/>
      <c r="MQ23" s="593"/>
      <c r="MR23" s="527"/>
      <c r="MS23" s="22">
        <v>1101</v>
      </c>
      <c r="MT23" s="526">
        <v>1074</v>
      </c>
      <c r="MU23" s="593"/>
      <c r="MV23" s="593"/>
      <c r="MW23" s="527"/>
      <c r="MX23" s="22">
        <v>1058</v>
      </c>
      <c r="MY23" s="526">
        <v>1114</v>
      </c>
      <c r="MZ23" s="593"/>
      <c r="NA23" s="593"/>
      <c r="NB23" s="527"/>
      <c r="NC23" s="306"/>
      <c r="ND23" s="317"/>
      <c r="NE23" s="22">
        <v>1106</v>
      </c>
      <c r="NF23" s="492"/>
      <c r="NG23" s="528" t="s">
        <v>18</v>
      </c>
      <c r="NH23" s="466"/>
      <c r="NI23" s="466"/>
      <c r="NJ23" s="466"/>
      <c r="NK23" s="467"/>
      <c r="NL23" s="526">
        <v>1204.8</v>
      </c>
      <c r="NM23" s="593"/>
      <c r="NN23" s="593"/>
      <c r="NO23" s="527"/>
      <c r="NP23" s="22">
        <v>1197.5999999999999</v>
      </c>
      <c r="NQ23" s="526">
        <v>1220.2</v>
      </c>
      <c r="NR23" s="593"/>
      <c r="NS23" s="593"/>
      <c r="NT23" s="527"/>
      <c r="NU23" s="22">
        <v>1208</v>
      </c>
      <c r="NV23" s="526">
        <v>1339.2</v>
      </c>
      <c r="NW23" s="593"/>
      <c r="NX23" s="593"/>
      <c r="NY23" s="527"/>
      <c r="NZ23" s="22">
        <v>1298</v>
      </c>
      <c r="OA23" s="526">
        <v>1259.2</v>
      </c>
      <c r="OB23" s="593"/>
      <c r="OC23" s="593"/>
      <c r="OD23" s="527"/>
      <c r="OE23" s="326"/>
      <c r="OF23" s="326"/>
      <c r="OG23" s="22">
        <v>1175</v>
      </c>
      <c r="OH23" s="492"/>
      <c r="OI23" s="528" t="s">
        <v>18</v>
      </c>
      <c r="OJ23" s="466"/>
      <c r="OK23" s="466"/>
      <c r="OL23" s="466"/>
      <c r="OM23" s="467"/>
      <c r="ON23" s="526">
        <v>1472.2</v>
      </c>
      <c r="OO23" s="593"/>
      <c r="OP23" s="593"/>
      <c r="OQ23" s="527"/>
      <c r="OR23" s="22">
        <v>1521.4</v>
      </c>
      <c r="OS23" s="526">
        <v>1455.2</v>
      </c>
      <c r="OT23" s="593"/>
      <c r="OU23" s="593"/>
      <c r="OV23" s="527"/>
      <c r="OW23" s="22">
        <v>1480.2</v>
      </c>
      <c r="OX23" s="526">
        <v>1329.2</v>
      </c>
      <c r="OY23" s="593"/>
      <c r="OZ23" s="593"/>
      <c r="PA23" s="527"/>
      <c r="PB23" s="22">
        <v>1255.2</v>
      </c>
      <c r="PC23" s="526">
        <v>1250.2</v>
      </c>
      <c r="PD23" s="593"/>
      <c r="PE23" s="593"/>
      <c r="PF23" s="527"/>
      <c r="PG23" s="22">
        <v>1163</v>
      </c>
      <c r="PH23" s="492"/>
      <c r="PI23" s="528" t="s">
        <v>18</v>
      </c>
      <c r="PJ23" s="466"/>
      <c r="PK23" s="466"/>
      <c r="PL23" s="466"/>
      <c r="PM23" s="467"/>
      <c r="PN23" s="526">
        <v>1375.2</v>
      </c>
      <c r="PO23" s="593"/>
      <c r="PP23" s="593"/>
      <c r="PQ23" s="527"/>
      <c r="PR23" s="22">
        <v>1192.4000000000001</v>
      </c>
      <c r="PS23" s="526">
        <v>1300.2</v>
      </c>
      <c r="PT23" s="593"/>
      <c r="PU23" s="593"/>
      <c r="PV23" s="527"/>
      <c r="PW23" s="22">
        <v>1274</v>
      </c>
      <c r="PX23" s="526">
        <v>1412.2</v>
      </c>
      <c r="PY23" s="593"/>
      <c r="PZ23" s="593"/>
      <c r="QA23" s="527"/>
      <c r="QB23" s="22">
        <v>1373.2</v>
      </c>
      <c r="QC23" s="526">
        <v>1373.2</v>
      </c>
      <c r="QD23" s="593"/>
      <c r="QE23" s="593"/>
      <c r="QF23" s="527"/>
      <c r="QG23" s="22">
        <v>1301.4000000000001</v>
      </c>
      <c r="QH23" s="492"/>
      <c r="QI23" s="528" t="s">
        <v>18</v>
      </c>
      <c r="QJ23" s="466"/>
      <c r="QK23" s="466"/>
      <c r="QL23" s="466"/>
      <c r="QM23" s="467"/>
      <c r="QN23" s="526">
        <v>1415.2</v>
      </c>
      <c r="QO23" s="593"/>
      <c r="QP23" s="593"/>
      <c r="QQ23" s="527"/>
      <c r="QR23" s="22">
        <v>1443</v>
      </c>
      <c r="QS23" s="526">
        <v>1405.2</v>
      </c>
      <c r="QT23" s="593"/>
      <c r="QU23" s="593"/>
      <c r="QV23" s="527"/>
      <c r="QW23" s="22">
        <v>1380.8</v>
      </c>
      <c r="QX23" s="526">
        <v>1417.2</v>
      </c>
      <c r="QY23" s="593"/>
      <c r="QZ23" s="593"/>
      <c r="RA23" s="527"/>
      <c r="RB23" s="22">
        <v>1345</v>
      </c>
      <c r="RC23" s="526">
        <v>1375.2</v>
      </c>
      <c r="RD23" s="593"/>
      <c r="RE23" s="593"/>
      <c r="RF23" s="527"/>
      <c r="RG23" s="22">
        <v>1345</v>
      </c>
      <c r="RH23" s="492"/>
      <c r="RI23" s="528" t="s">
        <v>18</v>
      </c>
      <c r="RJ23" s="466"/>
      <c r="RK23" s="466"/>
      <c r="RL23" s="466"/>
      <c r="RM23" s="467"/>
      <c r="RN23" s="526">
        <v>1273.2</v>
      </c>
      <c r="RO23" s="593"/>
      <c r="RP23" s="593"/>
      <c r="RQ23" s="527"/>
      <c r="RR23" s="22">
        <v>1213.8</v>
      </c>
      <c r="RS23" s="526">
        <v>1185.2</v>
      </c>
      <c r="RT23" s="593"/>
      <c r="RU23" s="593"/>
      <c r="RV23" s="527"/>
      <c r="RW23" s="22">
        <v>1096</v>
      </c>
      <c r="RX23" s="526">
        <v>1397.2</v>
      </c>
      <c r="RY23" s="593"/>
      <c r="RZ23" s="593"/>
      <c r="SA23" s="527"/>
      <c r="SB23" s="22">
        <v>1279.5999999999999</v>
      </c>
      <c r="SC23" s="526">
        <v>1374.2</v>
      </c>
      <c r="SD23" s="593"/>
      <c r="SE23" s="593"/>
      <c r="SF23" s="527"/>
      <c r="SG23" s="22">
        <v>1342.4</v>
      </c>
      <c r="SH23" s="492"/>
      <c r="SI23" s="528" t="s">
        <v>18</v>
      </c>
      <c r="SJ23" s="466"/>
      <c r="SK23" s="466"/>
      <c r="SL23" s="466"/>
      <c r="SM23" s="467"/>
      <c r="SN23" s="526">
        <v>1377.2</v>
      </c>
      <c r="SO23" s="593"/>
      <c r="SP23" s="593"/>
      <c r="SQ23" s="527"/>
      <c r="SR23" s="22">
        <v>1337.8</v>
      </c>
      <c r="SS23" s="526">
        <v>1397.2</v>
      </c>
      <c r="ST23" s="593"/>
      <c r="SU23" s="593"/>
      <c r="SV23" s="527"/>
      <c r="SW23" s="22">
        <v>1242.4000000000001</v>
      </c>
      <c r="SX23" s="526">
        <v>1417.2</v>
      </c>
      <c r="SY23" s="593"/>
      <c r="SZ23" s="593"/>
      <c r="TA23" s="527"/>
      <c r="TB23" s="22">
        <v>1376</v>
      </c>
      <c r="TC23" s="526">
        <v>1424.2</v>
      </c>
      <c r="TD23" s="593"/>
      <c r="TE23" s="593"/>
      <c r="TF23" s="527"/>
      <c r="TG23" s="22">
        <v>1387</v>
      </c>
      <c r="TH23" s="492"/>
      <c r="TI23" s="528" t="s">
        <v>18</v>
      </c>
      <c r="TJ23" s="466"/>
      <c r="TK23" s="466"/>
      <c r="TL23" s="466"/>
      <c r="TM23" s="467"/>
      <c r="TN23" s="526">
        <v>1337.1</v>
      </c>
      <c r="TO23" s="593"/>
      <c r="TP23" s="593"/>
      <c r="TQ23" s="527"/>
      <c r="TR23" s="22">
        <v>1342.8000000000002</v>
      </c>
      <c r="TS23" s="526">
        <v>1342.8000000000002</v>
      </c>
      <c r="TT23" s="593"/>
      <c r="TU23" s="593"/>
      <c r="TV23" s="527"/>
      <c r="TW23" s="526">
        <v>1377.2</v>
      </c>
      <c r="TX23" s="593"/>
      <c r="TY23" s="593"/>
      <c r="TZ23" s="527"/>
      <c r="UA23" s="22">
        <v>1291.4000000000001</v>
      </c>
      <c r="UB23" s="526">
        <v>1331.7</v>
      </c>
      <c r="UC23" s="593"/>
      <c r="UD23" s="593"/>
      <c r="UE23" s="527"/>
      <c r="UF23" s="22">
        <v>1318.2</v>
      </c>
      <c r="UG23" s="526">
        <v>1182.7</v>
      </c>
      <c r="UH23" s="593"/>
      <c r="UI23" s="593"/>
      <c r="UJ23" s="527"/>
      <c r="UK23" s="22">
        <v>1156.5999999999999</v>
      </c>
      <c r="UL23" s="492"/>
      <c r="UM23" s="528" t="s">
        <v>18</v>
      </c>
      <c r="UN23" s="466"/>
      <c r="UO23" s="466"/>
      <c r="UP23" s="466"/>
      <c r="UQ23" s="467"/>
      <c r="UR23" s="526">
        <v>1157.7</v>
      </c>
      <c r="US23" s="593"/>
      <c r="UT23" s="593"/>
      <c r="UU23" s="527"/>
      <c r="UV23" s="22">
        <v>997.4</v>
      </c>
      <c r="UW23" s="526">
        <v>1322</v>
      </c>
      <c r="UX23" s="593"/>
      <c r="UY23" s="593"/>
      <c r="UZ23" s="527"/>
      <c r="VA23" s="22">
        <v>1262.5999999999999</v>
      </c>
      <c r="VB23" s="526">
        <v>1301.7</v>
      </c>
      <c r="VC23" s="593"/>
      <c r="VD23" s="593"/>
      <c r="VE23" s="527"/>
      <c r="VF23" s="22">
        <v>1261</v>
      </c>
      <c r="VG23" s="526"/>
      <c r="VH23" s="593"/>
      <c r="VI23" s="593"/>
      <c r="VJ23" s="527"/>
      <c r="VK23" s="22"/>
      <c r="VL23" s="22"/>
      <c r="VM23" s="526" t="str">
        <f>IF(VM20="","",VM20+VM21+VM22)</f>
        <v/>
      </c>
      <c r="VN23" s="593"/>
      <c r="VO23" s="593"/>
      <c r="VP23" s="527"/>
      <c r="VQ23" s="22" t="str">
        <f>IF(VQ20="","",VQ20+VQ21+VQ22)</f>
        <v/>
      </c>
      <c r="VR23" s="191"/>
    </row>
    <row r="24" spans="1:590" ht="45" customHeight="1" x14ac:dyDescent="0.4">
      <c r="A24" s="492"/>
      <c r="B24" s="512" t="s">
        <v>69</v>
      </c>
      <c r="C24" s="458"/>
      <c r="D24" s="458"/>
      <c r="E24" s="458"/>
      <c r="F24" s="25" t="s">
        <v>6</v>
      </c>
      <c r="G24" s="532">
        <v>1511</v>
      </c>
      <c r="H24" s="594"/>
      <c r="I24" s="594"/>
      <c r="J24" s="533"/>
      <c r="K24" s="84">
        <v>1441</v>
      </c>
      <c r="L24" s="532">
        <v>1311</v>
      </c>
      <c r="M24" s="594"/>
      <c r="N24" s="594"/>
      <c r="O24" s="533"/>
      <c r="P24" s="84">
        <v>1196</v>
      </c>
      <c r="Q24" s="532">
        <v>1432</v>
      </c>
      <c r="R24" s="594"/>
      <c r="S24" s="594"/>
      <c r="T24" s="533"/>
      <c r="U24" s="84">
        <v>1352</v>
      </c>
      <c r="V24" s="532">
        <v>1364</v>
      </c>
      <c r="W24" s="594"/>
      <c r="X24" s="594"/>
      <c r="Y24" s="533"/>
      <c r="Z24" s="84">
        <v>1354</v>
      </c>
      <c r="AA24" s="492"/>
      <c r="AB24" s="512" t="s">
        <v>69</v>
      </c>
      <c r="AC24" s="458"/>
      <c r="AD24" s="458"/>
      <c r="AE24" s="458"/>
      <c r="AF24" s="25" t="s">
        <v>6</v>
      </c>
      <c r="AG24" s="532">
        <v>1466</v>
      </c>
      <c r="AH24" s="594"/>
      <c r="AI24" s="594"/>
      <c r="AJ24" s="533"/>
      <c r="AK24" s="84">
        <v>1435</v>
      </c>
      <c r="AL24" s="532">
        <v>1475</v>
      </c>
      <c r="AM24" s="594"/>
      <c r="AN24" s="594"/>
      <c r="AO24" s="533"/>
      <c r="AP24" s="84">
        <v>1408</v>
      </c>
      <c r="AQ24" s="532">
        <v>1456</v>
      </c>
      <c r="AR24" s="594"/>
      <c r="AS24" s="594"/>
      <c r="AT24" s="533"/>
      <c r="AU24" s="84">
        <v>1363</v>
      </c>
      <c r="AV24" s="532">
        <v>1423</v>
      </c>
      <c r="AW24" s="594"/>
      <c r="AX24" s="594"/>
      <c r="AY24" s="533"/>
      <c r="AZ24" s="84">
        <v>1315</v>
      </c>
      <c r="BA24" s="492"/>
      <c r="BB24" s="458" t="s">
        <v>69</v>
      </c>
      <c r="BC24" s="458"/>
      <c r="BD24" s="458"/>
      <c r="BE24" s="458"/>
      <c r="BF24" s="25" t="s">
        <v>6</v>
      </c>
      <c r="BG24" s="532">
        <v>1466</v>
      </c>
      <c r="BH24" s="594"/>
      <c r="BI24" s="594"/>
      <c r="BJ24" s="533"/>
      <c r="BK24" s="84">
        <v>1307</v>
      </c>
      <c r="BL24" s="532">
        <v>1206</v>
      </c>
      <c r="BM24" s="594"/>
      <c r="BN24" s="594"/>
      <c r="BO24" s="533"/>
      <c r="BP24" s="84">
        <v>1155</v>
      </c>
      <c r="BQ24" s="532">
        <v>1492</v>
      </c>
      <c r="BR24" s="594"/>
      <c r="BS24" s="594"/>
      <c r="BT24" s="533"/>
      <c r="BU24" s="84">
        <v>1482</v>
      </c>
      <c r="BV24" s="532">
        <v>1270</v>
      </c>
      <c r="BW24" s="594"/>
      <c r="BX24" s="594"/>
      <c r="BY24" s="533"/>
      <c r="BZ24" s="84">
        <v>1293</v>
      </c>
      <c r="CA24" s="492"/>
      <c r="CB24" s="512" t="s">
        <v>69</v>
      </c>
      <c r="CC24" s="458"/>
      <c r="CD24" s="458"/>
      <c r="CE24" s="458"/>
      <c r="CF24" s="25" t="s">
        <v>6</v>
      </c>
      <c r="CG24" s="532">
        <v>1501</v>
      </c>
      <c r="CH24" s="594"/>
      <c r="CI24" s="594"/>
      <c r="CJ24" s="533"/>
      <c r="CK24" s="84">
        <v>1381</v>
      </c>
      <c r="CL24" s="532">
        <v>1426</v>
      </c>
      <c r="CM24" s="594"/>
      <c r="CN24" s="594"/>
      <c r="CO24" s="533"/>
      <c r="CP24" s="84">
        <v>1346</v>
      </c>
      <c r="CQ24" s="532">
        <v>1424</v>
      </c>
      <c r="CR24" s="594"/>
      <c r="CS24" s="594"/>
      <c r="CT24" s="533"/>
      <c r="CU24" s="84">
        <v>1328</v>
      </c>
      <c r="CV24" s="532">
        <v>1324</v>
      </c>
      <c r="CW24" s="594"/>
      <c r="CX24" s="594"/>
      <c r="CY24" s="533"/>
      <c r="CZ24" s="532">
        <v>1319</v>
      </c>
      <c r="DA24" s="594"/>
      <c r="DB24" s="594"/>
      <c r="DC24" s="533"/>
      <c r="DD24" s="492"/>
      <c r="DE24" s="512" t="s">
        <v>69</v>
      </c>
      <c r="DF24" s="458"/>
      <c r="DG24" s="458"/>
      <c r="DH24" s="458"/>
      <c r="DI24" s="25" t="s">
        <v>6</v>
      </c>
      <c r="DJ24" s="532">
        <v>1507</v>
      </c>
      <c r="DK24" s="594"/>
      <c r="DL24" s="594"/>
      <c r="DM24" s="533"/>
      <c r="DN24" s="247">
        <v>1492</v>
      </c>
      <c r="DO24" s="532">
        <v>1449</v>
      </c>
      <c r="DP24" s="594"/>
      <c r="DQ24" s="594"/>
      <c r="DR24" s="533"/>
      <c r="DS24" s="84">
        <v>1503</v>
      </c>
      <c r="DT24" s="532">
        <v>1466</v>
      </c>
      <c r="DU24" s="594"/>
      <c r="DV24" s="594"/>
      <c r="DW24" s="533"/>
      <c r="DX24" s="84">
        <v>1384</v>
      </c>
      <c r="DY24" s="532">
        <v>1215.8</v>
      </c>
      <c r="DZ24" s="594"/>
      <c r="EA24" s="594"/>
      <c r="EB24" s="533"/>
      <c r="EC24" s="84">
        <v>923</v>
      </c>
      <c r="ED24" s="492"/>
      <c r="EE24" s="512" t="s">
        <v>69</v>
      </c>
      <c r="EF24" s="458"/>
      <c r="EG24" s="458"/>
      <c r="EH24" s="458"/>
      <c r="EI24" s="25" t="s">
        <v>6</v>
      </c>
      <c r="EJ24" s="532">
        <v>1452</v>
      </c>
      <c r="EK24" s="594"/>
      <c r="EL24" s="594"/>
      <c r="EM24" s="533"/>
      <c r="EN24" s="84">
        <v>1348</v>
      </c>
      <c r="EO24" s="532">
        <v>1449</v>
      </c>
      <c r="EP24" s="594"/>
      <c r="EQ24" s="594"/>
      <c r="ER24" s="533"/>
      <c r="ES24" s="84">
        <v>1303</v>
      </c>
      <c r="ET24" s="532">
        <v>1410.4</v>
      </c>
      <c r="EU24" s="594"/>
      <c r="EV24" s="594"/>
      <c r="EW24" s="533"/>
      <c r="EX24" s="252">
        <v>1371</v>
      </c>
      <c r="EY24" s="532">
        <v>1407</v>
      </c>
      <c r="EZ24" s="594"/>
      <c r="FA24" s="594"/>
      <c r="FB24" s="533"/>
      <c r="FC24" s="84">
        <v>1371</v>
      </c>
      <c r="FD24" s="492"/>
      <c r="FE24" s="512" t="s">
        <v>69</v>
      </c>
      <c r="FF24" s="458"/>
      <c r="FG24" s="458"/>
      <c r="FH24" s="458"/>
      <c r="FI24" s="25" t="s">
        <v>6</v>
      </c>
      <c r="FJ24" s="532">
        <v>1366</v>
      </c>
      <c r="FK24" s="594"/>
      <c r="FL24" s="594"/>
      <c r="FM24" s="533"/>
      <c r="FN24" s="84">
        <v>1307</v>
      </c>
      <c r="FO24" s="532">
        <v>1325</v>
      </c>
      <c r="FP24" s="594"/>
      <c r="FQ24" s="594"/>
      <c r="FR24" s="533"/>
      <c r="FS24" s="84">
        <v>1245</v>
      </c>
      <c r="FT24" s="532">
        <v>1334</v>
      </c>
      <c r="FU24" s="594"/>
      <c r="FV24" s="594"/>
      <c r="FW24" s="533"/>
      <c r="FX24" s="84">
        <v>1216</v>
      </c>
      <c r="FY24" s="532">
        <v>1377</v>
      </c>
      <c r="FZ24" s="594"/>
      <c r="GA24" s="594"/>
      <c r="GB24" s="533"/>
      <c r="GC24" s="84">
        <v>1226</v>
      </c>
      <c r="GD24" s="492"/>
      <c r="GE24" s="512" t="s">
        <v>69</v>
      </c>
      <c r="GF24" s="458"/>
      <c r="GG24" s="458"/>
      <c r="GH24" s="458"/>
      <c r="GI24" s="25" t="s">
        <v>6</v>
      </c>
      <c r="GJ24" s="532">
        <v>1383.3</v>
      </c>
      <c r="GK24" s="594"/>
      <c r="GL24" s="594"/>
      <c r="GM24" s="533"/>
      <c r="GN24" s="84">
        <v>1200</v>
      </c>
      <c r="GO24" s="532">
        <v>1473</v>
      </c>
      <c r="GP24" s="594"/>
      <c r="GQ24" s="594"/>
      <c r="GR24" s="533"/>
      <c r="GS24" s="84">
        <v>1446</v>
      </c>
      <c r="GT24" s="532">
        <v>1484</v>
      </c>
      <c r="GU24" s="594"/>
      <c r="GV24" s="594"/>
      <c r="GW24" s="533"/>
      <c r="GX24" s="84">
        <v>1352</v>
      </c>
      <c r="GY24" s="532">
        <v>1273</v>
      </c>
      <c r="GZ24" s="594"/>
      <c r="HA24" s="594"/>
      <c r="HB24" s="533"/>
      <c r="HC24" s="84">
        <v>958</v>
      </c>
      <c r="HD24" s="492"/>
      <c r="HE24" s="512" t="s">
        <v>69</v>
      </c>
      <c r="HF24" s="458"/>
      <c r="HG24" s="458"/>
      <c r="HH24" s="458"/>
      <c r="HI24" s="25" t="s">
        <v>6</v>
      </c>
      <c r="HJ24" s="532">
        <v>1260</v>
      </c>
      <c r="HK24" s="594"/>
      <c r="HL24" s="594"/>
      <c r="HM24" s="533"/>
      <c r="HN24" s="84">
        <v>932</v>
      </c>
      <c r="HO24" s="532">
        <v>1482</v>
      </c>
      <c r="HP24" s="594"/>
      <c r="HQ24" s="594"/>
      <c r="HR24" s="533"/>
      <c r="HS24" s="84">
        <v>1454</v>
      </c>
      <c r="HT24" s="532">
        <v>1471</v>
      </c>
      <c r="HU24" s="594"/>
      <c r="HV24" s="594"/>
      <c r="HW24" s="533"/>
      <c r="HX24" s="84">
        <v>1172</v>
      </c>
      <c r="HY24" s="532">
        <v>1483</v>
      </c>
      <c r="HZ24" s="594"/>
      <c r="IA24" s="594"/>
      <c r="IB24" s="533"/>
      <c r="IC24" s="84">
        <v>1462</v>
      </c>
      <c r="ID24" s="492"/>
      <c r="IE24" s="512" t="s">
        <v>69</v>
      </c>
      <c r="IF24" s="458"/>
      <c r="IG24" s="458"/>
      <c r="IH24" s="458"/>
      <c r="II24" s="25" t="s">
        <v>6</v>
      </c>
      <c r="IJ24" s="636">
        <v>1484</v>
      </c>
      <c r="IK24" s="637"/>
      <c r="IL24" s="637"/>
      <c r="IM24" s="638"/>
      <c r="IN24" s="84">
        <v>1438</v>
      </c>
      <c r="IO24" s="532">
        <v>1336</v>
      </c>
      <c r="IP24" s="594"/>
      <c r="IQ24" s="594"/>
      <c r="IR24" s="533"/>
      <c r="IS24" s="84">
        <v>1280</v>
      </c>
      <c r="IT24" s="532">
        <v>1531</v>
      </c>
      <c r="IU24" s="594"/>
      <c r="IV24" s="594"/>
      <c r="IW24" s="533"/>
      <c r="IX24" s="84">
        <v>1420</v>
      </c>
      <c r="IY24" s="532">
        <v>1448</v>
      </c>
      <c r="IZ24" s="594"/>
      <c r="JA24" s="594"/>
      <c r="JB24" s="533"/>
      <c r="JC24" s="84">
        <v>1297</v>
      </c>
      <c r="JD24" s="492"/>
      <c r="JE24" s="512" t="s">
        <v>69</v>
      </c>
      <c r="JF24" s="458"/>
      <c r="JG24" s="458"/>
      <c r="JH24" s="458"/>
      <c r="JI24" s="25" t="s">
        <v>6</v>
      </c>
      <c r="JJ24" s="532">
        <v>1486</v>
      </c>
      <c r="JK24" s="594"/>
      <c r="JL24" s="594"/>
      <c r="JM24" s="533"/>
      <c r="JN24" s="84">
        <v>1313</v>
      </c>
      <c r="JO24" s="532">
        <v>1436</v>
      </c>
      <c r="JP24" s="594"/>
      <c r="JQ24" s="594"/>
      <c r="JR24" s="533"/>
      <c r="JS24" s="84">
        <v>1186</v>
      </c>
      <c r="JT24" s="532">
        <v>1351</v>
      </c>
      <c r="JU24" s="594"/>
      <c r="JV24" s="594"/>
      <c r="JW24" s="533"/>
      <c r="JX24" s="84">
        <v>1193</v>
      </c>
      <c r="JY24" s="532">
        <v>1395</v>
      </c>
      <c r="JZ24" s="594"/>
      <c r="KA24" s="594"/>
      <c r="KB24" s="533"/>
      <c r="KC24" s="84">
        <v>1251</v>
      </c>
      <c r="KD24" s="492"/>
      <c r="KE24" s="512" t="s">
        <v>69</v>
      </c>
      <c r="KF24" s="458"/>
      <c r="KG24" s="458"/>
      <c r="KH24" s="458"/>
      <c r="KI24" s="25" t="s">
        <v>6</v>
      </c>
      <c r="KJ24" s="532">
        <v>1353</v>
      </c>
      <c r="KK24" s="594"/>
      <c r="KL24" s="594"/>
      <c r="KM24" s="533"/>
      <c r="KN24" s="84">
        <v>1260</v>
      </c>
      <c r="KO24" s="532">
        <v>1326</v>
      </c>
      <c r="KP24" s="594"/>
      <c r="KQ24" s="594"/>
      <c r="KR24" s="533"/>
      <c r="KS24" s="84">
        <v>1254</v>
      </c>
      <c r="KT24" s="532">
        <v>1236</v>
      </c>
      <c r="KU24" s="594"/>
      <c r="KV24" s="594"/>
      <c r="KW24" s="533"/>
      <c r="KX24" s="84">
        <v>1100</v>
      </c>
      <c r="KY24" s="532">
        <v>1362</v>
      </c>
      <c r="KZ24" s="594"/>
      <c r="LA24" s="594"/>
      <c r="LB24" s="533"/>
      <c r="LC24" s="297">
        <v>964</v>
      </c>
      <c r="LD24" s="492"/>
      <c r="LE24" s="512" t="s">
        <v>69</v>
      </c>
      <c r="LF24" s="458"/>
      <c r="LG24" s="458"/>
      <c r="LH24" s="458"/>
      <c r="LI24" s="25" t="s">
        <v>6</v>
      </c>
      <c r="LJ24" s="532">
        <v>1587</v>
      </c>
      <c r="LK24" s="594"/>
      <c r="LL24" s="594"/>
      <c r="LM24" s="533"/>
      <c r="LN24" s="84">
        <v>1547</v>
      </c>
      <c r="LO24" s="532">
        <v>1361</v>
      </c>
      <c r="LP24" s="594"/>
      <c r="LQ24" s="594"/>
      <c r="LR24" s="533"/>
      <c r="LS24" s="84">
        <v>1235</v>
      </c>
      <c r="LT24" s="532">
        <v>1256</v>
      </c>
      <c r="LU24" s="594"/>
      <c r="LV24" s="594"/>
      <c r="LW24" s="533"/>
      <c r="LX24" s="84">
        <v>1085</v>
      </c>
      <c r="LY24" s="532">
        <v>1236</v>
      </c>
      <c r="LZ24" s="594"/>
      <c r="MA24" s="594"/>
      <c r="MB24" s="533"/>
      <c r="MC24" s="84">
        <v>1146</v>
      </c>
      <c r="MD24" s="492"/>
      <c r="ME24" s="512" t="s">
        <v>69</v>
      </c>
      <c r="MF24" s="458"/>
      <c r="MG24" s="458"/>
      <c r="MH24" s="458"/>
      <c r="MI24" s="25" t="s">
        <v>6</v>
      </c>
      <c r="MJ24" s="532">
        <v>1122</v>
      </c>
      <c r="MK24" s="594"/>
      <c r="ML24" s="594"/>
      <c r="MM24" s="533"/>
      <c r="MN24" s="84">
        <v>1034</v>
      </c>
      <c r="MO24" s="532">
        <v>1182.2</v>
      </c>
      <c r="MP24" s="594"/>
      <c r="MQ24" s="594"/>
      <c r="MR24" s="533"/>
      <c r="MS24" s="84">
        <v>1101</v>
      </c>
      <c r="MT24" s="532">
        <v>1159.7</v>
      </c>
      <c r="MU24" s="594"/>
      <c r="MV24" s="594"/>
      <c r="MW24" s="533"/>
      <c r="MX24" s="84">
        <v>1096</v>
      </c>
      <c r="MY24" s="532">
        <v>1169</v>
      </c>
      <c r="MZ24" s="594"/>
      <c r="NA24" s="594"/>
      <c r="NB24" s="533"/>
      <c r="NC24" s="307"/>
      <c r="ND24" s="323"/>
      <c r="NE24" s="84">
        <v>1106</v>
      </c>
      <c r="NF24" s="492"/>
      <c r="NG24" s="512" t="s">
        <v>69</v>
      </c>
      <c r="NH24" s="458"/>
      <c r="NI24" s="458"/>
      <c r="NJ24" s="458"/>
      <c r="NK24" s="25" t="s">
        <v>6</v>
      </c>
      <c r="NL24" s="532">
        <v>1256</v>
      </c>
      <c r="NM24" s="594"/>
      <c r="NN24" s="594"/>
      <c r="NO24" s="533"/>
      <c r="NP24" s="84">
        <v>1197.5999999999999</v>
      </c>
      <c r="NQ24" s="532">
        <v>1256.9000000000001</v>
      </c>
      <c r="NR24" s="594"/>
      <c r="NS24" s="594"/>
      <c r="NT24" s="533"/>
      <c r="NU24" s="84">
        <v>1227</v>
      </c>
      <c r="NV24" s="532">
        <v>1363.3</v>
      </c>
      <c r="NW24" s="594"/>
      <c r="NX24" s="594"/>
      <c r="NY24" s="533"/>
      <c r="NZ24" s="84">
        <v>1298</v>
      </c>
      <c r="OA24" s="532">
        <v>1410.4</v>
      </c>
      <c r="OB24" s="594"/>
      <c r="OC24" s="594"/>
      <c r="OD24" s="533"/>
      <c r="OE24" s="327"/>
      <c r="OF24" s="327"/>
      <c r="OG24" s="84">
        <v>1267</v>
      </c>
      <c r="OH24" s="492"/>
      <c r="OI24" s="512" t="s">
        <v>69</v>
      </c>
      <c r="OJ24" s="458"/>
      <c r="OK24" s="458"/>
      <c r="OL24" s="458"/>
      <c r="OM24" s="25" t="s">
        <v>6</v>
      </c>
      <c r="ON24" s="532">
        <v>1525.88</v>
      </c>
      <c r="OO24" s="594"/>
      <c r="OP24" s="594"/>
      <c r="OQ24" s="533"/>
      <c r="OR24" s="84">
        <v>1521.3999999999999</v>
      </c>
      <c r="OS24" s="532">
        <v>1520.2</v>
      </c>
      <c r="OT24" s="594"/>
      <c r="OU24" s="594"/>
      <c r="OV24" s="533"/>
      <c r="OW24" s="84">
        <v>1480.2</v>
      </c>
      <c r="OX24" s="532">
        <v>1451.29</v>
      </c>
      <c r="OY24" s="594"/>
      <c r="OZ24" s="594"/>
      <c r="PA24" s="533"/>
      <c r="PB24" s="84">
        <v>1331</v>
      </c>
      <c r="PC24" s="532">
        <v>1445.4</v>
      </c>
      <c r="PD24" s="594"/>
      <c r="PE24" s="594"/>
      <c r="PF24" s="533"/>
      <c r="PG24" s="84">
        <v>1356.3</v>
      </c>
      <c r="PH24" s="492"/>
      <c r="PI24" s="512" t="s">
        <v>69</v>
      </c>
      <c r="PJ24" s="458"/>
      <c r="PK24" s="458"/>
      <c r="PL24" s="458"/>
      <c r="PM24" s="25" t="s">
        <v>6</v>
      </c>
      <c r="PN24" s="532">
        <v>1490.8</v>
      </c>
      <c r="PO24" s="594"/>
      <c r="PP24" s="594"/>
      <c r="PQ24" s="533"/>
      <c r="PR24" s="84">
        <v>1192.4000000000001</v>
      </c>
      <c r="PS24" s="532">
        <v>1426.47</v>
      </c>
      <c r="PT24" s="594"/>
      <c r="PU24" s="594"/>
      <c r="PV24" s="533"/>
      <c r="PW24" s="84">
        <v>1362.9</v>
      </c>
      <c r="PX24" s="532">
        <v>1513</v>
      </c>
      <c r="PY24" s="594"/>
      <c r="PZ24" s="594"/>
      <c r="QA24" s="533"/>
      <c r="QB24" s="84">
        <v>1448.1931999999999</v>
      </c>
      <c r="QC24" s="532">
        <v>1392.3000000000002</v>
      </c>
      <c r="QD24" s="594"/>
      <c r="QE24" s="594"/>
      <c r="QF24" s="533"/>
      <c r="QG24" s="84">
        <v>1301.4000000000001</v>
      </c>
      <c r="QH24" s="492"/>
      <c r="QI24" s="512" t="s">
        <v>69</v>
      </c>
      <c r="QJ24" s="458"/>
      <c r="QK24" s="458"/>
      <c r="QL24" s="458"/>
      <c r="QM24" s="25" t="s">
        <v>6</v>
      </c>
      <c r="QN24" s="605">
        <v>1509.1</v>
      </c>
      <c r="QO24" s="606"/>
      <c r="QP24" s="606"/>
      <c r="QQ24" s="607"/>
      <c r="QR24" s="84">
        <v>1442.6</v>
      </c>
      <c r="QS24" s="532">
        <v>1441.9</v>
      </c>
      <c r="QT24" s="594"/>
      <c r="QU24" s="594"/>
      <c r="QV24" s="533"/>
      <c r="QW24" s="84">
        <v>1380.8</v>
      </c>
      <c r="QX24" s="532">
        <v>1502.7</v>
      </c>
      <c r="QY24" s="594"/>
      <c r="QZ24" s="594"/>
      <c r="RA24" s="533"/>
      <c r="RB24" s="84">
        <v>1395.8</v>
      </c>
      <c r="RC24" s="532">
        <v>1400</v>
      </c>
      <c r="RD24" s="594"/>
      <c r="RE24" s="594"/>
      <c r="RF24" s="533"/>
      <c r="RG24" s="84">
        <v>1345</v>
      </c>
      <c r="RH24" s="492"/>
      <c r="RI24" s="512" t="s">
        <v>69</v>
      </c>
      <c r="RJ24" s="458"/>
      <c r="RK24" s="458"/>
      <c r="RL24" s="458"/>
      <c r="RM24" s="25" t="s">
        <v>6</v>
      </c>
      <c r="RN24" s="532">
        <v>1370.9</v>
      </c>
      <c r="RO24" s="594"/>
      <c r="RP24" s="594"/>
      <c r="RQ24" s="533"/>
      <c r="RR24" s="84">
        <v>1214</v>
      </c>
      <c r="RS24" s="532">
        <v>1374.3000000000002</v>
      </c>
      <c r="RT24" s="594"/>
      <c r="RU24" s="594"/>
      <c r="RV24" s="533"/>
      <c r="RW24" s="84">
        <v>1171</v>
      </c>
      <c r="RX24" s="532">
        <v>1454.7</v>
      </c>
      <c r="RY24" s="594"/>
      <c r="RZ24" s="594"/>
      <c r="SA24" s="533"/>
      <c r="SB24" s="84">
        <v>1302.2</v>
      </c>
      <c r="SC24" s="532">
        <v>1428</v>
      </c>
      <c r="SD24" s="594"/>
      <c r="SE24" s="594"/>
      <c r="SF24" s="533"/>
      <c r="SG24" s="84">
        <v>1393</v>
      </c>
      <c r="SH24" s="492"/>
      <c r="SI24" s="512" t="s">
        <v>69</v>
      </c>
      <c r="SJ24" s="458"/>
      <c r="SK24" s="458"/>
      <c r="SL24" s="458"/>
      <c r="SM24" s="25" t="s">
        <v>6</v>
      </c>
      <c r="SN24" s="532">
        <v>1497.7</v>
      </c>
      <c r="SO24" s="594"/>
      <c r="SP24" s="594"/>
      <c r="SQ24" s="533"/>
      <c r="SR24" s="84">
        <v>1337.8</v>
      </c>
      <c r="SS24" s="532">
        <v>1461.4</v>
      </c>
      <c r="ST24" s="594"/>
      <c r="SU24" s="594"/>
      <c r="SV24" s="533"/>
      <c r="SW24" s="84">
        <v>1242.4000000000001</v>
      </c>
      <c r="SX24" s="532">
        <v>1582.7</v>
      </c>
      <c r="SY24" s="594"/>
      <c r="SZ24" s="594"/>
      <c r="TA24" s="533"/>
      <c r="TB24" s="84">
        <v>1401</v>
      </c>
      <c r="TC24" s="532">
        <v>1591.3000000000002</v>
      </c>
      <c r="TD24" s="594"/>
      <c r="TE24" s="594"/>
      <c r="TF24" s="533"/>
      <c r="TG24" s="84">
        <v>1586</v>
      </c>
      <c r="TH24" s="492"/>
      <c r="TI24" s="512" t="s">
        <v>69</v>
      </c>
      <c r="TJ24" s="458"/>
      <c r="TK24" s="458"/>
      <c r="TL24" s="458"/>
      <c r="TM24" s="25" t="s">
        <v>6</v>
      </c>
      <c r="TN24" s="532">
        <v>1477.1999999999998</v>
      </c>
      <c r="TO24" s="594"/>
      <c r="TP24" s="594"/>
      <c r="TQ24" s="533"/>
      <c r="TR24" s="84">
        <v>1429.2999999999997</v>
      </c>
      <c r="TS24" s="532">
        <v>1425.3</v>
      </c>
      <c r="TT24" s="594"/>
      <c r="TU24" s="594"/>
      <c r="TV24" s="533"/>
      <c r="TW24" s="532">
        <v>1592.5000000000002</v>
      </c>
      <c r="TX24" s="594"/>
      <c r="TY24" s="594"/>
      <c r="TZ24" s="533"/>
      <c r="UA24" s="84">
        <v>1506</v>
      </c>
      <c r="UB24" s="532">
        <v>1604.1</v>
      </c>
      <c r="UC24" s="594"/>
      <c r="UD24" s="594"/>
      <c r="UE24" s="533"/>
      <c r="UF24" s="84">
        <v>1584.2</v>
      </c>
      <c r="UG24" s="532">
        <v>1568.5</v>
      </c>
      <c r="UH24" s="594"/>
      <c r="UI24" s="594"/>
      <c r="UJ24" s="533"/>
      <c r="UK24" s="84">
        <v>1461.6</v>
      </c>
      <c r="UL24" s="492"/>
      <c r="UM24" s="512" t="s">
        <v>69</v>
      </c>
      <c r="UN24" s="458"/>
      <c r="UO24" s="458"/>
      <c r="UP24" s="458"/>
      <c r="UQ24" s="25" t="s">
        <v>6</v>
      </c>
      <c r="UR24" s="532">
        <v>1345.6</v>
      </c>
      <c r="US24" s="594"/>
      <c r="UT24" s="594"/>
      <c r="UU24" s="533"/>
      <c r="UV24" s="84">
        <v>997.1</v>
      </c>
      <c r="UW24" s="532">
        <v>1549.2</v>
      </c>
      <c r="UX24" s="594"/>
      <c r="UY24" s="594"/>
      <c r="UZ24" s="533"/>
      <c r="VA24" s="84">
        <v>1457</v>
      </c>
      <c r="VB24" s="532">
        <v>1514.6</v>
      </c>
      <c r="VC24" s="594"/>
      <c r="VD24" s="594"/>
      <c r="VE24" s="533"/>
      <c r="VF24" s="84">
        <v>1461</v>
      </c>
      <c r="VG24" s="532"/>
      <c r="VH24" s="594"/>
      <c r="VI24" s="594"/>
      <c r="VJ24" s="533"/>
      <c r="VK24" s="84"/>
      <c r="VL24" s="84"/>
      <c r="VM24" s="532"/>
      <c r="VN24" s="594"/>
      <c r="VO24" s="594"/>
      <c r="VP24" s="533"/>
      <c r="VQ24" s="84"/>
      <c r="VR24" s="191"/>
    </row>
    <row r="25" spans="1:590" ht="45" customHeight="1" x14ac:dyDescent="0.4">
      <c r="A25" s="54" t="s">
        <v>285</v>
      </c>
      <c r="B25" s="26"/>
      <c r="C25" s="534" t="s">
        <v>5</v>
      </c>
      <c r="D25" s="535"/>
      <c r="E25" s="535"/>
      <c r="F25" s="536"/>
      <c r="G25" s="540">
        <v>861</v>
      </c>
      <c r="H25" s="598"/>
      <c r="I25" s="598"/>
      <c r="J25" s="541"/>
      <c r="K25" s="27">
        <v>765</v>
      </c>
      <c r="L25" s="540">
        <v>677</v>
      </c>
      <c r="M25" s="598"/>
      <c r="N25" s="598"/>
      <c r="O25" s="541"/>
      <c r="P25" s="27">
        <v>552</v>
      </c>
      <c r="Q25" s="540">
        <v>853</v>
      </c>
      <c r="R25" s="598"/>
      <c r="S25" s="598"/>
      <c r="T25" s="541"/>
      <c r="U25" s="27">
        <v>794</v>
      </c>
      <c r="V25" s="540">
        <v>797</v>
      </c>
      <c r="W25" s="598"/>
      <c r="X25" s="598"/>
      <c r="Y25" s="541"/>
      <c r="Z25" s="27">
        <v>796</v>
      </c>
      <c r="AA25" s="230" t="s">
        <v>285</v>
      </c>
      <c r="AB25" s="26"/>
      <c r="AC25" s="534" t="s">
        <v>5</v>
      </c>
      <c r="AD25" s="535"/>
      <c r="AE25" s="535"/>
      <c r="AF25" s="536"/>
      <c r="AG25" s="540">
        <v>846</v>
      </c>
      <c r="AH25" s="598"/>
      <c r="AI25" s="598"/>
      <c r="AJ25" s="541"/>
      <c r="AK25" s="27">
        <v>817</v>
      </c>
      <c r="AL25" s="540">
        <v>859</v>
      </c>
      <c r="AM25" s="598"/>
      <c r="AN25" s="598"/>
      <c r="AO25" s="541"/>
      <c r="AP25" s="27">
        <v>787</v>
      </c>
      <c r="AQ25" s="540">
        <v>838</v>
      </c>
      <c r="AR25" s="598"/>
      <c r="AS25" s="598"/>
      <c r="AT25" s="541"/>
      <c r="AU25" s="27">
        <v>746</v>
      </c>
      <c r="AV25" s="540">
        <v>813</v>
      </c>
      <c r="AW25" s="598"/>
      <c r="AX25" s="598"/>
      <c r="AY25" s="541"/>
      <c r="AZ25" s="27">
        <v>700</v>
      </c>
      <c r="BA25" s="226" t="s">
        <v>285</v>
      </c>
      <c r="BB25" s="225"/>
      <c r="BC25" s="534" t="s">
        <v>5</v>
      </c>
      <c r="BD25" s="535"/>
      <c r="BE25" s="535"/>
      <c r="BF25" s="536"/>
      <c r="BG25" s="540">
        <v>858</v>
      </c>
      <c r="BH25" s="598"/>
      <c r="BI25" s="598"/>
      <c r="BJ25" s="541"/>
      <c r="BK25" s="27">
        <v>689</v>
      </c>
      <c r="BL25" s="540">
        <v>626</v>
      </c>
      <c r="BM25" s="598"/>
      <c r="BN25" s="598"/>
      <c r="BO25" s="541"/>
      <c r="BP25" s="27">
        <v>592</v>
      </c>
      <c r="BQ25" s="540">
        <v>859</v>
      </c>
      <c r="BR25" s="598"/>
      <c r="BS25" s="598"/>
      <c r="BT25" s="541"/>
      <c r="BU25" s="27">
        <v>821</v>
      </c>
      <c r="BV25" s="540">
        <v>622</v>
      </c>
      <c r="BW25" s="598"/>
      <c r="BX25" s="598"/>
      <c r="BY25" s="541"/>
      <c r="BZ25" s="27">
        <v>666</v>
      </c>
      <c r="CA25" s="259" t="s">
        <v>285</v>
      </c>
      <c r="CB25" s="26"/>
      <c r="CC25" s="534" t="s">
        <v>5</v>
      </c>
      <c r="CD25" s="535"/>
      <c r="CE25" s="535"/>
      <c r="CF25" s="536"/>
      <c r="CG25" s="540">
        <v>870</v>
      </c>
      <c r="CH25" s="598"/>
      <c r="CI25" s="598"/>
      <c r="CJ25" s="541"/>
      <c r="CK25" s="27">
        <v>747</v>
      </c>
      <c r="CL25" s="540">
        <v>864</v>
      </c>
      <c r="CM25" s="598"/>
      <c r="CN25" s="598"/>
      <c r="CO25" s="541"/>
      <c r="CP25" s="27">
        <v>793</v>
      </c>
      <c r="CQ25" s="540">
        <v>795</v>
      </c>
      <c r="CR25" s="598"/>
      <c r="CS25" s="598"/>
      <c r="CT25" s="541"/>
      <c r="CU25" s="27">
        <v>656</v>
      </c>
      <c r="CV25" s="540">
        <v>683</v>
      </c>
      <c r="CW25" s="598"/>
      <c r="CX25" s="598"/>
      <c r="CY25" s="541"/>
      <c r="CZ25" s="540">
        <v>696</v>
      </c>
      <c r="DA25" s="598"/>
      <c r="DB25" s="598"/>
      <c r="DC25" s="541"/>
      <c r="DD25" s="230" t="s">
        <v>285</v>
      </c>
      <c r="DE25" s="26"/>
      <c r="DF25" s="534" t="s">
        <v>5</v>
      </c>
      <c r="DG25" s="535"/>
      <c r="DH25" s="535"/>
      <c r="DI25" s="536"/>
      <c r="DJ25" s="540">
        <v>880</v>
      </c>
      <c r="DK25" s="598"/>
      <c r="DL25" s="598"/>
      <c r="DM25" s="541"/>
      <c r="DN25" s="248">
        <v>854</v>
      </c>
      <c r="DO25" s="540">
        <v>834</v>
      </c>
      <c r="DP25" s="598"/>
      <c r="DQ25" s="598"/>
      <c r="DR25" s="541"/>
      <c r="DS25" s="27">
        <v>841</v>
      </c>
      <c r="DT25" s="540">
        <v>874</v>
      </c>
      <c r="DU25" s="598"/>
      <c r="DV25" s="598"/>
      <c r="DW25" s="541"/>
      <c r="DX25" s="27">
        <v>799</v>
      </c>
      <c r="DY25" s="540">
        <v>666.2</v>
      </c>
      <c r="DZ25" s="598"/>
      <c r="EA25" s="598"/>
      <c r="EB25" s="541"/>
      <c r="EC25" s="27">
        <v>378</v>
      </c>
      <c r="ED25" s="230" t="s">
        <v>285</v>
      </c>
      <c r="EE25" s="26"/>
      <c r="EF25" s="534" t="s">
        <v>5</v>
      </c>
      <c r="EG25" s="535"/>
      <c r="EH25" s="535"/>
      <c r="EI25" s="536"/>
      <c r="EJ25" s="540">
        <v>855.3</v>
      </c>
      <c r="EK25" s="598"/>
      <c r="EL25" s="598"/>
      <c r="EM25" s="541"/>
      <c r="EN25" s="27">
        <v>768</v>
      </c>
      <c r="EO25" s="540">
        <v>861</v>
      </c>
      <c r="EP25" s="598"/>
      <c r="EQ25" s="598"/>
      <c r="ER25" s="541"/>
      <c r="ES25" s="27">
        <v>718</v>
      </c>
      <c r="ET25" s="540">
        <v>868</v>
      </c>
      <c r="EU25" s="598"/>
      <c r="EV25" s="598"/>
      <c r="EW25" s="541"/>
      <c r="EX25" s="250">
        <v>834</v>
      </c>
      <c r="EY25" s="540">
        <v>870</v>
      </c>
      <c r="EZ25" s="598"/>
      <c r="FA25" s="598"/>
      <c r="FB25" s="541"/>
      <c r="FC25" s="27">
        <v>827</v>
      </c>
      <c r="FD25" s="230" t="s">
        <v>285</v>
      </c>
      <c r="FE25" s="26"/>
      <c r="FF25" s="534" t="s">
        <v>5</v>
      </c>
      <c r="FG25" s="535"/>
      <c r="FH25" s="535"/>
      <c r="FI25" s="536"/>
      <c r="FJ25" s="540">
        <v>831</v>
      </c>
      <c r="FK25" s="598"/>
      <c r="FL25" s="598"/>
      <c r="FM25" s="541"/>
      <c r="FN25" s="27">
        <v>767</v>
      </c>
      <c r="FO25" s="540">
        <v>786</v>
      </c>
      <c r="FP25" s="598"/>
      <c r="FQ25" s="598"/>
      <c r="FR25" s="541"/>
      <c r="FS25" s="27">
        <v>726</v>
      </c>
      <c r="FT25" s="540">
        <v>799</v>
      </c>
      <c r="FU25" s="598"/>
      <c r="FV25" s="598"/>
      <c r="FW25" s="541"/>
      <c r="FX25" s="27">
        <v>680</v>
      </c>
      <c r="FY25" s="540">
        <v>846</v>
      </c>
      <c r="FZ25" s="598"/>
      <c r="GA25" s="598"/>
      <c r="GB25" s="541"/>
      <c r="GC25" s="27">
        <v>703</v>
      </c>
      <c r="GD25" s="230" t="s">
        <v>285</v>
      </c>
      <c r="GE25" s="26"/>
      <c r="GF25" s="534" t="s">
        <v>5</v>
      </c>
      <c r="GG25" s="535"/>
      <c r="GH25" s="535"/>
      <c r="GI25" s="536"/>
      <c r="GJ25" s="540">
        <v>842</v>
      </c>
      <c r="GK25" s="598"/>
      <c r="GL25" s="598"/>
      <c r="GM25" s="541"/>
      <c r="GN25" s="27">
        <v>682</v>
      </c>
      <c r="GO25" s="540">
        <v>863</v>
      </c>
      <c r="GP25" s="598"/>
      <c r="GQ25" s="598"/>
      <c r="GR25" s="541"/>
      <c r="GS25" s="27">
        <v>852</v>
      </c>
      <c r="GT25" s="540">
        <v>859</v>
      </c>
      <c r="GU25" s="598"/>
      <c r="GV25" s="598"/>
      <c r="GW25" s="541"/>
      <c r="GX25" s="27">
        <v>734</v>
      </c>
      <c r="GY25" s="540">
        <v>689</v>
      </c>
      <c r="GZ25" s="598"/>
      <c r="HA25" s="598"/>
      <c r="HB25" s="541"/>
      <c r="HC25" s="27">
        <v>260</v>
      </c>
      <c r="HD25" s="230" t="s">
        <v>285</v>
      </c>
      <c r="HE25" s="26"/>
      <c r="HF25" s="534" t="s">
        <v>5</v>
      </c>
      <c r="HG25" s="535"/>
      <c r="HH25" s="535"/>
      <c r="HI25" s="536"/>
      <c r="HJ25" s="540">
        <v>685</v>
      </c>
      <c r="HK25" s="598"/>
      <c r="HL25" s="598"/>
      <c r="HM25" s="541"/>
      <c r="HN25" s="27">
        <v>293</v>
      </c>
      <c r="HO25" s="540">
        <v>849</v>
      </c>
      <c r="HP25" s="598"/>
      <c r="HQ25" s="598"/>
      <c r="HR25" s="541"/>
      <c r="HS25" s="27">
        <v>821</v>
      </c>
      <c r="HT25" s="540">
        <v>843</v>
      </c>
      <c r="HU25" s="598"/>
      <c r="HV25" s="598"/>
      <c r="HW25" s="541"/>
      <c r="HX25" s="27">
        <v>526</v>
      </c>
      <c r="HY25" s="540">
        <v>857</v>
      </c>
      <c r="HZ25" s="598"/>
      <c r="IA25" s="598"/>
      <c r="IB25" s="541"/>
      <c r="IC25" s="27">
        <v>838</v>
      </c>
      <c r="ID25" s="291" t="s">
        <v>285</v>
      </c>
      <c r="IE25" s="26"/>
      <c r="IF25" s="534" t="s">
        <v>5</v>
      </c>
      <c r="IG25" s="535"/>
      <c r="IH25" s="535"/>
      <c r="II25" s="536"/>
      <c r="IJ25" s="630">
        <v>852</v>
      </c>
      <c r="IK25" s="631"/>
      <c r="IL25" s="631"/>
      <c r="IM25" s="632"/>
      <c r="IN25" s="27">
        <v>821</v>
      </c>
      <c r="IO25" s="540">
        <v>730</v>
      </c>
      <c r="IP25" s="598"/>
      <c r="IQ25" s="598"/>
      <c r="IR25" s="541"/>
      <c r="IS25" s="27">
        <v>639</v>
      </c>
      <c r="IT25" s="540">
        <v>865</v>
      </c>
      <c r="IU25" s="598"/>
      <c r="IV25" s="598"/>
      <c r="IW25" s="541"/>
      <c r="IX25" s="27">
        <v>772</v>
      </c>
      <c r="IY25" s="540">
        <v>860</v>
      </c>
      <c r="IZ25" s="598"/>
      <c r="JA25" s="598"/>
      <c r="JB25" s="541"/>
      <c r="JC25" s="27">
        <v>720</v>
      </c>
      <c r="JD25" s="295" t="s">
        <v>285</v>
      </c>
      <c r="JE25" s="26"/>
      <c r="JF25" s="534" t="s">
        <v>5</v>
      </c>
      <c r="JG25" s="535"/>
      <c r="JH25" s="535"/>
      <c r="JI25" s="536"/>
      <c r="JJ25" s="540">
        <v>852</v>
      </c>
      <c r="JK25" s="598"/>
      <c r="JL25" s="598"/>
      <c r="JM25" s="541"/>
      <c r="JN25" s="27">
        <v>592</v>
      </c>
      <c r="JO25" s="540">
        <v>838</v>
      </c>
      <c r="JP25" s="598"/>
      <c r="JQ25" s="598"/>
      <c r="JR25" s="541"/>
      <c r="JS25" s="27">
        <v>605</v>
      </c>
      <c r="JT25" s="540">
        <v>790</v>
      </c>
      <c r="JU25" s="598"/>
      <c r="JV25" s="598"/>
      <c r="JW25" s="541"/>
      <c r="JX25" s="27">
        <v>663</v>
      </c>
      <c r="JY25" s="540">
        <v>851</v>
      </c>
      <c r="JZ25" s="598"/>
      <c r="KA25" s="598"/>
      <c r="KB25" s="541"/>
      <c r="KC25" s="27">
        <v>721</v>
      </c>
      <c r="KD25" s="294" t="s">
        <v>285</v>
      </c>
      <c r="KE25" s="26"/>
      <c r="KF25" s="534" t="s">
        <v>5</v>
      </c>
      <c r="KG25" s="535"/>
      <c r="KH25" s="535"/>
      <c r="KI25" s="536"/>
      <c r="KJ25" s="540">
        <v>809</v>
      </c>
      <c r="KK25" s="598"/>
      <c r="KL25" s="598"/>
      <c r="KM25" s="541"/>
      <c r="KN25" s="27">
        <v>465</v>
      </c>
      <c r="KO25" s="540">
        <v>836</v>
      </c>
      <c r="KP25" s="598"/>
      <c r="KQ25" s="598"/>
      <c r="KR25" s="541"/>
      <c r="KS25" s="27">
        <v>765</v>
      </c>
      <c r="KT25" s="540">
        <v>680</v>
      </c>
      <c r="KU25" s="598"/>
      <c r="KV25" s="598"/>
      <c r="KW25" s="541"/>
      <c r="KX25" s="27">
        <v>511</v>
      </c>
      <c r="KY25" s="540">
        <v>819</v>
      </c>
      <c r="KZ25" s="598"/>
      <c r="LA25" s="598"/>
      <c r="LB25" s="541"/>
      <c r="LC25" s="298">
        <v>293</v>
      </c>
      <c r="LD25" s="294" t="s">
        <v>285</v>
      </c>
      <c r="LE25" s="26"/>
      <c r="LF25" s="534" t="s">
        <v>5</v>
      </c>
      <c r="LG25" s="535"/>
      <c r="LH25" s="535"/>
      <c r="LI25" s="536"/>
      <c r="LJ25" s="540">
        <v>811</v>
      </c>
      <c r="LK25" s="598"/>
      <c r="LL25" s="598"/>
      <c r="LM25" s="541"/>
      <c r="LN25" s="27">
        <v>792</v>
      </c>
      <c r="LO25" s="540">
        <v>762</v>
      </c>
      <c r="LP25" s="598"/>
      <c r="LQ25" s="598"/>
      <c r="LR25" s="541"/>
      <c r="LS25" s="27">
        <v>608</v>
      </c>
      <c r="LT25" s="540">
        <v>670</v>
      </c>
      <c r="LU25" s="598"/>
      <c r="LV25" s="598"/>
      <c r="LW25" s="541"/>
      <c r="LX25" s="27">
        <v>473</v>
      </c>
      <c r="LY25" s="540">
        <v>764</v>
      </c>
      <c r="LZ25" s="598"/>
      <c r="MA25" s="598"/>
      <c r="MB25" s="541"/>
      <c r="MC25" s="27">
        <v>665</v>
      </c>
      <c r="MD25" s="294" t="s">
        <v>285</v>
      </c>
      <c r="ME25" s="26"/>
      <c r="MF25" s="534" t="s">
        <v>5</v>
      </c>
      <c r="MG25" s="535"/>
      <c r="MH25" s="535"/>
      <c r="MI25" s="536"/>
      <c r="MJ25" s="540">
        <v>771</v>
      </c>
      <c r="MK25" s="598"/>
      <c r="ML25" s="598"/>
      <c r="MM25" s="541"/>
      <c r="MN25" s="27">
        <v>629</v>
      </c>
      <c r="MO25" s="540">
        <v>782.1</v>
      </c>
      <c r="MP25" s="598"/>
      <c r="MQ25" s="598"/>
      <c r="MR25" s="541"/>
      <c r="MS25" s="27">
        <v>684</v>
      </c>
      <c r="MT25" s="540">
        <v>766.5</v>
      </c>
      <c r="MU25" s="598"/>
      <c r="MV25" s="598"/>
      <c r="MW25" s="541"/>
      <c r="MX25" s="27">
        <v>701</v>
      </c>
      <c r="MY25" s="540">
        <v>772.6</v>
      </c>
      <c r="MZ25" s="598"/>
      <c r="NA25" s="598"/>
      <c r="NB25" s="541"/>
      <c r="NC25" s="308"/>
      <c r="ND25" s="316"/>
      <c r="NE25" s="27">
        <v>671</v>
      </c>
      <c r="NF25" s="294" t="s">
        <v>285</v>
      </c>
      <c r="NG25" s="26"/>
      <c r="NH25" s="534" t="s">
        <v>5</v>
      </c>
      <c r="NI25" s="535"/>
      <c r="NJ25" s="535"/>
      <c r="NK25" s="536"/>
      <c r="NL25" s="540">
        <v>672.2</v>
      </c>
      <c r="NM25" s="598"/>
      <c r="NN25" s="598"/>
      <c r="NO25" s="541"/>
      <c r="NP25" s="27">
        <v>464.2</v>
      </c>
      <c r="NQ25" s="540">
        <v>646.29999999999995</v>
      </c>
      <c r="NR25" s="598"/>
      <c r="NS25" s="598"/>
      <c r="NT25" s="541"/>
      <c r="NU25" s="27">
        <v>606</v>
      </c>
      <c r="NV25" s="540">
        <v>745.4</v>
      </c>
      <c r="NW25" s="598"/>
      <c r="NX25" s="598"/>
      <c r="NY25" s="541"/>
      <c r="NZ25" s="27">
        <v>679</v>
      </c>
      <c r="OA25" s="540">
        <v>809.3</v>
      </c>
      <c r="OB25" s="598"/>
      <c r="OC25" s="598"/>
      <c r="OD25" s="541"/>
      <c r="OE25" s="328"/>
      <c r="OF25" s="328"/>
      <c r="OG25" s="27">
        <v>630</v>
      </c>
      <c r="OH25" s="294" t="s">
        <v>285</v>
      </c>
      <c r="OI25" s="26"/>
      <c r="OJ25" s="534" t="s">
        <v>5</v>
      </c>
      <c r="OK25" s="535"/>
      <c r="OL25" s="535"/>
      <c r="OM25" s="536"/>
      <c r="ON25" s="540">
        <v>658.5</v>
      </c>
      <c r="OO25" s="598"/>
      <c r="OP25" s="598"/>
      <c r="OQ25" s="541"/>
      <c r="OR25" s="27">
        <v>663.8</v>
      </c>
      <c r="OS25" s="540">
        <v>860.1</v>
      </c>
      <c r="OT25" s="598"/>
      <c r="OU25" s="598"/>
      <c r="OV25" s="541"/>
      <c r="OW25" s="27">
        <v>764</v>
      </c>
      <c r="OX25" s="540">
        <v>860.6</v>
      </c>
      <c r="OY25" s="598"/>
      <c r="OZ25" s="598"/>
      <c r="PA25" s="541"/>
      <c r="PB25" s="27">
        <v>739.41000000000008</v>
      </c>
      <c r="PC25" s="540">
        <v>870.5</v>
      </c>
      <c r="PD25" s="598"/>
      <c r="PE25" s="598"/>
      <c r="PF25" s="541"/>
      <c r="PG25" s="27">
        <v>774.7</v>
      </c>
      <c r="PH25" s="294" t="s">
        <v>285</v>
      </c>
      <c r="PI25" s="26"/>
      <c r="PJ25" s="534" t="s">
        <v>5</v>
      </c>
      <c r="PK25" s="535"/>
      <c r="PL25" s="535"/>
      <c r="PM25" s="536"/>
      <c r="PN25" s="540">
        <v>869.5</v>
      </c>
      <c r="PO25" s="598"/>
      <c r="PP25" s="598"/>
      <c r="PQ25" s="541"/>
      <c r="PR25" s="27">
        <v>577.20000000000005</v>
      </c>
      <c r="PS25" s="540">
        <v>836.2</v>
      </c>
      <c r="PT25" s="598"/>
      <c r="PU25" s="598"/>
      <c r="PV25" s="541"/>
      <c r="PW25" s="27">
        <v>797.3</v>
      </c>
      <c r="PX25" s="540">
        <v>857.3</v>
      </c>
      <c r="PY25" s="598"/>
      <c r="PZ25" s="598"/>
      <c r="QA25" s="541"/>
      <c r="QB25" s="27">
        <v>767.79319999999996</v>
      </c>
      <c r="QC25" s="540">
        <v>780.59999999999991</v>
      </c>
      <c r="QD25" s="598"/>
      <c r="QE25" s="598"/>
      <c r="QF25" s="541"/>
      <c r="QG25" s="27">
        <v>581.6</v>
      </c>
      <c r="QH25" s="294" t="s">
        <v>285</v>
      </c>
      <c r="QI25" s="26"/>
      <c r="QJ25" s="534" t="s">
        <v>5</v>
      </c>
      <c r="QK25" s="535"/>
      <c r="QL25" s="535"/>
      <c r="QM25" s="536"/>
      <c r="QN25" s="540">
        <v>906.09999999999991</v>
      </c>
      <c r="QO25" s="598"/>
      <c r="QP25" s="598"/>
      <c r="QQ25" s="541"/>
      <c r="QR25" s="27">
        <v>778.8</v>
      </c>
      <c r="QS25" s="540">
        <v>837.1</v>
      </c>
      <c r="QT25" s="598"/>
      <c r="QU25" s="598"/>
      <c r="QV25" s="541"/>
      <c r="QW25" s="27">
        <v>672</v>
      </c>
      <c r="QX25" s="540">
        <v>890</v>
      </c>
      <c r="QY25" s="598"/>
      <c r="QZ25" s="598"/>
      <c r="RA25" s="541"/>
      <c r="RB25" s="27">
        <v>791.2</v>
      </c>
      <c r="RC25" s="540">
        <v>779.4</v>
      </c>
      <c r="RD25" s="598"/>
      <c r="RE25" s="598"/>
      <c r="RF25" s="541"/>
      <c r="RG25" s="27">
        <v>692.2</v>
      </c>
      <c r="RH25" s="294" t="s">
        <v>285</v>
      </c>
      <c r="RI25" s="26"/>
      <c r="RJ25" s="534" t="s">
        <v>5</v>
      </c>
      <c r="RK25" s="535"/>
      <c r="RL25" s="535"/>
      <c r="RM25" s="536"/>
      <c r="RN25" s="540">
        <v>806.5</v>
      </c>
      <c r="RO25" s="598"/>
      <c r="RP25" s="598"/>
      <c r="RQ25" s="541"/>
      <c r="RR25" s="27">
        <v>597</v>
      </c>
      <c r="RS25" s="540">
        <v>819.2</v>
      </c>
      <c r="RT25" s="598"/>
      <c r="RU25" s="598"/>
      <c r="RV25" s="541"/>
      <c r="RW25" s="27">
        <v>621.20000000000005</v>
      </c>
      <c r="RX25" s="540">
        <v>856.4</v>
      </c>
      <c r="RY25" s="598"/>
      <c r="RZ25" s="598"/>
      <c r="SA25" s="541"/>
      <c r="SB25" s="27">
        <v>672</v>
      </c>
      <c r="SC25" s="540">
        <v>828.8</v>
      </c>
      <c r="SD25" s="598"/>
      <c r="SE25" s="598"/>
      <c r="SF25" s="541"/>
      <c r="SG25" s="27">
        <v>784.53</v>
      </c>
      <c r="SH25" s="294" t="s">
        <v>285</v>
      </c>
      <c r="SI25" s="26"/>
      <c r="SJ25" s="534" t="s">
        <v>5</v>
      </c>
      <c r="SK25" s="535"/>
      <c r="SL25" s="535"/>
      <c r="SM25" s="536"/>
      <c r="SN25" s="540">
        <v>892.2</v>
      </c>
      <c r="SO25" s="598"/>
      <c r="SP25" s="598"/>
      <c r="SQ25" s="541"/>
      <c r="SR25" s="27">
        <v>713.80000000000007</v>
      </c>
      <c r="SS25" s="540">
        <v>839.2</v>
      </c>
      <c r="ST25" s="598"/>
      <c r="SU25" s="598"/>
      <c r="SV25" s="541"/>
      <c r="SW25" s="27">
        <v>487</v>
      </c>
      <c r="SX25" s="540">
        <v>912.2</v>
      </c>
      <c r="SY25" s="598"/>
      <c r="SZ25" s="598"/>
      <c r="TA25" s="541"/>
      <c r="TB25" s="27">
        <v>685</v>
      </c>
      <c r="TC25" s="540">
        <v>890.2</v>
      </c>
      <c r="TD25" s="598"/>
      <c r="TE25" s="598"/>
      <c r="TF25" s="541"/>
      <c r="TG25" s="27">
        <v>874</v>
      </c>
      <c r="TH25" s="294" t="s">
        <v>285</v>
      </c>
      <c r="TI25" s="26"/>
      <c r="TJ25" s="534" t="s">
        <v>5</v>
      </c>
      <c r="TK25" s="535"/>
      <c r="TL25" s="535"/>
      <c r="TM25" s="536"/>
      <c r="TN25" s="540">
        <v>763.4</v>
      </c>
      <c r="TO25" s="598"/>
      <c r="TP25" s="598"/>
      <c r="TQ25" s="541"/>
      <c r="TR25" s="27">
        <v>706.5</v>
      </c>
      <c r="TS25" s="540">
        <v>702.5</v>
      </c>
      <c r="TT25" s="598"/>
      <c r="TU25" s="598"/>
      <c r="TV25" s="541"/>
      <c r="TW25" s="540">
        <v>890.7</v>
      </c>
      <c r="TX25" s="598"/>
      <c r="TY25" s="598"/>
      <c r="TZ25" s="541"/>
      <c r="UA25" s="27">
        <v>800.8</v>
      </c>
      <c r="UB25" s="540">
        <v>886</v>
      </c>
      <c r="UC25" s="598"/>
      <c r="UD25" s="598"/>
      <c r="UE25" s="541"/>
      <c r="UF25" s="27">
        <v>857.8</v>
      </c>
      <c r="UG25" s="540">
        <v>884.6</v>
      </c>
      <c r="UH25" s="598"/>
      <c r="UI25" s="598"/>
      <c r="UJ25" s="541"/>
      <c r="UK25" s="27">
        <v>794</v>
      </c>
      <c r="UL25" s="294" t="s">
        <v>285</v>
      </c>
      <c r="UM25" s="26"/>
      <c r="UN25" s="534" t="s">
        <v>5</v>
      </c>
      <c r="UO25" s="535"/>
      <c r="UP25" s="535"/>
      <c r="UQ25" s="536"/>
      <c r="UR25" s="540">
        <v>669.2</v>
      </c>
      <c r="US25" s="598"/>
      <c r="UT25" s="598"/>
      <c r="UU25" s="541"/>
      <c r="UV25" s="27">
        <v>90</v>
      </c>
      <c r="UW25" s="540">
        <v>849.5</v>
      </c>
      <c r="UX25" s="598"/>
      <c r="UY25" s="598"/>
      <c r="UZ25" s="541"/>
      <c r="VA25" s="27">
        <v>747.7088</v>
      </c>
      <c r="VB25" s="540">
        <v>818.7</v>
      </c>
      <c r="VC25" s="598"/>
      <c r="VD25" s="598"/>
      <c r="VE25" s="541"/>
      <c r="VF25" s="27">
        <v>747.7088</v>
      </c>
      <c r="VG25" s="540"/>
      <c r="VH25" s="598"/>
      <c r="VI25" s="598"/>
      <c r="VJ25" s="541"/>
      <c r="VK25" s="27"/>
      <c r="VL25" s="27"/>
      <c r="VM25" s="540"/>
      <c r="VN25" s="598"/>
      <c r="VO25" s="598"/>
      <c r="VP25" s="541"/>
      <c r="VQ25" s="27"/>
      <c r="VR25" s="289"/>
    </row>
    <row r="26" spans="1:590" ht="69" customHeight="1" x14ac:dyDescent="0.4">
      <c r="A26" s="53"/>
      <c r="B26" s="542" t="s">
        <v>17</v>
      </c>
      <c r="C26" s="543"/>
      <c r="D26" s="543"/>
      <c r="E26" s="543"/>
      <c r="F26" s="21" t="s">
        <v>7</v>
      </c>
      <c r="G26" s="526">
        <v>134</v>
      </c>
      <c r="H26" s="593"/>
      <c r="I26" s="593"/>
      <c r="J26" s="527"/>
      <c r="K26" s="22">
        <v>92</v>
      </c>
      <c r="L26" s="526">
        <v>126</v>
      </c>
      <c r="M26" s="593"/>
      <c r="N26" s="593"/>
      <c r="O26" s="527"/>
      <c r="P26" s="22">
        <v>38</v>
      </c>
      <c r="Q26" s="526">
        <v>193</v>
      </c>
      <c r="R26" s="593"/>
      <c r="S26" s="593"/>
      <c r="T26" s="527"/>
      <c r="U26" s="22">
        <v>197</v>
      </c>
      <c r="V26" s="526">
        <v>186</v>
      </c>
      <c r="W26" s="593"/>
      <c r="X26" s="593"/>
      <c r="Y26" s="527"/>
      <c r="Z26" s="22">
        <v>191</v>
      </c>
      <c r="AA26" s="53"/>
      <c r="AB26" s="542" t="s">
        <v>17</v>
      </c>
      <c r="AC26" s="543"/>
      <c r="AD26" s="543"/>
      <c r="AE26" s="543"/>
      <c r="AF26" s="21" t="s">
        <v>7</v>
      </c>
      <c r="AG26" s="526">
        <v>129</v>
      </c>
      <c r="AH26" s="593"/>
      <c r="AI26" s="593"/>
      <c r="AJ26" s="527"/>
      <c r="AK26" s="22">
        <v>105</v>
      </c>
      <c r="AL26" s="526">
        <v>138</v>
      </c>
      <c r="AM26" s="593"/>
      <c r="AN26" s="593"/>
      <c r="AO26" s="527"/>
      <c r="AP26" s="22">
        <v>98</v>
      </c>
      <c r="AQ26" s="526">
        <v>119</v>
      </c>
      <c r="AR26" s="593"/>
      <c r="AS26" s="593"/>
      <c r="AT26" s="527"/>
      <c r="AU26" s="22">
        <v>97</v>
      </c>
      <c r="AV26" s="526">
        <v>96</v>
      </c>
      <c r="AW26" s="593"/>
      <c r="AX26" s="593"/>
      <c r="AY26" s="527"/>
      <c r="AZ26" s="22">
        <v>56</v>
      </c>
      <c r="BA26" s="53"/>
      <c r="BB26" s="543" t="s">
        <v>17</v>
      </c>
      <c r="BC26" s="543"/>
      <c r="BD26" s="543"/>
      <c r="BE26" s="543"/>
      <c r="BF26" s="21" t="s">
        <v>7</v>
      </c>
      <c r="BG26" s="526">
        <v>151</v>
      </c>
      <c r="BH26" s="593"/>
      <c r="BI26" s="593"/>
      <c r="BJ26" s="527"/>
      <c r="BK26" s="22">
        <v>55</v>
      </c>
      <c r="BL26" s="526">
        <v>101</v>
      </c>
      <c r="BM26" s="593"/>
      <c r="BN26" s="593"/>
      <c r="BO26" s="527"/>
      <c r="BP26" s="22">
        <v>106</v>
      </c>
      <c r="BQ26" s="526">
        <v>155.29999999999995</v>
      </c>
      <c r="BR26" s="593"/>
      <c r="BS26" s="593"/>
      <c r="BT26" s="527"/>
      <c r="BU26" s="22">
        <v>143</v>
      </c>
      <c r="BV26" s="526">
        <v>36</v>
      </c>
      <c r="BW26" s="593"/>
      <c r="BX26" s="593"/>
      <c r="BY26" s="527"/>
      <c r="BZ26" s="22">
        <v>46</v>
      </c>
      <c r="CA26" s="53"/>
      <c r="CB26" s="542" t="s">
        <v>17</v>
      </c>
      <c r="CC26" s="543"/>
      <c r="CD26" s="543"/>
      <c r="CE26" s="543"/>
      <c r="CF26" s="21" t="s">
        <v>7</v>
      </c>
      <c r="CG26" s="526">
        <v>196</v>
      </c>
      <c r="CH26" s="593"/>
      <c r="CI26" s="593"/>
      <c r="CJ26" s="527"/>
      <c r="CK26" s="22">
        <v>145</v>
      </c>
      <c r="CL26" s="526">
        <v>228</v>
      </c>
      <c r="CM26" s="593"/>
      <c r="CN26" s="593"/>
      <c r="CO26" s="527"/>
      <c r="CP26" s="22">
        <v>187</v>
      </c>
      <c r="CQ26" s="526">
        <v>149</v>
      </c>
      <c r="CR26" s="593"/>
      <c r="CS26" s="593"/>
      <c r="CT26" s="527"/>
      <c r="CU26" s="22">
        <v>56</v>
      </c>
      <c r="CV26" s="526">
        <v>55</v>
      </c>
      <c r="CW26" s="593"/>
      <c r="CX26" s="593"/>
      <c r="CY26" s="527"/>
      <c r="CZ26" s="526">
        <v>0</v>
      </c>
      <c r="DA26" s="593"/>
      <c r="DB26" s="593"/>
      <c r="DC26" s="527"/>
      <c r="DD26" s="53"/>
      <c r="DE26" s="542" t="s">
        <v>17</v>
      </c>
      <c r="DF26" s="543"/>
      <c r="DG26" s="543"/>
      <c r="DH26" s="543"/>
      <c r="DI26" s="21" t="s">
        <v>7</v>
      </c>
      <c r="DJ26" s="526">
        <v>190</v>
      </c>
      <c r="DK26" s="593"/>
      <c r="DL26" s="593"/>
      <c r="DM26" s="527"/>
      <c r="DN26" s="246">
        <v>186</v>
      </c>
      <c r="DO26" s="526">
        <v>80</v>
      </c>
      <c r="DP26" s="593"/>
      <c r="DQ26" s="593"/>
      <c r="DR26" s="527"/>
      <c r="DS26" s="246">
        <v>111</v>
      </c>
      <c r="DT26" s="526">
        <v>245</v>
      </c>
      <c r="DU26" s="593"/>
      <c r="DV26" s="593"/>
      <c r="DW26" s="527"/>
      <c r="DX26" s="246">
        <v>230</v>
      </c>
      <c r="DY26" s="526">
        <v>56.599999999999909</v>
      </c>
      <c r="DZ26" s="593"/>
      <c r="EA26" s="593"/>
      <c r="EB26" s="527"/>
      <c r="EC26" s="246">
        <v>0</v>
      </c>
      <c r="ED26" s="53"/>
      <c r="EE26" s="542" t="s">
        <v>17</v>
      </c>
      <c r="EF26" s="543"/>
      <c r="EG26" s="543"/>
      <c r="EH26" s="543"/>
      <c r="EI26" s="21" t="s">
        <v>7</v>
      </c>
      <c r="EJ26" s="526">
        <v>152.79999999999995</v>
      </c>
      <c r="EK26" s="593"/>
      <c r="EL26" s="593"/>
      <c r="EM26" s="527"/>
      <c r="EN26" s="22">
        <v>110</v>
      </c>
      <c r="EO26" s="526">
        <v>140</v>
      </c>
      <c r="EP26" s="593"/>
      <c r="EQ26" s="593"/>
      <c r="ER26" s="527"/>
      <c r="ES26" s="22">
        <v>94</v>
      </c>
      <c r="ET26" s="526">
        <v>209.40000000000009</v>
      </c>
      <c r="EU26" s="593"/>
      <c r="EV26" s="593"/>
      <c r="EW26" s="527"/>
      <c r="EX26" s="22">
        <v>179</v>
      </c>
      <c r="EY26" s="526">
        <v>136</v>
      </c>
      <c r="EZ26" s="593"/>
      <c r="FA26" s="593"/>
      <c r="FB26" s="527"/>
      <c r="FC26" s="22">
        <v>137</v>
      </c>
      <c r="FD26" s="53"/>
      <c r="FE26" s="542" t="s">
        <v>17</v>
      </c>
      <c r="FF26" s="543"/>
      <c r="FG26" s="543"/>
      <c r="FH26" s="543"/>
      <c r="FI26" s="21" t="s">
        <v>7</v>
      </c>
      <c r="FJ26" s="526">
        <v>84</v>
      </c>
      <c r="FK26" s="593"/>
      <c r="FL26" s="593"/>
      <c r="FM26" s="527"/>
      <c r="FN26" s="22">
        <v>79</v>
      </c>
      <c r="FO26" s="526">
        <v>156</v>
      </c>
      <c r="FP26" s="593"/>
      <c r="FQ26" s="593"/>
      <c r="FR26" s="527"/>
      <c r="FS26" s="22">
        <v>90</v>
      </c>
      <c r="FT26" s="526">
        <v>236</v>
      </c>
      <c r="FU26" s="593"/>
      <c r="FV26" s="593"/>
      <c r="FW26" s="527"/>
      <c r="FX26" s="22">
        <v>66</v>
      </c>
      <c r="FY26" s="526">
        <v>252</v>
      </c>
      <c r="FZ26" s="593"/>
      <c r="GA26" s="593"/>
      <c r="GB26" s="527"/>
      <c r="GC26" s="22">
        <v>152</v>
      </c>
      <c r="GD26" s="53"/>
      <c r="GE26" s="542" t="s">
        <v>17</v>
      </c>
      <c r="GF26" s="543"/>
      <c r="GG26" s="543"/>
      <c r="GH26" s="543"/>
      <c r="GI26" s="21" t="s">
        <v>7</v>
      </c>
      <c r="GJ26" s="526">
        <v>258.29999999999995</v>
      </c>
      <c r="GK26" s="593"/>
      <c r="GL26" s="593"/>
      <c r="GM26" s="527"/>
      <c r="GN26" s="22">
        <v>151</v>
      </c>
      <c r="GO26" s="526">
        <v>171</v>
      </c>
      <c r="GP26" s="593"/>
      <c r="GQ26" s="593"/>
      <c r="GR26" s="527"/>
      <c r="GS26" s="22">
        <v>171</v>
      </c>
      <c r="GT26" s="526">
        <v>189</v>
      </c>
      <c r="GU26" s="593" t="s">
        <v>679</v>
      </c>
      <c r="GV26" s="593" t="s">
        <v>679</v>
      </c>
      <c r="GW26" s="527" t="s">
        <v>679</v>
      </c>
      <c r="GX26" s="22">
        <v>141</v>
      </c>
      <c r="GY26" s="526">
        <v>54</v>
      </c>
      <c r="GZ26" s="593" t="s">
        <v>679</v>
      </c>
      <c r="HA26" s="593" t="s">
        <v>679</v>
      </c>
      <c r="HB26" s="527" t="s">
        <v>679</v>
      </c>
      <c r="HC26" s="22">
        <v>0</v>
      </c>
      <c r="HD26" s="53"/>
      <c r="HE26" s="542" t="s">
        <v>17</v>
      </c>
      <c r="HF26" s="543"/>
      <c r="HG26" s="543"/>
      <c r="HH26" s="543"/>
      <c r="HI26" s="21" t="s">
        <v>7</v>
      </c>
      <c r="HJ26" s="526">
        <v>139</v>
      </c>
      <c r="HK26" s="593" t="s">
        <v>679</v>
      </c>
      <c r="HL26" s="593" t="s">
        <v>679</v>
      </c>
      <c r="HM26" s="527" t="s">
        <v>679</v>
      </c>
      <c r="HN26" s="22">
        <v>0</v>
      </c>
      <c r="HO26" s="526">
        <v>152</v>
      </c>
      <c r="HP26" s="593" t="s">
        <v>679</v>
      </c>
      <c r="HQ26" s="593" t="s">
        <v>679</v>
      </c>
      <c r="HR26" s="527" t="s">
        <v>679</v>
      </c>
      <c r="HS26" s="22">
        <v>175</v>
      </c>
      <c r="HT26" s="526">
        <v>214</v>
      </c>
      <c r="HU26" s="593" t="s">
        <v>679</v>
      </c>
      <c r="HV26" s="593" t="s">
        <v>679</v>
      </c>
      <c r="HW26" s="527" t="s">
        <v>679</v>
      </c>
      <c r="HX26" s="22">
        <v>18</v>
      </c>
      <c r="HY26" s="526">
        <v>183</v>
      </c>
      <c r="HZ26" s="593" t="s">
        <v>679</v>
      </c>
      <c r="IA26" s="593" t="s">
        <v>679</v>
      </c>
      <c r="IB26" s="527" t="s">
        <v>679</v>
      </c>
      <c r="IC26" s="22">
        <v>163</v>
      </c>
      <c r="ID26" s="53"/>
      <c r="IE26" s="542" t="s">
        <v>17</v>
      </c>
      <c r="IF26" s="543"/>
      <c r="IG26" s="543"/>
      <c r="IH26" s="543"/>
      <c r="II26" s="21" t="s">
        <v>7</v>
      </c>
      <c r="IJ26" s="621">
        <v>165</v>
      </c>
      <c r="IK26" s="622" t="s">
        <v>679</v>
      </c>
      <c r="IL26" s="622" t="s">
        <v>679</v>
      </c>
      <c r="IM26" s="623" t="s">
        <v>679</v>
      </c>
      <c r="IN26" s="22">
        <v>117</v>
      </c>
      <c r="IO26" s="621">
        <v>243</v>
      </c>
      <c r="IP26" s="622" t="s">
        <v>679</v>
      </c>
      <c r="IQ26" s="622" t="s">
        <v>679</v>
      </c>
      <c r="IR26" s="623" t="s">
        <v>679</v>
      </c>
      <c r="IS26" s="22">
        <v>204</v>
      </c>
      <c r="IT26" s="621">
        <v>185</v>
      </c>
      <c r="IU26" s="622" t="s">
        <v>679</v>
      </c>
      <c r="IV26" s="622" t="s">
        <v>679</v>
      </c>
      <c r="IW26" s="623" t="s">
        <v>679</v>
      </c>
      <c r="IX26" s="22">
        <v>140</v>
      </c>
      <c r="IY26" s="621">
        <v>109</v>
      </c>
      <c r="IZ26" s="622" t="s">
        <v>679</v>
      </c>
      <c r="JA26" s="622" t="s">
        <v>679</v>
      </c>
      <c r="JB26" s="623" t="s">
        <v>679</v>
      </c>
      <c r="JC26" s="22">
        <v>67</v>
      </c>
      <c r="JD26" s="53"/>
      <c r="JE26" s="542" t="s">
        <v>17</v>
      </c>
      <c r="JF26" s="543"/>
      <c r="JG26" s="543"/>
      <c r="JH26" s="543"/>
      <c r="JI26" s="21" t="s">
        <v>7</v>
      </c>
      <c r="JJ26" s="621">
        <v>172</v>
      </c>
      <c r="JK26" s="622" t="s">
        <v>679</v>
      </c>
      <c r="JL26" s="622" t="s">
        <v>679</v>
      </c>
      <c r="JM26" s="623" t="s">
        <v>679</v>
      </c>
      <c r="JN26" s="22">
        <v>76</v>
      </c>
      <c r="JO26" s="621">
        <v>123</v>
      </c>
      <c r="JP26" s="622" t="s">
        <v>679</v>
      </c>
      <c r="JQ26" s="622" t="s">
        <v>679</v>
      </c>
      <c r="JR26" s="623" t="s">
        <v>679</v>
      </c>
      <c r="JS26" s="22">
        <v>0</v>
      </c>
      <c r="JT26" s="621">
        <v>112</v>
      </c>
      <c r="JU26" s="622" t="s">
        <v>679</v>
      </c>
      <c r="JV26" s="622" t="s">
        <v>679</v>
      </c>
      <c r="JW26" s="623" t="s">
        <v>679</v>
      </c>
      <c r="JX26" s="22">
        <v>0</v>
      </c>
      <c r="JY26" s="526">
        <v>204</v>
      </c>
      <c r="JZ26" s="593" t="s">
        <v>679</v>
      </c>
      <c r="KA26" s="593" t="s">
        <v>679</v>
      </c>
      <c r="KB26" s="527" t="s">
        <v>679</v>
      </c>
      <c r="KC26" s="22">
        <v>138</v>
      </c>
      <c r="KD26" s="53"/>
      <c r="KE26" s="542" t="s">
        <v>17</v>
      </c>
      <c r="KF26" s="543"/>
      <c r="KG26" s="543"/>
      <c r="KH26" s="543"/>
      <c r="KI26" s="21" t="s">
        <v>7</v>
      </c>
      <c r="KJ26" s="526">
        <v>10</v>
      </c>
      <c r="KK26" s="593"/>
      <c r="KL26" s="593"/>
      <c r="KM26" s="527"/>
      <c r="KN26" s="22">
        <v>0</v>
      </c>
      <c r="KO26" s="526">
        <v>26</v>
      </c>
      <c r="KP26" s="593"/>
      <c r="KQ26" s="593"/>
      <c r="KR26" s="527"/>
      <c r="KS26" s="22">
        <v>42</v>
      </c>
      <c r="KT26" s="526">
        <v>42</v>
      </c>
      <c r="KU26" s="593"/>
      <c r="KV26" s="593"/>
      <c r="KW26" s="527"/>
      <c r="KX26" s="22">
        <v>0</v>
      </c>
      <c r="KY26" s="526">
        <v>69</v>
      </c>
      <c r="KZ26" s="593"/>
      <c r="LA26" s="593"/>
      <c r="LB26" s="527"/>
      <c r="LC26" s="22">
        <v>0</v>
      </c>
      <c r="LD26" s="53"/>
      <c r="LE26" s="542" t="s">
        <v>17</v>
      </c>
      <c r="LF26" s="543"/>
      <c r="LG26" s="543"/>
      <c r="LH26" s="543"/>
      <c r="LI26" s="21" t="s">
        <v>7</v>
      </c>
      <c r="LJ26" s="526">
        <v>29</v>
      </c>
      <c r="LK26" s="593"/>
      <c r="LL26" s="593"/>
      <c r="LM26" s="527"/>
      <c r="LN26" s="22">
        <v>42</v>
      </c>
      <c r="LO26" s="526">
        <v>52</v>
      </c>
      <c r="LP26" s="593"/>
      <c r="LQ26" s="593"/>
      <c r="LR26" s="527"/>
      <c r="LS26" s="22">
        <v>0</v>
      </c>
      <c r="LT26" s="526">
        <v>62</v>
      </c>
      <c r="LU26" s="593"/>
      <c r="LV26" s="593"/>
      <c r="LW26" s="527"/>
      <c r="LX26" s="22">
        <v>0</v>
      </c>
      <c r="LY26" s="526">
        <v>111</v>
      </c>
      <c r="LZ26" s="593"/>
      <c r="MA26" s="593"/>
      <c r="MB26" s="527"/>
      <c r="MC26" s="22">
        <v>24</v>
      </c>
      <c r="MD26" s="53"/>
      <c r="ME26" s="542" t="s">
        <v>17</v>
      </c>
      <c r="MF26" s="543"/>
      <c r="MG26" s="543"/>
      <c r="MH26" s="543"/>
      <c r="MI26" s="21" t="s">
        <v>7</v>
      </c>
      <c r="MJ26" s="526">
        <v>58</v>
      </c>
      <c r="MK26" s="593"/>
      <c r="ML26" s="593"/>
      <c r="MM26" s="527"/>
      <c r="MN26" s="22">
        <v>0</v>
      </c>
      <c r="MO26" s="526">
        <v>68.200000000000045</v>
      </c>
      <c r="MP26" s="593"/>
      <c r="MQ26" s="593"/>
      <c r="MR26" s="527"/>
      <c r="MS26" s="22">
        <v>0</v>
      </c>
      <c r="MT26" s="526">
        <v>85.700000000000045</v>
      </c>
      <c r="MU26" s="593"/>
      <c r="MV26" s="593"/>
      <c r="MW26" s="527"/>
      <c r="MX26" s="22">
        <v>38</v>
      </c>
      <c r="MY26" s="526">
        <v>55</v>
      </c>
      <c r="MZ26" s="593"/>
      <c r="NA26" s="593"/>
      <c r="NB26" s="527"/>
      <c r="NC26" s="306"/>
      <c r="ND26" s="317"/>
      <c r="NE26" s="22">
        <v>0</v>
      </c>
      <c r="NF26" s="53"/>
      <c r="NG26" s="542" t="s">
        <v>17</v>
      </c>
      <c r="NH26" s="543"/>
      <c r="NI26" s="543"/>
      <c r="NJ26" s="543"/>
      <c r="NK26" s="21" t="s">
        <v>7</v>
      </c>
      <c r="NL26" s="526">
        <v>51.200000000000045</v>
      </c>
      <c r="NM26" s="593"/>
      <c r="NN26" s="593"/>
      <c r="NO26" s="527"/>
      <c r="NP26" s="22">
        <v>0</v>
      </c>
      <c r="NQ26" s="526">
        <v>36.700000000000045</v>
      </c>
      <c r="NR26" s="593"/>
      <c r="NS26" s="593"/>
      <c r="NT26" s="527"/>
      <c r="NU26" s="22">
        <v>19</v>
      </c>
      <c r="NV26" s="526">
        <v>24.099999999999909</v>
      </c>
      <c r="NW26" s="593"/>
      <c r="NX26" s="593"/>
      <c r="NY26" s="527"/>
      <c r="NZ26" s="22">
        <v>0</v>
      </c>
      <c r="OA26" s="526">
        <v>151.20000000000005</v>
      </c>
      <c r="OB26" s="593"/>
      <c r="OC26" s="593"/>
      <c r="OD26" s="527"/>
      <c r="OE26" s="326"/>
      <c r="OF26" s="326"/>
      <c r="OG26" s="22">
        <v>92</v>
      </c>
      <c r="OH26" s="53"/>
      <c r="OI26" s="542" t="s">
        <v>17</v>
      </c>
      <c r="OJ26" s="543"/>
      <c r="OK26" s="543"/>
      <c r="OL26" s="543"/>
      <c r="OM26" s="21" t="s">
        <v>7</v>
      </c>
      <c r="ON26" s="526">
        <v>53.680000000000064</v>
      </c>
      <c r="OO26" s="593"/>
      <c r="OP26" s="593"/>
      <c r="OQ26" s="527"/>
      <c r="OR26" s="343">
        <v>-2.2737367544323206E-13</v>
      </c>
      <c r="OS26" s="526">
        <v>65</v>
      </c>
      <c r="OT26" s="593"/>
      <c r="OU26" s="593"/>
      <c r="OV26" s="527"/>
      <c r="OW26" s="343">
        <v>0</v>
      </c>
      <c r="OX26" s="526">
        <v>122.08999999999992</v>
      </c>
      <c r="OY26" s="593"/>
      <c r="OZ26" s="593"/>
      <c r="PA26" s="527"/>
      <c r="PB26" s="343">
        <v>75.799999999999955</v>
      </c>
      <c r="PC26" s="526">
        <v>195.20000000000005</v>
      </c>
      <c r="PD26" s="593"/>
      <c r="PE26" s="593"/>
      <c r="PF26" s="527"/>
      <c r="PG26" s="343">
        <v>193.29999999999995</v>
      </c>
      <c r="PH26" s="53"/>
      <c r="PI26" s="542" t="s">
        <v>17</v>
      </c>
      <c r="PJ26" s="543"/>
      <c r="PK26" s="543"/>
      <c r="PL26" s="543"/>
      <c r="PM26" s="21" t="s">
        <v>7</v>
      </c>
      <c r="PN26" s="526">
        <v>115.59999999999991</v>
      </c>
      <c r="PO26" s="593"/>
      <c r="PP26" s="593"/>
      <c r="PQ26" s="527"/>
      <c r="PR26" s="343">
        <v>0</v>
      </c>
      <c r="PS26" s="526">
        <v>126.26999999999998</v>
      </c>
      <c r="PT26" s="593"/>
      <c r="PU26" s="593"/>
      <c r="PV26" s="527"/>
      <c r="PW26" s="343">
        <v>88.900000000000091</v>
      </c>
      <c r="PX26" s="526">
        <v>100.79999999999995</v>
      </c>
      <c r="PY26" s="593"/>
      <c r="PZ26" s="593"/>
      <c r="QA26" s="527"/>
      <c r="QB26" s="343">
        <v>74.993199999999888</v>
      </c>
      <c r="QC26" s="526">
        <v>19.100000000000136</v>
      </c>
      <c r="QD26" s="593"/>
      <c r="QE26" s="593"/>
      <c r="QF26" s="527"/>
      <c r="QG26" s="343">
        <v>0</v>
      </c>
      <c r="QH26" s="53"/>
      <c r="QI26" s="542" t="s">
        <v>17</v>
      </c>
      <c r="QJ26" s="543"/>
      <c r="QK26" s="543"/>
      <c r="QL26" s="543"/>
      <c r="QM26" s="21" t="s">
        <v>7</v>
      </c>
      <c r="QN26" s="633">
        <v>94</v>
      </c>
      <c r="QO26" s="634"/>
      <c r="QP26" s="634"/>
      <c r="QQ26" s="635"/>
      <c r="QR26" s="343">
        <v>-0.40000000000009095</v>
      </c>
      <c r="QS26" s="526">
        <v>36.700000000000045</v>
      </c>
      <c r="QT26" s="593"/>
      <c r="QU26" s="593"/>
      <c r="QV26" s="527"/>
      <c r="QW26" s="343">
        <v>0</v>
      </c>
      <c r="QX26" s="526">
        <v>85.5</v>
      </c>
      <c r="QY26" s="593"/>
      <c r="QZ26" s="593"/>
      <c r="RA26" s="527"/>
      <c r="RB26" s="343">
        <v>50.799999999999955</v>
      </c>
      <c r="RC26" s="526">
        <v>24.799999999999955</v>
      </c>
      <c r="RD26" s="593"/>
      <c r="RE26" s="593"/>
      <c r="RF26" s="527"/>
      <c r="RG26" s="343">
        <v>0</v>
      </c>
      <c r="RH26" s="53"/>
      <c r="RI26" s="542" t="s">
        <v>17</v>
      </c>
      <c r="RJ26" s="543"/>
      <c r="RK26" s="543"/>
      <c r="RL26" s="543"/>
      <c r="RM26" s="21" t="s">
        <v>7</v>
      </c>
      <c r="RN26" s="526">
        <v>97.700000000000045</v>
      </c>
      <c r="RO26" s="593"/>
      <c r="RP26" s="593"/>
      <c r="RQ26" s="527"/>
      <c r="RR26" s="343">
        <v>0.20000000000004547</v>
      </c>
      <c r="RS26" s="526">
        <v>189.10000000000014</v>
      </c>
      <c r="RT26" s="593"/>
      <c r="RU26" s="593"/>
      <c r="RV26" s="527"/>
      <c r="RW26" s="343">
        <v>75</v>
      </c>
      <c r="RX26" s="526">
        <v>57.5</v>
      </c>
      <c r="RY26" s="593"/>
      <c r="RZ26" s="593"/>
      <c r="SA26" s="527"/>
      <c r="SB26" s="343">
        <v>21.600000000000136</v>
      </c>
      <c r="SC26" s="526">
        <v>53.799999999999955</v>
      </c>
      <c r="SD26" s="593"/>
      <c r="SE26" s="593"/>
      <c r="SF26" s="527"/>
      <c r="SG26" s="343">
        <v>50.599999999999909</v>
      </c>
      <c r="SH26" s="53"/>
      <c r="SI26" s="542" t="s">
        <v>17</v>
      </c>
      <c r="SJ26" s="543"/>
      <c r="SK26" s="543"/>
      <c r="SL26" s="543"/>
      <c r="SM26" s="21" t="s">
        <v>7</v>
      </c>
      <c r="SN26" s="526">
        <v>120.5</v>
      </c>
      <c r="SO26" s="593"/>
      <c r="SP26" s="593"/>
      <c r="SQ26" s="527"/>
      <c r="SR26" s="343">
        <v>0</v>
      </c>
      <c r="SS26" s="526">
        <v>64.200000000000045</v>
      </c>
      <c r="ST26" s="593"/>
      <c r="SU26" s="593"/>
      <c r="SV26" s="527"/>
      <c r="SW26" s="343">
        <v>0</v>
      </c>
      <c r="SX26" s="526">
        <v>165.5</v>
      </c>
      <c r="SY26" s="593"/>
      <c r="SZ26" s="593"/>
      <c r="TA26" s="527"/>
      <c r="TB26" s="343">
        <v>25</v>
      </c>
      <c r="TC26" s="526">
        <v>167.10000000000014</v>
      </c>
      <c r="TD26" s="593"/>
      <c r="TE26" s="593"/>
      <c r="TF26" s="527"/>
      <c r="TG26" s="343">
        <v>199</v>
      </c>
      <c r="TH26" s="53"/>
      <c r="TI26" s="542" t="s">
        <v>17</v>
      </c>
      <c r="TJ26" s="543"/>
      <c r="TK26" s="543"/>
      <c r="TL26" s="543"/>
      <c r="TM26" s="21" t="s">
        <v>7</v>
      </c>
      <c r="TN26" s="526">
        <v>140.09999999999991</v>
      </c>
      <c r="TO26" s="593"/>
      <c r="TP26" s="593"/>
      <c r="TQ26" s="527"/>
      <c r="TR26" s="343">
        <v>86.499999999999545</v>
      </c>
      <c r="TS26" s="544">
        <v>82.499999999999773</v>
      </c>
      <c r="TT26" s="642"/>
      <c r="TU26" s="642"/>
      <c r="TV26" s="545"/>
      <c r="TW26" s="526">
        <v>216.30000000000018</v>
      </c>
      <c r="TX26" s="593"/>
      <c r="TY26" s="593"/>
      <c r="TZ26" s="527"/>
      <c r="UA26" s="343">
        <v>214.59999999999991</v>
      </c>
      <c r="UB26" s="526">
        <v>272.39999999999986</v>
      </c>
      <c r="UC26" s="593"/>
      <c r="UD26" s="593"/>
      <c r="UE26" s="527"/>
      <c r="UF26" s="343">
        <v>266</v>
      </c>
      <c r="UG26" s="526">
        <v>385.79999999999995</v>
      </c>
      <c r="UH26" s="593"/>
      <c r="UI26" s="593"/>
      <c r="UJ26" s="527"/>
      <c r="UK26" s="343">
        <v>305</v>
      </c>
      <c r="UL26" s="53"/>
      <c r="UM26" s="542" t="s">
        <v>17</v>
      </c>
      <c r="UN26" s="543"/>
      <c r="UO26" s="543"/>
      <c r="UP26" s="543"/>
      <c r="UQ26" s="21" t="s">
        <v>7</v>
      </c>
      <c r="UR26" s="526">
        <v>187.89999999999986</v>
      </c>
      <c r="US26" s="593"/>
      <c r="UT26" s="593"/>
      <c r="UU26" s="527"/>
      <c r="UV26" s="343">
        <v>-0.29999999999995453</v>
      </c>
      <c r="UW26" s="526">
        <v>227.20000000000005</v>
      </c>
      <c r="UX26" s="593"/>
      <c r="UY26" s="593"/>
      <c r="UZ26" s="527"/>
      <c r="VA26" s="343">
        <v>194.40000000000009</v>
      </c>
      <c r="VB26" s="526">
        <v>212.89999999999986</v>
      </c>
      <c r="VC26" s="593"/>
      <c r="VD26" s="593"/>
      <c r="VE26" s="527"/>
      <c r="VF26" s="343">
        <v>200</v>
      </c>
      <c r="VG26" s="526"/>
      <c r="VH26" s="593"/>
      <c r="VI26" s="593"/>
      <c r="VJ26" s="527"/>
      <c r="VK26" s="343"/>
      <c r="VL26" s="343"/>
      <c r="VM26" s="526" t="str">
        <f>IF(VM20="","",VM24-VM23)</f>
        <v/>
      </c>
      <c r="VN26" s="593"/>
      <c r="VO26" s="593"/>
      <c r="VP26" s="527"/>
      <c r="VQ26" s="22" t="str">
        <f>IF(VQ20="","",VQ24-VQ23)</f>
        <v/>
      </c>
      <c r="VR26" s="290"/>
    </row>
    <row r="27" spans="1:590" ht="28.35" customHeight="1" x14ac:dyDescent="0.4">
      <c r="A27" s="85"/>
      <c r="G27" s="1" t="s">
        <v>22</v>
      </c>
      <c r="H27" s="3"/>
      <c r="I27" s="3"/>
      <c r="J27" s="3"/>
      <c r="K27" s="1"/>
      <c r="L27" s="1"/>
      <c r="M27" s="3"/>
      <c r="N27" s="3"/>
      <c r="O27" s="3"/>
      <c r="P27" s="1"/>
      <c r="Q27" s="1" t="s">
        <v>286</v>
      </c>
      <c r="R27" s="3"/>
      <c r="S27" s="3"/>
      <c r="T27" s="3"/>
      <c r="U27" s="3"/>
      <c r="V27" s="3"/>
      <c r="W27" s="3"/>
      <c r="X27" s="3"/>
      <c r="Y27" s="3"/>
      <c r="Z27" s="3"/>
      <c r="AG27" s="1" t="s">
        <v>22</v>
      </c>
      <c r="AH27" s="3"/>
      <c r="AI27" s="3"/>
      <c r="AJ27" s="3"/>
      <c r="AK27" s="1"/>
      <c r="AL27" s="1"/>
      <c r="AM27" s="3"/>
      <c r="AN27" s="3"/>
      <c r="AO27" s="3"/>
      <c r="AP27" s="1"/>
      <c r="AQ27" s="1" t="s">
        <v>286</v>
      </c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G27" s="1" t="s">
        <v>22</v>
      </c>
      <c r="BH27" s="3"/>
      <c r="BI27" s="3"/>
      <c r="BJ27" s="3"/>
      <c r="BK27" s="1"/>
      <c r="BL27" s="1"/>
      <c r="BM27" s="3"/>
      <c r="BN27" s="3"/>
      <c r="BO27" s="3"/>
      <c r="BP27" s="1"/>
      <c r="BQ27" s="1" t="s">
        <v>286</v>
      </c>
      <c r="BR27" s="3"/>
      <c r="BS27" s="3"/>
      <c r="BT27" s="3"/>
      <c r="BW27" s="3"/>
      <c r="BX27" s="3"/>
      <c r="BY27" s="3"/>
      <c r="CA27" s="85"/>
      <c r="CG27" s="1" t="s">
        <v>22</v>
      </c>
      <c r="CH27" s="3"/>
      <c r="CI27" s="3"/>
      <c r="CJ27" s="3"/>
      <c r="CK27" s="1"/>
      <c r="CL27" s="1"/>
      <c r="CM27" s="3"/>
      <c r="CN27" s="3"/>
      <c r="CO27" s="3"/>
      <c r="CP27" s="1"/>
      <c r="CQ27" s="1" t="s">
        <v>286</v>
      </c>
      <c r="CR27" s="3"/>
      <c r="CS27" s="3"/>
      <c r="CT27" s="3"/>
      <c r="CV27" s="3"/>
      <c r="CW27" s="3"/>
      <c r="CX27" s="3"/>
      <c r="CY27" s="3"/>
      <c r="CZ27" s="3"/>
      <c r="DA27" s="3"/>
      <c r="DB27" s="3"/>
      <c r="DC27" s="3"/>
      <c r="DD27" s="85"/>
      <c r="DJ27" s="1" t="s">
        <v>22</v>
      </c>
      <c r="DK27" s="3"/>
      <c r="DL27" s="3"/>
      <c r="DM27" s="3"/>
      <c r="DN27" s="1"/>
      <c r="DO27" s="1"/>
      <c r="DP27" s="3"/>
      <c r="DQ27" s="3"/>
      <c r="DR27" s="3"/>
      <c r="DS27" s="1"/>
      <c r="DT27" s="1" t="s">
        <v>286</v>
      </c>
      <c r="DX27" s="3"/>
      <c r="DY27" s="3"/>
      <c r="DZ27" s="3"/>
      <c r="EA27" s="3"/>
      <c r="EB27" s="3"/>
      <c r="EC27" s="3"/>
      <c r="EJ27" s="1" t="s">
        <v>22</v>
      </c>
      <c r="EK27" s="3"/>
      <c r="EL27" s="3"/>
      <c r="EM27" s="3"/>
      <c r="EN27" s="1"/>
      <c r="EO27" s="1"/>
      <c r="EP27" s="3"/>
      <c r="EQ27" s="3"/>
      <c r="ER27" s="3"/>
      <c r="ES27" s="1"/>
      <c r="ET27" s="1" t="s">
        <v>286</v>
      </c>
      <c r="EU27" s="3"/>
      <c r="EV27" s="3"/>
      <c r="EW27" s="3"/>
      <c r="EY27" s="1"/>
      <c r="EZ27" s="3"/>
      <c r="FA27" s="3"/>
      <c r="FB27" s="3"/>
      <c r="FC27" s="3"/>
      <c r="FJ27" s="1" t="s">
        <v>22</v>
      </c>
      <c r="FK27" s="3"/>
      <c r="FL27" s="3"/>
      <c r="FM27" s="3"/>
      <c r="FN27" s="1"/>
      <c r="FO27" s="1"/>
      <c r="FP27" s="3"/>
      <c r="FQ27" s="3"/>
      <c r="FR27" s="3"/>
      <c r="FS27" s="3"/>
      <c r="FT27" s="1" t="s">
        <v>286</v>
      </c>
      <c r="FU27" s="3"/>
      <c r="FV27" s="3"/>
      <c r="FW27" s="3"/>
      <c r="FX27" s="3"/>
      <c r="FZ27" s="3"/>
      <c r="GA27" s="3"/>
      <c r="GB27" s="3"/>
      <c r="GJ27" s="1" t="s">
        <v>22</v>
      </c>
      <c r="GK27" s="3"/>
      <c r="GL27" s="3"/>
      <c r="GM27" s="3"/>
      <c r="GN27" s="1"/>
      <c r="GO27" s="1"/>
      <c r="GP27" s="3"/>
      <c r="GQ27" s="3"/>
      <c r="GR27" s="3"/>
      <c r="GS27" s="3"/>
      <c r="GT27" s="2" t="s">
        <v>286</v>
      </c>
      <c r="GU27" s="3"/>
      <c r="GV27" s="3"/>
      <c r="GW27" s="3"/>
      <c r="GX27" s="3"/>
      <c r="GZ27" s="3"/>
      <c r="HA27" s="3"/>
      <c r="HB27" s="3"/>
      <c r="HD27" s="85"/>
      <c r="HJ27" s="1" t="s">
        <v>22</v>
      </c>
      <c r="HK27" s="3"/>
      <c r="HL27" s="3"/>
      <c r="HM27" s="3"/>
      <c r="HN27" s="1"/>
      <c r="HO27" s="1"/>
      <c r="HP27" s="3"/>
      <c r="HQ27" s="3"/>
      <c r="HR27" s="3"/>
      <c r="HS27" s="1"/>
      <c r="HT27" s="1" t="s">
        <v>286</v>
      </c>
      <c r="HU27" s="3"/>
      <c r="HV27" s="3"/>
      <c r="HW27" s="3"/>
      <c r="HX27" s="3"/>
      <c r="HY27" s="1"/>
      <c r="HZ27" s="3"/>
      <c r="IA27" s="3"/>
      <c r="IB27" s="3"/>
      <c r="IC27" s="3"/>
      <c r="ID27" s="85"/>
      <c r="IJ27" s="1" t="s">
        <v>22</v>
      </c>
      <c r="IK27" s="3"/>
      <c r="IL27" s="3"/>
      <c r="IM27" s="3"/>
      <c r="IN27" s="1"/>
      <c r="IO27" s="1"/>
      <c r="IP27" s="3"/>
      <c r="IQ27" s="3"/>
      <c r="IR27" s="3"/>
      <c r="IS27" s="3"/>
      <c r="IT27" s="1" t="s">
        <v>286</v>
      </c>
      <c r="IU27" s="3"/>
      <c r="IV27" s="1"/>
      <c r="IW27" s="3"/>
      <c r="IY27" s="3"/>
      <c r="IZ27" s="3"/>
      <c r="JA27" s="3"/>
      <c r="JB27" s="3"/>
      <c r="JC27" s="3"/>
      <c r="JD27" s="85"/>
      <c r="JJ27" s="1" t="s">
        <v>22</v>
      </c>
      <c r="JK27" s="3"/>
      <c r="JL27" s="3"/>
      <c r="JM27" s="3"/>
      <c r="JN27" s="1"/>
      <c r="JO27" s="1"/>
      <c r="JP27" s="3"/>
      <c r="JQ27" s="3"/>
      <c r="JR27" s="3"/>
      <c r="JS27" s="3"/>
      <c r="JT27" s="1" t="s">
        <v>286</v>
      </c>
      <c r="JU27" s="3"/>
      <c r="JV27" s="3"/>
      <c r="JW27" s="3"/>
      <c r="JX27" s="3"/>
      <c r="JY27" s="1"/>
      <c r="JZ27" s="3"/>
      <c r="KA27" s="3"/>
      <c r="KB27" s="3"/>
      <c r="KC27" s="3"/>
      <c r="KD27" s="85"/>
      <c r="KJ27" s="1" t="s">
        <v>22</v>
      </c>
      <c r="KK27" s="3"/>
      <c r="KL27" s="3"/>
      <c r="KM27" s="3"/>
      <c r="KN27" s="1"/>
      <c r="KO27" s="1"/>
      <c r="KP27" s="3"/>
      <c r="KQ27" s="3"/>
      <c r="KR27" s="3"/>
      <c r="KS27" s="1"/>
      <c r="KT27" s="1" t="s">
        <v>286</v>
      </c>
      <c r="KU27" s="3"/>
      <c r="KV27" s="3"/>
      <c r="KW27" s="3"/>
      <c r="KX27" s="3"/>
      <c r="KY27" s="3"/>
      <c r="KZ27" s="3"/>
      <c r="LA27" s="3"/>
      <c r="LB27" s="3"/>
      <c r="LC27" s="3"/>
      <c r="LD27" s="85"/>
      <c r="LJ27" s="1" t="s">
        <v>22</v>
      </c>
      <c r="LK27" s="3"/>
      <c r="LL27" s="3"/>
      <c r="LM27" s="3"/>
      <c r="LN27" s="1"/>
      <c r="LO27" s="1"/>
      <c r="LP27" s="3"/>
      <c r="LQ27" s="3"/>
      <c r="LR27" s="3"/>
      <c r="LS27" s="3"/>
      <c r="LT27" s="1" t="s">
        <v>286</v>
      </c>
      <c r="LU27" s="3"/>
      <c r="LV27" s="3"/>
      <c r="LW27" s="3"/>
      <c r="LX27" s="1"/>
      <c r="LZ27" s="3"/>
      <c r="MA27" s="3"/>
      <c r="MB27" s="3"/>
      <c r="MC27" s="3"/>
      <c r="MD27" s="85"/>
      <c r="MJ27" s="1" t="s">
        <v>22</v>
      </c>
      <c r="MK27" s="3"/>
      <c r="ML27" s="3"/>
      <c r="MM27" s="3"/>
      <c r="MN27" s="1"/>
      <c r="MO27" s="1"/>
      <c r="MP27" s="3"/>
      <c r="MQ27" s="3"/>
      <c r="MR27" s="3"/>
      <c r="MS27" s="3"/>
      <c r="MT27" s="1" t="s">
        <v>286</v>
      </c>
      <c r="MU27" s="3"/>
      <c r="MV27" s="3"/>
      <c r="MW27" s="3"/>
      <c r="MX27" s="1"/>
      <c r="MZ27" s="3"/>
      <c r="NA27" s="3"/>
      <c r="NB27" s="3"/>
      <c r="NC27" s="3"/>
      <c r="ND27" s="3"/>
      <c r="NE27" s="3"/>
      <c r="NF27" s="85"/>
      <c r="NL27" s="1" t="s">
        <v>22</v>
      </c>
      <c r="NM27" s="3"/>
      <c r="NN27" s="3"/>
      <c r="NO27" s="3"/>
      <c r="NP27" s="1"/>
      <c r="NQ27" s="1"/>
      <c r="NR27" s="3"/>
      <c r="NS27" s="3"/>
      <c r="NT27" s="3"/>
      <c r="NU27" s="3"/>
      <c r="NV27" s="1" t="s">
        <v>286</v>
      </c>
      <c r="NW27" s="3"/>
      <c r="NX27" s="3"/>
      <c r="NY27" s="3"/>
      <c r="NZ27" s="1"/>
      <c r="OB27" s="3"/>
      <c r="OC27" s="3"/>
      <c r="OD27" s="3"/>
      <c r="OE27" s="3"/>
      <c r="OF27" s="3"/>
      <c r="OG27" s="3"/>
      <c r="OH27" s="85"/>
      <c r="ON27" s="1" t="s">
        <v>22</v>
      </c>
      <c r="OO27" s="3"/>
      <c r="OP27" s="3"/>
      <c r="OQ27" s="3"/>
      <c r="OR27" s="1"/>
      <c r="OS27" s="1"/>
      <c r="OT27" s="3"/>
      <c r="OU27" s="3"/>
      <c r="OV27" s="3"/>
      <c r="OW27" s="3"/>
      <c r="OX27" s="1" t="s">
        <v>286</v>
      </c>
      <c r="OY27" s="3"/>
      <c r="OZ27" s="3"/>
      <c r="PA27" s="3"/>
      <c r="PB27" s="1"/>
      <c r="PD27" s="3"/>
      <c r="PE27" s="3"/>
      <c r="PF27" s="3"/>
      <c r="PG27" s="3"/>
      <c r="PH27" s="85"/>
      <c r="PN27" s="1" t="s">
        <v>22</v>
      </c>
      <c r="PO27" s="3"/>
      <c r="PP27" s="3"/>
      <c r="PQ27" s="3"/>
      <c r="PR27" s="1"/>
      <c r="PS27" s="1"/>
      <c r="PT27" s="3"/>
      <c r="PU27" s="3"/>
      <c r="PV27" s="3"/>
      <c r="PW27" s="3"/>
      <c r="PX27" s="1" t="s">
        <v>286</v>
      </c>
      <c r="PY27" s="3"/>
      <c r="PZ27" s="3"/>
      <c r="QA27" s="3"/>
      <c r="QB27" s="3"/>
      <c r="QD27" s="3"/>
      <c r="QE27" s="3"/>
      <c r="QF27" s="3"/>
      <c r="QG27" s="3"/>
      <c r="QH27" s="85"/>
      <c r="QN27" s="1" t="s">
        <v>22</v>
      </c>
      <c r="QO27" s="3"/>
      <c r="QP27" s="3"/>
      <c r="QQ27" s="3"/>
      <c r="QR27" s="1"/>
      <c r="QS27" s="1"/>
      <c r="QT27" s="3"/>
      <c r="QU27" s="3"/>
      <c r="QV27" s="3"/>
      <c r="QW27" s="3"/>
      <c r="QX27" s="1" t="s">
        <v>286</v>
      </c>
      <c r="QY27" s="3"/>
      <c r="QZ27" s="3"/>
      <c r="RA27" s="3"/>
      <c r="RB27" s="3"/>
      <c r="RD27" s="3"/>
      <c r="RE27" s="3"/>
      <c r="RF27" s="3"/>
      <c r="RG27" s="3"/>
      <c r="RH27" s="85"/>
      <c r="RN27" s="1" t="s">
        <v>22</v>
      </c>
      <c r="RO27" s="3"/>
      <c r="RP27" s="3"/>
      <c r="RQ27" s="3"/>
      <c r="RR27" s="1"/>
      <c r="RS27" s="1"/>
      <c r="RT27" s="3"/>
      <c r="RU27" s="3"/>
      <c r="RV27" s="3"/>
      <c r="RW27" s="1"/>
      <c r="RX27" s="1" t="s">
        <v>286</v>
      </c>
      <c r="RY27" s="3"/>
      <c r="RZ27" s="3"/>
      <c r="SA27" s="3"/>
      <c r="SB27" s="3"/>
      <c r="SD27" s="3"/>
      <c r="SE27" s="3"/>
      <c r="SF27" s="3"/>
      <c r="SG27" s="3"/>
      <c r="SH27" s="85"/>
      <c r="SN27" s="1" t="s">
        <v>22</v>
      </c>
      <c r="SO27" s="3"/>
      <c r="SP27" s="3"/>
      <c r="SQ27" s="3"/>
      <c r="SR27" s="1"/>
      <c r="SS27" s="1"/>
      <c r="ST27" s="3"/>
      <c r="SU27" s="3"/>
      <c r="SV27" s="3"/>
      <c r="SW27" s="1"/>
      <c r="SX27" s="1" t="s">
        <v>286</v>
      </c>
      <c r="SY27" s="3"/>
      <c r="SZ27" s="3"/>
      <c r="TA27" s="3"/>
      <c r="TB27" s="3"/>
      <c r="TD27" s="3"/>
      <c r="TE27" s="3"/>
      <c r="TF27" s="3"/>
      <c r="TG27" s="3"/>
      <c r="TH27" s="85"/>
      <c r="TN27" s="1" t="s">
        <v>22</v>
      </c>
      <c r="TO27" s="3"/>
      <c r="TP27" s="3"/>
      <c r="TQ27" s="3"/>
      <c r="TR27" s="1"/>
      <c r="TS27" s="1"/>
      <c r="TT27" s="3"/>
      <c r="TU27" s="3"/>
      <c r="TV27" s="3"/>
      <c r="TW27" s="1"/>
      <c r="TX27" s="3"/>
      <c r="TY27" s="3"/>
      <c r="TZ27" s="3"/>
      <c r="UA27" s="3"/>
      <c r="UB27" s="1" t="s">
        <v>286</v>
      </c>
      <c r="UC27" s="3"/>
      <c r="UD27" s="3"/>
      <c r="UE27" s="3"/>
      <c r="UF27" s="3"/>
      <c r="UH27" s="3"/>
      <c r="UI27" s="3"/>
      <c r="UJ27" s="3"/>
      <c r="UK27" s="3"/>
      <c r="UL27" s="85"/>
      <c r="UR27" s="1" t="s">
        <v>22</v>
      </c>
      <c r="US27" s="3"/>
      <c r="UT27" s="3"/>
      <c r="UU27" s="3"/>
      <c r="UV27" s="1"/>
      <c r="UW27" s="1"/>
      <c r="UX27" s="3"/>
      <c r="UY27" s="3"/>
      <c r="UZ27" s="3"/>
      <c r="VA27" s="1"/>
      <c r="VB27" s="1" t="s">
        <v>286</v>
      </c>
      <c r="VC27" s="3"/>
      <c r="VD27" s="3"/>
      <c r="VE27" s="3"/>
      <c r="VF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</row>
    <row r="28" spans="1:590" ht="28.35" customHeight="1" x14ac:dyDescent="0.4">
      <c r="G28" s="2" t="s">
        <v>532</v>
      </c>
      <c r="H28" s="3"/>
      <c r="I28" s="3"/>
      <c r="J28" s="3"/>
      <c r="K28" s="1"/>
      <c r="L28" s="1"/>
      <c r="M28" s="3"/>
      <c r="N28" s="3"/>
      <c r="O28" s="3"/>
      <c r="P28" s="1"/>
      <c r="Q28" s="1" t="s">
        <v>303</v>
      </c>
      <c r="R28" s="3"/>
      <c r="S28" s="3"/>
      <c r="T28" s="3"/>
      <c r="U28" s="3"/>
      <c r="V28" s="3"/>
      <c r="W28" s="3"/>
      <c r="X28" s="3"/>
      <c r="Y28" s="3"/>
      <c r="Z28" s="3"/>
      <c r="AG28" s="2" t="s">
        <v>532</v>
      </c>
      <c r="AH28" s="3"/>
      <c r="AI28" s="3"/>
      <c r="AJ28" s="3"/>
      <c r="AK28" s="1"/>
      <c r="AL28" s="1"/>
      <c r="AM28" s="3"/>
      <c r="AN28" s="3"/>
      <c r="AO28" s="3"/>
      <c r="AP28" s="1"/>
      <c r="AQ28" s="1" t="s">
        <v>303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G28" s="2" t="s">
        <v>516</v>
      </c>
      <c r="BH28" s="3"/>
      <c r="BI28" s="3"/>
      <c r="BJ28" s="3"/>
      <c r="BK28" s="1"/>
      <c r="BL28" s="1"/>
      <c r="BM28" s="3"/>
      <c r="BN28" s="3"/>
      <c r="BO28" s="3"/>
      <c r="BP28" s="1"/>
      <c r="BQ28" s="1" t="s">
        <v>303</v>
      </c>
      <c r="BR28" s="3"/>
      <c r="BS28" s="3"/>
      <c r="BT28" s="3"/>
      <c r="BW28" s="3"/>
      <c r="BX28" s="3"/>
      <c r="BY28" s="3"/>
      <c r="CG28" s="2" t="s">
        <v>516</v>
      </c>
      <c r="CH28" s="3"/>
      <c r="CI28" s="3"/>
      <c r="CJ28" s="3"/>
      <c r="CK28" s="1"/>
      <c r="CL28" s="1"/>
      <c r="CM28" s="3"/>
      <c r="CN28" s="3"/>
      <c r="CO28" s="3"/>
      <c r="CP28" s="1"/>
      <c r="CQ28" s="1" t="s">
        <v>303</v>
      </c>
      <c r="CR28" s="3"/>
      <c r="CS28" s="3"/>
      <c r="CT28" s="3"/>
      <c r="CV28" s="3"/>
      <c r="CW28" s="3"/>
      <c r="CX28" s="3"/>
      <c r="CY28" s="3"/>
      <c r="CZ28" s="3"/>
      <c r="DA28" s="3"/>
      <c r="DB28" s="3"/>
      <c r="DC28" s="3"/>
      <c r="DJ28" s="2" t="s">
        <v>565</v>
      </c>
      <c r="DK28" s="3"/>
      <c r="DL28" s="3"/>
      <c r="DM28" s="3"/>
      <c r="DN28" s="1"/>
      <c r="DO28" s="1"/>
      <c r="DP28" s="3"/>
      <c r="DQ28" s="3"/>
      <c r="DR28" s="3"/>
      <c r="DS28" s="1"/>
      <c r="DT28" s="1" t="s">
        <v>303</v>
      </c>
      <c r="DX28" s="3"/>
      <c r="DY28" s="3"/>
      <c r="DZ28" s="3"/>
      <c r="EA28" s="3"/>
      <c r="EB28" s="3"/>
      <c r="EC28" s="3"/>
      <c r="EJ28" s="2" t="s">
        <v>565</v>
      </c>
      <c r="EK28" s="3"/>
      <c r="EL28" s="3"/>
      <c r="EM28" s="3"/>
      <c r="EN28" s="1"/>
      <c r="EO28" s="1"/>
      <c r="EP28" s="3"/>
      <c r="EQ28" s="3"/>
      <c r="ER28" s="3"/>
      <c r="ES28" s="1"/>
      <c r="ET28" s="1" t="s">
        <v>303</v>
      </c>
      <c r="EU28" s="3"/>
      <c r="EV28" s="3"/>
      <c r="EW28" s="3"/>
      <c r="EY28" s="1"/>
      <c r="EZ28" s="3"/>
      <c r="FA28" s="3"/>
      <c r="FB28" s="3"/>
      <c r="FC28" s="3"/>
      <c r="FJ28" s="2" t="s">
        <v>565</v>
      </c>
      <c r="FK28" s="3"/>
      <c r="FL28" s="3"/>
      <c r="FM28" s="3"/>
      <c r="FN28" s="1"/>
      <c r="FO28" s="1"/>
      <c r="FP28" s="3"/>
      <c r="FQ28" s="3"/>
      <c r="FR28" s="3"/>
      <c r="FS28" s="3"/>
      <c r="FT28" s="1" t="s">
        <v>303</v>
      </c>
      <c r="FU28" s="3"/>
      <c r="FV28" s="3"/>
      <c r="FW28" s="3"/>
      <c r="FX28" s="3"/>
      <c r="FZ28" s="3"/>
      <c r="GA28" s="3"/>
      <c r="GB28" s="3"/>
      <c r="GJ28" s="2" t="s">
        <v>565</v>
      </c>
      <c r="GK28" s="3"/>
      <c r="GL28" s="3"/>
      <c r="GM28" s="3"/>
      <c r="GN28" s="1"/>
      <c r="GO28" s="1"/>
      <c r="GP28" s="3"/>
      <c r="GQ28" s="3"/>
      <c r="GR28" s="3"/>
      <c r="GS28" s="3"/>
      <c r="GT28" s="2" t="s">
        <v>303</v>
      </c>
      <c r="GU28" s="3"/>
      <c r="GV28" s="3"/>
      <c r="GW28" s="3"/>
      <c r="GX28" s="3"/>
      <c r="GZ28" s="3"/>
      <c r="HA28" s="3"/>
      <c r="HB28" s="3"/>
      <c r="HJ28" s="2" t="s">
        <v>565</v>
      </c>
      <c r="HK28" s="3"/>
      <c r="HL28" s="3"/>
      <c r="HM28" s="3"/>
      <c r="HN28" s="1"/>
      <c r="HO28" s="1"/>
      <c r="HP28" s="3"/>
      <c r="HQ28" s="3"/>
      <c r="HR28" s="3"/>
      <c r="HS28" s="1"/>
      <c r="HT28" s="1" t="s">
        <v>303</v>
      </c>
      <c r="HU28" s="3"/>
      <c r="HV28" s="3"/>
      <c r="HW28" s="3"/>
      <c r="HX28" s="3"/>
      <c r="HY28" s="1"/>
      <c r="HZ28" s="3"/>
      <c r="IA28" s="3"/>
      <c r="IB28" s="3"/>
      <c r="IC28" s="3"/>
      <c r="IJ28" s="2" t="s">
        <v>565</v>
      </c>
      <c r="IK28" s="3"/>
      <c r="IL28" s="3"/>
      <c r="IM28" s="3"/>
      <c r="IN28" s="1"/>
      <c r="IO28" s="1"/>
      <c r="IP28" s="3"/>
      <c r="IQ28" s="3"/>
      <c r="IR28" s="3"/>
      <c r="IS28" s="3"/>
      <c r="IT28" s="1" t="s">
        <v>303</v>
      </c>
      <c r="IU28" s="3"/>
      <c r="IV28" s="1"/>
      <c r="IW28" s="3"/>
      <c r="IY28" s="3"/>
      <c r="IZ28" s="3"/>
      <c r="JA28" s="3"/>
      <c r="JB28" s="3"/>
      <c r="JC28" s="3"/>
      <c r="JJ28" s="2" t="s">
        <v>565</v>
      </c>
      <c r="JK28" s="3"/>
      <c r="JL28" s="3"/>
      <c r="JM28" s="3"/>
      <c r="JN28" s="1"/>
      <c r="JO28" s="1"/>
      <c r="JP28" s="3"/>
      <c r="JQ28" s="3"/>
      <c r="JR28" s="3"/>
      <c r="JS28" s="3"/>
      <c r="JT28" s="1" t="s">
        <v>303</v>
      </c>
      <c r="JU28" s="3"/>
      <c r="JV28" s="3"/>
      <c r="JW28" s="3"/>
      <c r="JX28" s="3"/>
      <c r="JY28" s="1"/>
      <c r="JZ28" s="3"/>
      <c r="KA28" s="3"/>
      <c r="KB28" s="3"/>
      <c r="KC28" s="3"/>
      <c r="KJ28" s="2" t="s">
        <v>624</v>
      </c>
      <c r="KK28" s="3"/>
      <c r="KL28" s="3"/>
      <c r="KM28" s="3"/>
      <c r="KN28" s="1"/>
      <c r="KO28" s="1"/>
      <c r="KP28" s="3"/>
      <c r="KQ28" s="3"/>
      <c r="KR28" s="3"/>
      <c r="KS28" s="1"/>
      <c r="KT28" s="1" t="s">
        <v>303</v>
      </c>
      <c r="KU28" s="3"/>
      <c r="KV28" s="3"/>
      <c r="KW28" s="3"/>
      <c r="KX28" s="3"/>
      <c r="KY28" s="3"/>
      <c r="KZ28" s="3"/>
      <c r="LA28" s="3"/>
      <c r="LB28" s="3"/>
      <c r="LC28" s="3"/>
      <c r="LJ28" s="2" t="s">
        <v>638</v>
      </c>
      <c r="LK28" s="3"/>
      <c r="LL28" s="3"/>
      <c r="LM28" s="3"/>
      <c r="LN28" s="1"/>
      <c r="LO28" s="1"/>
      <c r="LP28" s="3"/>
      <c r="LQ28" s="3"/>
      <c r="LR28" s="3"/>
      <c r="LS28" s="3"/>
      <c r="LT28" s="1" t="s">
        <v>303</v>
      </c>
      <c r="LU28" s="3"/>
      <c r="LV28" s="3"/>
      <c r="LW28" s="3"/>
      <c r="LX28" s="1"/>
      <c r="LZ28" s="3"/>
      <c r="MA28" s="3"/>
      <c r="MB28" s="3"/>
      <c r="MC28" s="3"/>
      <c r="MJ28" s="2" t="s">
        <v>650</v>
      </c>
      <c r="MK28" s="3"/>
      <c r="ML28" s="3"/>
      <c r="MM28" s="3"/>
      <c r="MN28" s="1"/>
      <c r="MO28" s="1"/>
      <c r="MP28" s="3"/>
      <c r="MQ28" s="3"/>
      <c r="MR28" s="3"/>
      <c r="MS28" s="3"/>
      <c r="MT28" s="1" t="s">
        <v>303</v>
      </c>
      <c r="MU28" s="3"/>
      <c r="MV28" s="3"/>
      <c r="MW28" s="3"/>
      <c r="MX28" s="1"/>
      <c r="MZ28" s="3"/>
      <c r="NA28" s="3"/>
      <c r="NB28" s="3"/>
      <c r="NC28" s="3"/>
      <c r="ND28" s="3"/>
      <c r="NE28" s="3"/>
      <c r="NL28" s="2" t="s">
        <v>658</v>
      </c>
      <c r="NM28" s="3"/>
      <c r="NN28" s="3"/>
      <c r="NO28" s="3"/>
      <c r="NP28" s="1"/>
      <c r="NQ28" s="1"/>
      <c r="NR28" s="3"/>
      <c r="NS28" s="3"/>
      <c r="NT28" s="3"/>
      <c r="NU28" s="3"/>
      <c r="NV28" s="1" t="s">
        <v>303</v>
      </c>
      <c r="NW28" s="3"/>
      <c r="NX28" s="3"/>
      <c r="NY28" s="3"/>
      <c r="NZ28" s="1"/>
      <c r="OB28" s="3"/>
      <c r="OC28" s="3"/>
      <c r="OD28" s="3"/>
      <c r="OE28" s="3"/>
      <c r="OF28" s="3"/>
      <c r="OG28" s="3"/>
      <c r="ON28" s="2" t="s">
        <v>658</v>
      </c>
      <c r="OO28" s="3"/>
      <c r="OP28" s="3"/>
      <c r="OQ28" s="3"/>
      <c r="OR28" s="1"/>
      <c r="OS28" s="1"/>
      <c r="OT28" s="3"/>
      <c r="OU28" s="3"/>
      <c r="OV28" s="3"/>
      <c r="OW28" s="3"/>
      <c r="OX28" s="1" t="s">
        <v>303</v>
      </c>
      <c r="OY28" s="3"/>
      <c r="OZ28" s="3"/>
      <c r="PA28" s="3"/>
      <c r="PB28" s="1"/>
      <c r="PD28" s="3"/>
      <c r="PE28" s="3"/>
      <c r="PF28" s="3"/>
      <c r="PG28" s="3"/>
      <c r="PN28" s="2" t="s">
        <v>677</v>
      </c>
      <c r="PO28" s="3"/>
      <c r="PP28" s="3"/>
      <c r="PQ28" s="3"/>
      <c r="PR28" s="1"/>
      <c r="PS28" s="1"/>
      <c r="PT28" s="3"/>
      <c r="PU28" s="3"/>
      <c r="PV28" s="3"/>
      <c r="PW28" s="3"/>
      <c r="PX28" s="1" t="s">
        <v>303</v>
      </c>
      <c r="PY28" s="3"/>
      <c r="PZ28" s="3"/>
      <c r="QA28" s="3"/>
      <c r="QB28" s="3"/>
      <c r="QD28" s="3"/>
      <c r="QE28" s="3"/>
      <c r="QF28" s="3"/>
      <c r="QG28" s="3"/>
      <c r="QN28" s="2" t="s">
        <v>677</v>
      </c>
      <c r="QO28" s="3"/>
      <c r="QP28" s="3"/>
      <c r="QQ28" s="3"/>
      <c r="QR28" s="1"/>
      <c r="QS28" s="1"/>
      <c r="QT28" s="3"/>
      <c r="QU28" s="3"/>
      <c r="QV28" s="3"/>
      <c r="QW28" s="3"/>
      <c r="QX28" s="1" t="s">
        <v>303</v>
      </c>
      <c r="QY28" s="3"/>
      <c r="QZ28" s="3"/>
      <c r="RA28" s="3"/>
      <c r="RB28" s="3"/>
      <c r="RD28" s="3"/>
      <c r="RE28" s="3"/>
      <c r="RF28" s="3"/>
      <c r="RG28" s="3"/>
      <c r="RN28" s="2" t="s">
        <v>677</v>
      </c>
      <c r="RO28" s="3"/>
      <c r="RP28" s="3"/>
      <c r="RQ28" s="3"/>
      <c r="RR28" s="1"/>
      <c r="RS28" s="1"/>
      <c r="RT28" s="3"/>
      <c r="RU28" s="3"/>
      <c r="RV28" s="3"/>
      <c r="RW28" s="1"/>
      <c r="RX28" s="1" t="s">
        <v>303</v>
      </c>
      <c r="RY28" s="3"/>
      <c r="RZ28" s="3"/>
      <c r="SA28" s="3"/>
      <c r="SB28" s="3"/>
      <c r="SD28" s="3"/>
      <c r="SE28" s="3"/>
      <c r="SF28" s="3"/>
      <c r="SG28" s="3"/>
      <c r="SN28" s="2" t="s">
        <v>677</v>
      </c>
      <c r="SO28" s="3"/>
      <c r="SP28" s="3"/>
      <c r="SQ28" s="3"/>
      <c r="SR28" s="1"/>
      <c r="SS28" s="1"/>
      <c r="ST28" s="3"/>
      <c r="SU28" s="3"/>
      <c r="SV28" s="3"/>
      <c r="SW28" s="1"/>
      <c r="SX28" s="1" t="s">
        <v>303</v>
      </c>
      <c r="SY28" s="3"/>
      <c r="SZ28" s="3"/>
      <c r="TA28" s="3"/>
      <c r="TB28" s="3"/>
      <c r="TD28" s="3"/>
      <c r="TE28" s="3"/>
      <c r="TF28" s="3"/>
      <c r="TG28" s="3"/>
      <c r="TN28" s="2" t="s">
        <v>677</v>
      </c>
      <c r="TO28" s="3"/>
      <c r="TP28" s="3"/>
      <c r="TQ28" s="3"/>
      <c r="TR28" s="1"/>
      <c r="TS28" s="1"/>
      <c r="TT28" s="3"/>
      <c r="TU28" s="3"/>
      <c r="TV28" s="3"/>
      <c r="TW28" s="1"/>
      <c r="TX28" s="3"/>
      <c r="TY28" s="3"/>
      <c r="TZ28" s="3"/>
      <c r="UA28" s="3"/>
      <c r="UB28" s="1" t="s">
        <v>303</v>
      </c>
      <c r="UC28" s="3"/>
      <c r="UD28" s="3"/>
      <c r="UE28" s="3"/>
      <c r="UF28" s="3"/>
      <c r="UH28" s="3"/>
      <c r="UI28" s="3"/>
      <c r="UJ28" s="3"/>
      <c r="UK28" s="3"/>
      <c r="UR28" s="2" t="s">
        <v>677</v>
      </c>
      <c r="US28" s="3"/>
      <c r="UT28" s="3"/>
      <c r="UU28" s="3"/>
      <c r="UV28" s="1"/>
      <c r="UW28" s="1"/>
      <c r="UX28" s="3"/>
      <c r="UY28" s="3"/>
      <c r="UZ28" s="3"/>
      <c r="VA28" s="1"/>
      <c r="VB28" s="1" t="s">
        <v>303</v>
      </c>
      <c r="VC28" s="3"/>
      <c r="VD28" s="3"/>
      <c r="VE28" s="3"/>
      <c r="VF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</row>
    <row r="29" spans="1:590" ht="28.35" customHeight="1" x14ac:dyDescent="0.4">
      <c r="G29" s="1" t="s">
        <v>23</v>
      </c>
      <c r="H29" s="3"/>
      <c r="I29" s="3"/>
      <c r="J29" s="3"/>
      <c r="K29" s="1"/>
      <c r="L29" s="1"/>
      <c r="M29" s="3"/>
      <c r="N29" s="3"/>
      <c r="O29" s="3"/>
      <c r="P29" s="1"/>
      <c r="Q29" s="1" t="s">
        <v>288</v>
      </c>
      <c r="R29" s="3"/>
      <c r="S29" s="3"/>
      <c r="T29" s="3"/>
      <c r="U29" s="3"/>
      <c r="V29" s="3"/>
      <c r="W29" s="3"/>
      <c r="X29" s="3"/>
      <c r="Y29" s="3"/>
      <c r="Z29" s="3"/>
      <c r="AG29" s="1" t="s">
        <v>23</v>
      </c>
      <c r="AH29" s="3"/>
      <c r="AI29" s="3"/>
      <c r="AJ29" s="3"/>
      <c r="AK29" s="1"/>
      <c r="AL29" s="1"/>
      <c r="AM29" s="3"/>
      <c r="AN29" s="3"/>
      <c r="AO29" s="3"/>
      <c r="AP29" s="1"/>
      <c r="AQ29" s="1" t="s">
        <v>288</v>
      </c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G29" s="1" t="s">
        <v>23</v>
      </c>
      <c r="BH29" s="3"/>
      <c r="BI29" s="3"/>
      <c r="BJ29" s="3"/>
      <c r="BK29" s="1"/>
      <c r="BL29" s="1"/>
      <c r="BM29" s="3"/>
      <c r="BN29" s="3"/>
      <c r="BO29" s="3"/>
      <c r="BP29" s="1"/>
      <c r="BQ29" s="1" t="s">
        <v>288</v>
      </c>
      <c r="BR29" s="3"/>
      <c r="BS29" s="3"/>
      <c r="BT29" s="3"/>
      <c r="BW29" s="3"/>
      <c r="BX29" s="3"/>
      <c r="BY29" s="3"/>
      <c r="CG29" s="1" t="s">
        <v>23</v>
      </c>
      <c r="CH29" s="3"/>
      <c r="CI29" s="3"/>
      <c r="CJ29" s="3"/>
      <c r="CK29" s="1"/>
      <c r="CL29" s="1"/>
      <c r="CM29" s="3"/>
      <c r="CN29" s="3"/>
      <c r="CO29" s="3"/>
      <c r="CP29" s="1"/>
      <c r="CQ29" s="1" t="s">
        <v>288</v>
      </c>
      <c r="CR29" s="3"/>
      <c r="CS29" s="3"/>
      <c r="CT29" s="3"/>
      <c r="CV29" s="3"/>
      <c r="CW29" s="3"/>
      <c r="CX29" s="3"/>
      <c r="CY29" s="3"/>
      <c r="CZ29" s="3"/>
      <c r="DA29" s="3"/>
      <c r="DB29" s="3"/>
      <c r="DC29" s="3"/>
      <c r="DJ29" s="1" t="s">
        <v>23</v>
      </c>
      <c r="DK29" s="3"/>
      <c r="DL29" s="3"/>
      <c r="DM29" s="3"/>
      <c r="DN29" s="1"/>
      <c r="DO29" s="1"/>
      <c r="DP29" s="3"/>
      <c r="DQ29" s="3"/>
      <c r="DR29" s="3"/>
      <c r="DS29" s="1"/>
      <c r="DT29" s="1" t="s">
        <v>288</v>
      </c>
      <c r="DX29" s="3"/>
      <c r="DY29" s="3"/>
      <c r="DZ29" s="3"/>
      <c r="EA29" s="3"/>
      <c r="EB29" s="3"/>
      <c r="EC29" s="3"/>
      <c r="EJ29" s="1" t="s">
        <v>23</v>
      </c>
      <c r="EK29" s="3"/>
      <c r="EL29" s="3"/>
      <c r="EM29" s="3"/>
      <c r="EN29" s="1"/>
      <c r="EO29" s="1"/>
      <c r="EP29" s="3"/>
      <c r="EQ29" s="3"/>
      <c r="ER29" s="3"/>
      <c r="ES29" s="1"/>
      <c r="ET29" s="1" t="s">
        <v>288</v>
      </c>
      <c r="EU29" s="3"/>
      <c r="EV29" s="3"/>
      <c r="EW29" s="3"/>
      <c r="EY29" s="1"/>
      <c r="EZ29" s="3"/>
      <c r="FA29" s="3"/>
      <c r="FB29" s="3"/>
      <c r="FC29" s="3"/>
      <c r="FJ29" s="1" t="s">
        <v>23</v>
      </c>
      <c r="FK29" s="3"/>
      <c r="FL29" s="3"/>
      <c r="FM29" s="3"/>
      <c r="FN29" s="1"/>
      <c r="FO29" s="1"/>
      <c r="FP29" s="3"/>
      <c r="FQ29" s="3"/>
      <c r="FR29" s="3"/>
      <c r="FS29" s="3"/>
      <c r="FT29" s="1" t="s">
        <v>288</v>
      </c>
      <c r="FU29" s="3"/>
      <c r="FV29" s="3"/>
      <c r="FW29" s="3"/>
      <c r="FX29" s="3"/>
      <c r="FZ29" s="3"/>
      <c r="GA29" s="3"/>
      <c r="GB29" s="3"/>
      <c r="GJ29" s="1" t="s">
        <v>23</v>
      </c>
      <c r="GK29" s="3"/>
      <c r="GL29" s="3"/>
      <c r="GM29" s="3"/>
      <c r="GN29" s="1"/>
      <c r="GO29" s="1"/>
      <c r="GP29" s="3"/>
      <c r="GQ29" s="3"/>
      <c r="GR29" s="3"/>
      <c r="GS29" s="3"/>
      <c r="GT29" s="2" t="s">
        <v>288</v>
      </c>
      <c r="GU29" s="3"/>
      <c r="GV29" s="3"/>
      <c r="GW29" s="3"/>
      <c r="GX29" s="3"/>
      <c r="GZ29" s="3"/>
      <c r="HA29" s="3"/>
      <c r="HB29" s="3"/>
      <c r="HJ29" s="1" t="s">
        <v>23</v>
      </c>
      <c r="HK29" s="3"/>
      <c r="HL29" s="3"/>
      <c r="HM29" s="3"/>
      <c r="HN29" s="1"/>
      <c r="HO29" s="1"/>
      <c r="HP29" s="3"/>
      <c r="HQ29" s="3"/>
      <c r="HR29" s="3"/>
      <c r="HS29" s="1"/>
      <c r="HT29" s="1" t="s">
        <v>288</v>
      </c>
      <c r="HU29" s="3"/>
      <c r="HV29" s="3"/>
      <c r="HW29" s="3"/>
      <c r="HX29" s="3"/>
      <c r="HY29" s="1"/>
      <c r="HZ29" s="3"/>
      <c r="IA29" s="3"/>
      <c r="IB29" s="3"/>
      <c r="IC29" s="3"/>
      <c r="IJ29" s="1" t="s">
        <v>23</v>
      </c>
      <c r="IK29" s="3"/>
      <c r="IL29" s="3"/>
      <c r="IM29" s="3"/>
      <c r="IN29" s="1"/>
      <c r="IO29" s="1"/>
      <c r="IP29" s="3"/>
      <c r="IQ29" s="3"/>
      <c r="IR29" s="3"/>
      <c r="IS29" s="3"/>
      <c r="IT29" s="1" t="s">
        <v>288</v>
      </c>
      <c r="IU29" s="3"/>
      <c r="IV29" s="1"/>
      <c r="IW29" s="3"/>
      <c r="IY29" s="3"/>
      <c r="IZ29" s="3"/>
      <c r="JA29" s="3"/>
      <c r="JB29" s="3"/>
      <c r="JC29" s="3"/>
      <c r="JJ29" s="1" t="s">
        <v>23</v>
      </c>
      <c r="JK29" s="3"/>
      <c r="JL29" s="3"/>
      <c r="JM29" s="3"/>
      <c r="JN29" s="1"/>
      <c r="JO29" s="1"/>
      <c r="JP29" s="3"/>
      <c r="JQ29" s="3"/>
      <c r="JR29" s="3"/>
      <c r="JS29" s="3"/>
      <c r="JT29" s="1" t="s">
        <v>288</v>
      </c>
      <c r="JU29" s="3"/>
      <c r="JV29" s="3"/>
      <c r="JW29" s="3"/>
      <c r="JX29" s="3"/>
      <c r="JY29" s="1"/>
      <c r="JZ29" s="3"/>
      <c r="KA29" s="3"/>
      <c r="KB29" s="3"/>
      <c r="KC29" s="3"/>
      <c r="KJ29" s="1" t="s">
        <v>23</v>
      </c>
      <c r="KK29" s="3"/>
      <c r="KL29" s="3"/>
      <c r="KM29" s="3"/>
      <c r="KN29" s="1"/>
      <c r="KO29" s="1"/>
      <c r="KP29" s="3"/>
      <c r="KQ29" s="3"/>
      <c r="KR29" s="3"/>
      <c r="KS29" s="1"/>
      <c r="KT29" s="1" t="s">
        <v>288</v>
      </c>
      <c r="KU29" s="3"/>
      <c r="KV29" s="3"/>
      <c r="KW29" s="3"/>
      <c r="KX29" s="3"/>
      <c r="KY29" s="3"/>
      <c r="KZ29" s="3"/>
      <c r="LA29" s="3"/>
      <c r="LB29" s="3"/>
      <c r="LC29" s="3"/>
      <c r="LJ29" s="1" t="s">
        <v>23</v>
      </c>
      <c r="LK29" s="3"/>
      <c r="LL29" s="3"/>
      <c r="LM29" s="3"/>
      <c r="LN29" s="1"/>
      <c r="LO29" s="1"/>
      <c r="LP29" s="3"/>
      <c r="LQ29" s="3"/>
      <c r="LR29" s="3"/>
      <c r="LS29" s="3"/>
      <c r="LT29" s="1" t="s">
        <v>288</v>
      </c>
      <c r="LU29" s="3"/>
      <c r="LV29" s="3"/>
      <c r="LW29" s="3"/>
      <c r="LX29" s="1"/>
      <c r="LZ29" s="3"/>
      <c r="MA29" s="3"/>
      <c r="MB29" s="3"/>
      <c r="MC29" s="3"/>
      <c r="MJ29" s="1" t="s">
        <v>23</v>
      </c>
      <c r="MK29" s="3"/>
      <c r="ML29" s="3"/>
      <c r="MM29" s="3"/>
      <c r="MN29" s="1"/>
      <c r="MO29" s="1"/>
      <c r="MP29" s="3"/>
      <c r="MQ29" s="3"/>
      <c r="MR29" s="3"/>
      <c r="MS29" s="3"/>
      <c r="MT29" s="1" t="s">
        <v>288</v>
      </c>
      <c r="MU29" s="3"/>
      <c r="MV29" s="3"/>
      <c r="MW29" s="3"/>
      <c r="MX29" s="1"/>
      <c r="MZ29" s="3"/>
      <c r="NA29" s="3"/>
      <c r="NB29" s="3"/>
      <c r="NC29" s="3"/>
      <c r="ND29" s="3"/>
      <c r="NE29" s="3"/>
      <c r="NL29" s="1" t="s">
        <v>23</v>
      </c>
      <c r="NM29" s="3"/>
      <c r="NN29" s="3"/>
      <c r="NO29" s="3"/>
      <c r="NP29" s="1"/>
      <c r="NQ29" s="1"/>
      <c r="NR29" s="3"/>
      <c r="NS29" s="3"/>
      <c r="NT29" s="3"/>
      <c r="NU29" s="3"/>
      <c r="NV29" s="1" t="s">
        <v>288</v>
      </c>
      <c r="NW29" s="3"/>
      <c r="NX29" s="3"/>
      <c r="NY29" s="3"/>
      <c r="NZ29" s="1"/>
      <c r="OB29" s="3"/>
      <c r="OC29" s="3"/>
      <c r="OD29" s="3"/>
      <c r="OE29" s="3"/>
      <c r="OF29" s="3"/>
      <c r="OG29" s="3"/>
      <c r="ON29" s="1" t="s">
        <v>23</v>
      </c>
      <c r="OO29" s="3"/>
      <c r="OP29" s="3"/>
      <c r="OQ29" s="3"/>
      <c r="OR29" s="1"/>
      <c r="OS29" s="1"/>
      <c r="OT29" s="3"/>
      <c r="OU29" s="3"/>
      <c r="OV29" s="3"/>
      <c r="OW29" s="3"/>
      <c r="OX29" s="1" t="s">
        <v>288</v>
      </c>
      <c r="OY29" s="3"/>
      <c r="OZ29" s="3"/>
      <c r="PA29" s="3"/>
      <c r="PB29" s="1"/>
      <c r="PD29" s="3"/>
      <c r="PE29" s="3"/>
      <c r="PF29" s="3"/>
      <c r="PG29" s="3"/>
      <c r="PN29" s="1" t="s">
        <v>23</v>
      </c>
      <c r="PO29" s="3"/>
      <c r="PP29" s="3"/>
      <c r="PQ29" s="3"/>
      <c r="PR29" s="1"/>
      <c r="PS29" s="1"/>
      <c r="PT29" s="3"/>
      <c r="PU29" s="3"/>
      <c r="PV29" s="3"/>
      <c r="PW29" s="3"/>
      <c r="PX29" s="1" t="s">
        <v>288</v>
      </c>
      <c r="PY29" s="3"/>
      <c r="PZ29" s="3"/>
      <c r="QA29" s="3"/>
      <c r="QB29" s="3"/>
      <c r="QD29" s="3"/>
      <c r="QE29" s="3"/>
      <c r="QF29" s="3"/>
      <c r="QG29" s="3"/>
      <c r="QN29" s="1" t="s">
        <v>23</v>
      </c>
      <c r="QO29" s="3"/>
      <c r="QP29" s="3"/>
      <c r="QQ29" s="3"/>
      <c r="QR29" s="1"/>
      <c r="QS29" s="1"/>
      <c r="QT29" s="3"/>
      <c r="QU29" s="3"/>
      <c r="QV29" s="3"/>
      <c r="QW29" s="3"/>
      <c r="QX29" s="1" t="s">
        <v>288</v>
      </c>
      <c r="QY29" s="3"/>
      <c r="QZ29" s="3"/>
      <c r="RA29" s="3"/>
      <c r="RB29" s="3"/>
      <c r="RD29" s="3"/>
      <c r="RE29" s="3"/>
      <c r="RF29" s="3"/>
      <c r="RG29" s="3"/>
      <c r="RN29" s="1" t="s">
        <v>23</v>
      </c>
      <c r="RO29" s="3"/>
      <c r="RP29" s="3"/>
      <c r="RQ29" s="3"/>
      <c r="RR29" s="1"/>
      <c r="RS29" s="1"/>
      <c r="RT29" s="3"/>
      <c r="RU29" s="3"/>
      <c r="RV29" s="3"/>
      <c r="RW29" s="1"/>
      <c r="RX29" s="1" t="s">
        <v>288</v>
      </c>
      <c r="RY29" s="3"/>
      <c r="RZ29" s="3"/>
      <c r="SA29" s="3"/>
      <c r="SB29" s="3"/>
      <c r="SD29" s="3"/>
      <c r="SE29" s="3"/>
      <c r="SF29" s="3"/>
      <c r="SG29" s="3"/>
      <c r="SN29" s="1" t="s">
        <v>23</v>
      </c>
      <c r="SO29" s="3"/>
      <c r="SP29" s="3"/>
      <c r="SQ29" s="3"/>
      <c r="SR29" s="1"/>
      <c r="SS29" s="1"/>
      <c r="ST29" s="3"/>
      <c r="SU29" s="3"/>
      <c r="SV29" s="3"/>
      <c r="SW29" s="1"/>
      <c r="SX29" s="1" t="s">
        <v>288</v>
      </c>
      <c r="SY29" s="3"/>
      <c r="SZ29" s="3"/>
      <c r="TA29" s="3"/>
      <c r="TB29" s="3"/>
      <c r="TD29" s="3"/>
      <c r="TE29" s="3"/>
      <c r="TF29" s="3"/>
      <c r="TG29" s="3"/>
      <c r="TN29" s="1" t="s">
        <v>23</v>
      </c>
      <c r="TO29" s="3"/>
      <c r="TP29" s="3"/>
      <c r="TQ29" s="3"/>
      <c r="TR29" s="1"/>
      <c r="TS29" s="1"/>
      <c r="TT29" s="3"/>
      <c r="TU29" s="3"/>
      <c r="TV29" s="3"/>
      <c r="TW29" s="1"/>
      <c r="TX29" s="3"/>
      <c r="TY29" s="3"/>
      <c r="TZ29" s="3"/>
      <c r="UA29" s="3"/>
      <c r="UB29" s="1" t="s">
        <v>288</v>
      </c>
      <c r="UC29" s="3"/>
      <c r="UD29" s="3"/>
      <c r="UE29" s="3"/>
      <c r="UF29" s="3"/>
      <c r="UH29" s="3"/>
      <c r="UI29" s="3"/>
      <c r="UJ29" s="3"/>
      <c r="UK29" s="3"/>
      <c r="UR29" s="1" t="s">
        <v>23</v>
      </c>
      <c r="US29" s="3"/>
      <c r="UT29" s="3"/>
      <c r="UU29" s="3"/>
      <c r="UV29" s="1"/>
      <c r="UW29" s="1"/>
      <c r="UX29" s="3"/>
      <c r="UY29" s="3"/>
      <c r="UZ29" s="3"/>
      <c r="VA29" s="1"/>
      <c r="VB29" s="1" t="s">
        <v>288</v>
      </c>
      <c r="VC29" s="3"/>
      <c r="VD29" s="3"/>
      <c r="VE29" s="3"/>
      <c r="VF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</row>
    <row r="30" spans="1:590" ht="28.35" customHeight="1" x14ac:dyDescent="0.4">
      <c r="G30" s="1" t="s">
        <v>24</v>
      </c>
      <c r="H30" s="3"/>
      <c r="I30" s="3"/>
      <c r="J30" s="3"/>
      <c r="K30" s="1"/>
      <c r="L30" s="1"/>
      <c r="M30" s="3"/>
      <c r="N30" s="3"/>
      <c r="O30" s="3"/>
      <c r="P30" s="1"/>
      <c r="Q30" s="1" t="s">
        <v>289</v>
      </c>
      <c r="R30" s="3"/>
      <c r="S30" s="3"/>
      <c r="T30" s="3"/>
      <c r="U30" s="3"/>
      <c r="V30" s="3"/>
      <c r="W30" s="3"/>
      <c r="X30" s="3"/>
      <c r="Y30" s="3"/>
      <c r="Z30" s="3"/>
      <c r="AG30" s="1" t="s">
        <v>24</v>
      </c>
      <c r="AH30" s="3"/>
      <c r="AI30" s="3"/>
      <c r="AJ30" s="3"/>
      <c r="AK30" s="1"/>
      <c r="AL30" s="1"/>
      <c r="AM30" s="3"/>
      <c r="AN30" s="3"/>
      <c r="AO30" s="3"/>
      <c r="AP30" s="1"/>
      <c r="AQ30" s="1" t="s">
        <v>289</v>
      </c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G30" s="1" t="s">
        <v>24</v>
      </c>
      <c r="BH30" s="3"/>
      <c r="BI30" s="3"/>
      <c r="BJ30" s="3"/>
      <c r="BK30" s="1"/>
      <c r="BL30" s="1"/>
      <c r="BM30" s="3"/>
      <c r="BN30" s="3"/>
      <c r="BO30" s="3"/>
      <c r="BP30" s="1"/>
      <c r="BQ30" s="1" t="s">
        <v>289</v>
      </c>
      <c r="BR30" s="3"/>
      <c r="BS30" s="3"/>
      <c r="BT30" s="3"/>
      <c r="BW30" s="3"/>
      <c r="BX30" s="3"/>
      <c r="BY30" s="3"/>
      <c r="CG30" s="1" t="s">
        <v>24</v>
      </c>
      <c r="CH30" s="3"/>
      <c r="CI30" s="3"/>
      <c r="CJ30" s="3"/>
      <c r="CK30" s="1"/>
      <c r="CL30" s="1"/>
      <c r="CM30" s="3"/>
      <c r="CN30" s="3"/>
      <c r="CO30" s="3"/>
      <c r="CP30" s="1"/>
      <c r="CQ30" s="1" t="s">
        <v>289</v>
      </c>
      <c r="CR30" s="3"/>
      <c r="CS30" s="3"/>
      <c r="CT30" s="3"/>
      <c r="CV30" s="3"/>
      <c r="CW30" s="3"/>
      <c r="CX30" s="3"/>
      <c r="CY30" s="3"/>
      <c r="CZ30" s="3"/>
      <c r="DA30" s="3"/>
      <c r="DB30" s="3"/>
      <c r="DC30" s="3"/>
      <c r="DJ30" s="1" t="s">
        <v>24</v>
      </c>
      <c r="DK30" s="3"/>
      <c r="DL30" s="3"/>
      <c r="DM30" s="3"/>
      <c r="DN30" s="1"/>
      <c r="DO30" s="1"/>
      <c r="DP30" s="3"/>
      <c r="DQ30" s="3"/>
      <c r="DR30" s="3"/>
      <c r="DS30" s="1"/>
      <c r="DT30" s="1" t="s">
        <v>289</v>
      </c>
      <c r="DX30" s="3"/>
      <c r="DY30" s="3"/>
      <c r="DZ30" s="3"/>
      <c r="EA30" s="3"/>
      <c r="EB30" s="3"/>
      <c r="EC30" s="3"/>
      <c r="EJ30" s="1" t="s">
        <v>24</v>
      </c>
      <c r="EK30" s="3"/>
      <c r="EL30" s="3"/>
      <c r="EM30" s="3"/>
      <c r="EN30" s="1"/>
      <c r="EO30" s="1"/>
      <c r="EP30" s="3"/>
      <c r="EQ30" s="3"/>
      <c r="ER30" s="3"/>
      <c r="ES30" s="1"/>
      <c r="ET30" s="1" t="s">
        <v>289</v>
      </c>
      <c r="EU30" s="3"/>
      <c r="EV30" s="3"/>
      <c r="EW30" s="3"/>
      <c r="EY30" s="1"/>
      <c r="EZ30" s="3"/>
      <c r="FA30" s="3"/>
      <c r="FB30" s="3"/>
      <c r="FC30" s="3"/>
      <c r="FJ30" s="1" t="s">
        <v>24</v>
      </c>
      <c r="FK30" s="3"/>
      <c r="FL30" s="3"/>
      <c r="FM30" s="3"/>
      <c r="FN30" s="1"/>
      <c r="FO30" s="1"/>
      <c r="FP30" s="3"/>
      <c r="FQ30" s="3"/>
      <c r="FR30" s="3"/>
      <c r="FS30" s="3"/>
      <c r="FT30" s="1" t="s">
        <v>289</v>
      </c>
      <c r="FU30" s="3"/>
      <c r="FV30" s="3"/>
      <c r="FW30" s="3"/>
      <c r="FX30" s="3"/>
      <c r="FZ30" s="3"/>
      <c r="GA30" s="3"/>
      <c r="GB30" s="3"/>
      <c r="GJ30" s="1" t="s">
        <v>24</v>
      </c>
      <c r="GK30" s="3"/>
      <c r="GL30" s="3"/>
      <c r="GM30" s="3"/>
      <c r="GN30" s="1"/>
      <c r="GO30" s="1"/>
      <c r="GP30" s="3"/>
      <c r="GQ30" s="3"/>
      <c r="GR30" s="3"/>
      <c r="GS30" s="3"/>
      <c r="GT30" s="2" t="s">
        <v>289</v>
      </c>
      <c r="GU30" s="3"/>
      <c r="GV30" s="3"/>
      <c r="GW30" s="3"/>
      <c r="GX30" s="3"/>
      <c r="GZ30" s="3"/>
      <c r="HA30" s="3"/>
      <c r="HB30" s="3"/>
      <c r="HJ30" s="1" t="s">
        <v>24</v>
      </c>
      <c r="HK30" s="3"/>
      <c r="HL30" s="3"/>
      <c r="HM30" s="3"/>
      <c r="HN30" s="1"/>
      <c r="HO30" s="1"/>
      <c r="HP30" s="3"/>
      <c r="HQ30" s="3"/>
      <c r="HR30" s="3"/>
      <c r="HS30" s="1"/>
      <c r="HT30" s="1" t="s">
        <v>289</v>
      </c>
      <c r="HU30" s="3"/>
      <c r="HV30" s="3"/>
      <c r="HW30" s="3"/>
      <c r="HX30" s="3"/>
      <c r="HY30" s="1"/>
      <c r="HZ30" s="3"/>
      <c r="IA30" s="3"/>
      <c r="IB30" s="3"/>
      <c r="IC30" s="3"/>
      <c r="IJ30" s="1" t="s">
        <v>24</v>
      </c>
      <c r="IK30" s="3"/>
      <c r="IL30" s="3"/>
      <c r="IM30" s="3"/>
      <c r="IN30" s="1"/>
      <c r="IO30" s="1"/>
      <c r="IP30" s="3"/>
      <c r="IQ30" s="3"/>
      <c r="IR30" s="3"/>
      <c r="IS30" s="3"/>
      <c r="IT30" s="1" t="s">
        <v>289</v>
      </c>
      <c r="IU30" s="3"/>
      <c r="IV30" s="1"/>
      <c r="IW30" s="3"/>
      <c r="IY30" s="3"/>
      <c r="IZ30" s="3"/>
      <c r="JA30" s="3"/>
      <c r="JB30" s="3"/>
      <c r="JC30" s="3"/>
      <c r="JJ30" s="1" t="s">
        <v>24</v>
      </c>
      <c r="JK30" s="3"/>
      <c r="JL30" s="3"/>
      <c r="JM30" s="3"/>
      <c r="JN30" s="1"/>
      <c r="JO30" s="1"/>
      <c r="JP30" s="3"/>
      <c r="JQ30" s="3"/>
      <c r="JR30" s="3"/>
      <c r="JS30" s="3"/>
      <c r="JT30" s="1" t="s">
        <v>289</v>
      </c>
      <c r="JU30" s="3"/>
      <c r="JV30" s="3"/>
      <c r="JW30" s="3"/>
      <c r="JX30" s="3"/>
      <c r="JY30" s="1"/>
      <c r="JZ30" s="3"/>
      <c r="KA30" s="3"/>
      <c r="KB30" s="3"/>
      <c r="KC30" s="3"/>
      <c r="KJ30" s="1" t="s">
        <v>24</v>
      </c>
      <c r="KK30" s="3"/>
      <c r="KL30" s="3"/>
      <c r="KM30" s="3"/>
      <c r="KN30" s="1"/>
      <c r="KO30" s="1"/>
      <c r="KP30" s="3"/>
      <c r="KQ30" s="3"/>
      <c r="KR30" s="3"/>
      <c r="KS30" s="1"/>
      <c r="KT30" s="1" t="s">
        <v>289</v>
      </c>
      <c r="KU30" s="3"/>
      <c r="KV30" s="3"/>
      <c r="KW30" s="3"/>
      <c r="KX30" s="3"/>
      <c r="KY30" s="3"/>
      <c r="KZ30" s="3"/>
      <c r="LA30" s="3"/>
      <c r="LB30" s="3"/>
      <c r="LC30" s="3"/>
      <c r="LJ30" s="1" t="s">
        <v>24</v>
      </c>
      <c r="LK30" s="3"/>
      <c r="LL30" s="3"/>
      <c r="LM30" s="3"/>
      <c r="LN30" s="1"/>
      <c r="LO30" s="1"/>
      <c r="LP30" s="3"/>
      <c r="LQ30" s="3"/>
      <c r="LR30" s="3"/>
      <c r="LS30" s="3"/>
      <c r="LT30" s="1" t="s">
        <v>289</v>
      </c>
      <c r="LU30" s="3"/>
      <c r="LV30" s="3"/>
      <c r="LW30" s="3"/>
      <c r="LX30" s="1"/>
      <c r="LZ30" s="3"/>
      <c r="MA30" s="3"/>
      <c r="MB30" s="3"/>
      <c r="MC30" s="3"/>
      <c r="MJ30" s="1" t="s">
        <v>24</v>
      </c>
      <c r="MK30" s="3"/>
      <c r="ML30" s="3"/>
      <c r="MM30" s="3"/>
      <c r="MN30" s="1"/>
      <c r="MO30" s="1"/>
      <c r="MP30" s="3"/>
      <c r="MQ30" s="3"/>
      <c r="MR30" s="3"/>
      <c r="MS30" s="3"/>
      <c r="MT30" s="1" t="s">
        <v>289</v>
      </c>
      <c r="MU30" s="3"/>
      <c r="MV30" s="3"/>
      <c r="MW30" s="3"/>
      <c r="MX30" s="1"/>
      <c r="MZ30" s="3"/>
      <c r="NA30" s="3"/>
      <c r="NB30" s="3"/>
      <c r="NC30" s="3"/>
      <c r="ND30" s="3"/>
      <c r="NE30" s="3"/>
      <c r="NL30" s="1" t="s">
        <v>24</v>
      </c>
      <c r="NM30" s="3"/>
      <c r="NN30" s="3"/>
      <c r="NO30" s="3"/>
      <c r="NP30" s="1"/>
      <c r="NQ30" s="1"/>
      <c r="NR30" s="3"/>
      <c r="NS30" s="3"/>
      <c r="NT30" s="3"/>
      <c r="NU30" s="3"/>
      <c r="NV30" s="1" t="s">
        <v>289</v>
      </c>
      <c r="NW30" s="3"/>
      <c r="NX30" s="3"/>
      <c r="NY30" s="3"/>
      <c r="NZ30" s="1"/>
      <c r="OB30" s="3"/>
      <c r="OC30" s="3"/>
      <c r="OD30" s="3"/>
      <c r="OE30" s="3"/>
      <c r="OF30" s="3"/>
      <c r="OG30" s="3"/>
      <c r="ON30" s="1" t="s">
        <v>24</v>
      </c>
      <c r="OO30" s="3"/>
      <c r="OP30" s="3"/>
      <c r="OQ30" s="3"/>
      <c r="OR30" s="1"/>
      <c r="OS30" s="1"/>
      <c r="OT30" s="3"/>
      <c r="OU30" s="3"/>
      <c r="OV30" s="3"/>
      <c r="OW30" s="3"/>
      <c r="OX30" s="1" t="s">
        <v>289</v>
      </c>
      <c r="OY30" s="3"/>
      <c r="OZ30" s="3"/>
      <c r="PA30" s="3"/>
      <c r="PB30" s="1"/>
      <c r="PD30" s="3"/>
      <c r="PE30" s="3"/>
      <c r="PF30" s="3"/>
      <c r="PG30" s="3"/>
      <c r="PN30" s="1" t="s">
        <v>24</v>
      </c>
      <c r="PO30" s="3"/>
      <c r="PP30" s="3"/>
      <c r="PQ30" s="3"/>
      <c r="PR30" s="1"/>
      <c r="PS30" s="1"/>
      <c r="PT30" s="3"/>
      <c r="PU30" s="3"/>
      <c r="PV30" s="3"/>
      <c r="PW30" s="3"/>
      <c r="PX30" s="1" t="s">
        <v>289</v>
      </c>
      <c r="PY30" s="3"/>
      <c r="PZ30" s="3"/>
      <c r="QA30" s="3"/>
      <c r="QB30" s="3"/>
      <c r="QD30" s="3"/>
      <c r="QE30" s="3"/>
      <c r="QF30" s="3"/>
      <c r="QG30" s="3"/>
      <c r="QN30" s="1" t="s">
        <v>24</v>
      </c>
      <c r="QO30" s="3"/>
      <c r="QP30" s="3"/>
      <c r="QQ30" s="3"/>
      <c r="QR30" s="1"/>
      <c r="QS30" s="1"/>
      <c r="QT30" s="3"/>
      <c r="QU30" s="3"/>
      <c r="QV30" s="3"/>
      <c r="QW30" s="3"/>
      <c r="QX30" s="1" t="s">
        <v>289</v>
      </c>
      <c r="QY30" s="3"/>
      <c r="QZ30" s="3"/>
      <c r="RA30" s="3"/>
      <c r="RB30" s="3"/>
      <c r="RD30" s="3"/>
      <c r="RE30" s="3"/>
      <c r="RF30" s="3"/>
      <c r="RG30" s="3"/>
      <c r="RN30" s="1" t="s">
        <v>24</v>
      </c>
      <c r="RO30" s="3"/>
      <c r="RP30" s="3"/>
      <c r="RQ30" s="3"/>
      <c r="RR30" s="1"/>
      <c r="RS30" s="1"/>
      <c r="RT30" s="3"/>
      <c r="RU30" s="3"/>
      <c r="RV30" s="3"/>
      <c r="RW30" s="1"/>
      <c r="RX30" s="1" t="s">
        <v>289</v>
      </c>
      <c r="RY30" s="3"/>
      <c r="RZ30" s="3"/>
      <c r="SA30" s="3"/>
      <c r="SB30" s="3"/>
      <c r="SD30" s="3"/>
      <c r="SE30" s="3"/>
      <c r="SF30" s="3"/>
      <c r="SG30" s="3"/>
      <c r="SN30" s="1" t="s">
        <v>24</v>
      </c>
      <c r="SO30" s="3"/>
      <c r="SP30" s="3"/>
      <c r="SQ30" s="3"/>
      <c r="SR30" s="1"/>
      <c r="SS30" s="1"/>
      <c r="ST30" s="3"/>
      <c r="SU30" s="3"/>
      <c r="SV30" s="3"/>
      <c r="SW30" s="1"/>
      <c r="SX30" s="1" t="s">
        <v>289</v>
      </c>
      <c r="SY30" s="3"/>
      <c r="SZ30" s="3"/>
      <c r="TA30" s="3"/>
      <c r="TB30" s="3"/>
      <c r="TD30" s="3"/>
      <c r="TE30" s="3"/>
      <c r="TF30" s="3"/>
      <c r="TG30" s="3"/>
      <c r="TN30" s="1" t="s">
        <v>24</v>
      </c>
      <c r="TO30" s="3"/>
      <c r="TP30" s="3"/>
      <c r="TQ30" s="3"/>
      <c r="TR30" s="1"/>
      <c r="TS30" s="1"/>
      <c r="TT30" s="3"/>
      <c r="TU30" s="3"/>
      <c r="TV30" s="3"/>
      <c r="TW30" s="1"/>
      <c r="TX30" s="3"/>
      <c r="TY30" s="3"/>
      <c r="TZ30" s="3"/>
      <c r="UA30" s="3"/>
      <c r="UB30" s="1" t="s">
        <v>289</v>
      </c>
      <c r="UC30" s="3"/>
      <c r="UD30" s="3"/>
      <c r="UE30" s="3"/>
      <c r="UF30" s="3"/>
      <c r="UH30" s="3"/>
      <c r="UI30" s="3"/>
      <c r="UJ30" s="3"/>
      <c r="UK30" s="3"/>
      <c r="UR30" s="1" t="s">
        <v>24</v>
      </c>
      <c r="US30" s="3"/>
      <c r="UT30" s="3"/>
      <c r="UU30" s="3"/>
      <c r="UV30" s="1"/>
      <c r="UW30" s="1"/>
      <c r="UX30" s="3"/>
      <c r="UY30" s="3"/>
      <c r="UZ30" s="3"/>
      <c r="VA30" s="1"/>
      <c r="VB30" s="1" t="s">
        <v>289</v>
      </c>
      <c r="VC30" s="3"/>
      <c r="VD30" s="3"/>
      <c r="VE30" s="3"/>
      <c r="VF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</row>
    <row r="31" spans="1:590" ht="28.35" customHeight="1" x14ac:dyDescent="0.4">
      <c r="G31" s="1" t="s">
        <v>25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G31" s="1" t="s">
        <v>25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G31" s="1" t="s">
        <v>25</v>
      </c>
      <c r="BH31" s="3"/>
      <c r="BI31" s="3"/>
      <c r="BJ31" s="3"/>
      <c r="BK31" s="3"/>
      <c r="BL31" s="3"/>
      <c r="BM31" s="3"/>
      <c r="BN31" s="3"/>
      <c r="BO31" s="3"/>
      <c r="BP31" s="3"/>
      <c r="BR31" s="3"/>
      <c r="BS31" s="3"/>
      <c r="BT31" s="3"/>
      <c r="BV31" s="3"/>
      <c r="BW31" s="3"/>
      <c r="BX31" s="3"/>
      <c r="BY31" s="3"/>
      <c r="BZ31" s="3"/>
      <c r="CG31" s="1" t="s">
        <v>25</v>
      </c>
      <c r="CH31" s="3"/>
      <c r="CI31" s="3"/>
      <c r="CJ31" s="3"/>
      <c r="CK31" s="3"/>
      <c r="CL31" s="3"/>
      <c r="CM31" s="3"/>
      <c r="CN31" s="3"/>
      <c r="CO31" s="3"/>
      <c r="CP31" s="3"/>
      <c r="CR31" s="3"/>
      <c r="CS31" s="3"/>
      <c r="CT31" s="3"/>
      <c r="CV31" s="3"/>
      <c r="CW31" s="3"/>
      <c r="CX31" s="3"/>
      <c r="CY31" s="3"/>
      <c r="CZ31" s="3"/>
      <c r="DA31" s="3"/>
      <c r="DB31" s="3"/>
      <c r="DC31" s="3"/>
      <c r="DJ31" s="1" t="s">
        <v>25</v>
      </c>
      <c r="DK31" s="3"/>
      <c r="DL31" s="3"/>
      <c r="DM31" s="3"/>
      <c r="DN31" s="3"/>
      <c r="DO31" s="3"/>
      <c r="DP31" s="3"/>
      <c r="DQ31" s="3"/>
      <c r="DR31" s="3"/>
      <c r="DS31" s="3"/>
      <c r="DU31" s="3"/>
      <c r="DV31" s="3"/>
      <c r="DW31" s="3"/>
      <c r="DY31" s="3"/>
      <c r="DZ31" s="3"/>
      <c r="EA31" s="3"/>
      <c r="EB31" s="3"/>
      <c r="EC31" s="3"/>
      <c r="EJ31" s="1" t="s">
        <v>25</v>
      </c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J31" s="1" t="s">
        <v>25</v>
      </c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J31" s="1" t="s">
        <v>25</v>
      </c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J31" s="1" t="s">
        <v>25</v>
      </c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J31" s="1" t="s">
        <v>25</v>
      </c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Y31" s="3"/>
      <c r="IZ31" s="3"/>
      <c r="JA31" s="3"/>
      <c r="JB31" s="3"/>
      <c r="JC31" s="3"/>
      <c r="JJ31" s="1" t="s">
        <v>25</v>
      </c>
      <c r="JK31" s="3"/>
      <c r="JL31" s="3"/>
      <c r="JM31" s="3"/>
      <c r="JN31" s="3"/>
      <c r="JO31" s="3"/>
      <c r="JP31" s="3"/>
      <c r="JQ31" s="3"/>
      <c r="JR31" s="3"/>
      <c r="JS31" s="3"/>
      <c r="JU31" s="3"/>
      <c r="JV31" s="3"/>
      <c r="JW31" s="3"/>
      <c r="JX31" s="3"/>
      <c r="JY31" s="3"/>
      <c r="JZ31" s="3"/>
      <c r="KA31" s="3"/>
      <c r="KB31" s="3"/>
      <c r="KC31" s="3"/>
      <c r="KJ31" s="1" t="s">
        <v>25</v>
      </c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J31" s="1" t="s">
        <v>25</v>
      </c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J31" s="1" t="s">
        <v>25</v>
      </c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L31" s="1" t="s">
        <v>25</v>
      </c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N31" s="1" t="s">
        <v>25</v>
      </c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N31" s="1" t="s">
        <v>25</v>
      </c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N31" s="1" t="s">
        <v>25</v>
      </c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N31" s="1" t="s">
        <v>25</v>
      </c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N31" s="1" t="s">
        <v>25</v>
      </c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N31" s="1" t="s">
        <v>25</v>
      </c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R31" s="1" t="s">
        <v>25</v>
      </c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</row>
    <row r="32" spans="1:590" ht="28.35" customHeight="1" x14ac:dyDescent="0.4">
      <c r="G32" s="1" t="s">
        <v>26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G32" s="1" t="s">
        <v>26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G32" s="1" t="s">
        <v>26</v>
      </c>
      <c r="BH32" s="3"/>
      <c r="BI32" s="3"/>
      <c r="BJ32" s="3"/>
      <c r="BK32" s="3"/>
      <c r="BL32" s="3"/>
      <c r="BM32" s="3"/>
      <c r="BN32" s="3"/>
      <c r="BO32" s="3"/>
      <c r="BP32" s="3"/>
      <c r="BR32" s="3"/>
      <c r="BS32" s="3"/>
      <c r="BT32" s="3"/>
      <c r="BV32" s="3"/>
      <c r="BW32" s="3"/>
      <c r="BX32" s="3"/>
      <c r="BY32" s="3"/>
      <c r="BZ32" s="3"/>
      <c r="CG32" s="1" t="s">
        <v>26</v>
      </c>
      <c r="CH32" s="3"/>
      <c r="CI32" s="3"/>
      <c r="CJ32" s="3"/>
      <c r="CK32" s="3"/>
      <c r="CL32" s="3"/>
      <c r="CM32" s="3"/>
      <c r="CN32" s="3"/>
      <c r="CO32" s="3"/>
      <c r="CP32" s="3"/>
      <c r="CR32" s="3"/>
      <c r="CS32" s="3"/>
      <c r="CT32" s="3"/>
      <c r="CV32" s="3"/>
      <c r="CW32" s="3"/>
      <c r="CX32" s="3"/>
      <c r="CY32" s="3"/>
      <c r="CZ32" s="3"/>
      <c r="DA32" s="3"/>
      <c r="DB32" s="3"/>
      <c r="DC32" s="3"/>
      <c r="DJ32" s="1" t="s">
        <v>26</v>
      </c>
      <c r="DK32" s="3"/>
      <c r="DL32" s="3"/>
      <c r="DM32" s="3"/>
      <c r="DN32" s="3"/>
      <c r="DO32" s="3"/>
      <c r="DP32" s="3"/>
      <c r="DQ32" s="3"/>
      <c r="DR32" s="3"/>
      <c r="DS32" s="3"/>
      <c r="DU32" s="3"/>
      <c r="DV32" s="3"/>
      <c r="DW32" s="3"/>
      <c r="DY32" s="3"/>
      <c r="DZ32" s="3"/>
      <c r="EA32" s="3"/>
      <c r="EB32" s="3"/>
      <c r="EC32" s="3"/>
      <c r="EJ32" s="1" t="s">
        <v>26</v>
      </c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J32" s="1" t="s">
        <v>26</v>
      </c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J32" s="1" t="s">
        <v>26</v>
      </c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J32" s="1" t="s">
        <v>26</v>
      </c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J32" s="1" t="s">
        <v>26</v>
      </c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J32" s="1" t="s">
        <v>26</v>
      </c>
      <c r="JK32" s="3"/>
      <c r="JL32" s="3"/>
      <c r="JM32" s="3"/>
      <c r="JN32" s="3"/>
      <c r="JO32" s="3"/>
      <c r="JP32" s="3"/>
      <c r="JQ32" s="3"/>
      <c r="JR32" s="3"/>
      <c r="JS32" s="3"/>
      <c r="JU32" s="3"/>
      <c r="JV32" s="3"/>
      <c r="JW32" s="3"/>
      <c r="JX32" s="3"/>
      <c r="JY32" s="3"/>
      <c r="JZ32" s="3"/>
      <c r="KA32" s="3"/>
      <c r="KB32" s="3"/>
      <c r="KC32" s="3"/>
      <c r="KJ32" s="1" t="s">
        <v>26</v>
      </c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J32" s="1" t="s">
        <v>26</v>
      </c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J32" s="1" t="s">
        <v>26</v>
      </c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L32" s="1" t="s">
        <v>26</v>
      </c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N32" s="1" t="s">
        <v>26</v>
      </c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N32" s="1" t="s">
        <v>26</v>
      </c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N32" s="1" t="s">
        <v>26</v>
      </c>
      <c r="QO32" s="3"/>
      <c r="QP32" s="3"/>
      <c r="QQ32" s="3"/>
      <c r="QR32" s="3"/>
      <c r="QS32" s="3"/>
      <c r="QT32" s="3"/>
      <c r="QU32" s="3"/>
      <c r="QV32" s="3"/>
      <c r="QW32" s="3"/>
      <c r="QX32" s="394" t="s">
        <v>680</v>
      </c>
      <c r="QY32" s="395"/>
      <c r="QZ32" s="3"/>
      <c r="RA32" s="3"/>
      <c r="RB32" s="3"/>
      <c r="RC32" s="3"/>
      <c r="RD32" s="3"/>
      <c r="RE32" s="3"/>
      <c r="RF32" s="3"/>
      <c r="RG32" s="3"/>
      <c r="RN32" s="1" t="s">
        <v>26</v>
      </c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N32" s="1" t="s">
        <v>26</v>
      </c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N32" s="1" t="s">
        <v>26</v>
      </c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R32" s="1" t="s">
        <v>26</v>
      </c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</row>
    <row r="33" spans="2:747" ht="28.35" customHeight="1" x14ac:dyDescent="0.4">
      <c r="G33" s="1" t="s">
        <v>290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G33" s="1" t="s">
        <v>290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G33" s="1" t="s">
        <v>290</v>
      </c>
      <c r="BH33" s="3"/>
      <c r="BI33" s="3"/>
      <c r="BJ33" s="3"/>
      <c r="BK33" s="3"/>
      <c r="BL33" s="3"/>
      <c r="BM33" s="3"/>
      <c r="BN33" s="3"/>
      <c r="BO33" s="3"/>
      <c r="BP33" s="3"/>
      <c r="BR33" s="3"/>
      <c r="BS33" s="3"/>
      <c r="BT33" s="3"/>
      <c r="BV33" s="3"/>
      <c r="BW33" s="3"/>
      <c r="BX33" s="3"/>
      <c r="BY33" s="3"/>
      <c r="BZ33" s="3"/>
      <c r="CG33" s="1" t="s">
        <v>290</v>
      </c>
      <c r="CH33" s="3"/>
      <c r="CI33" s="3"/>
      <c r="CJ33" s="3"/>
      <c r="CK33" s="3"/>
      <c r="CL33" s="3"/>
      <c r="CM33" s="3"/>
      <c r="CN33" s="3"/>
      <c r="CO33" s="3"/>
      <c r="CP33" s="3"/>
      <c r="CR33" s="3"/>
      <c r="CS33" s="3"/>
      <c r="CT33" s="3"/>
      <c r="CV33" s="3"/>
      <c r="CW33" s="3"/>
      <c r="CX33" s="3"/>
      <c r="CY33" s="3"/>
      <c r="CZ33" s="3"/>
      <c r="DA33" s="3"/>
      <c r="DB33" s="3"/>
      <c r="DC33" s="3"/>
      <c r="DJ33" s="1" t="s">
        <v>290</v>
      </c>
      <c r="DK33" s="3"/>
      <c r="DL33" s="3"/>
      <c r="DM33" s="3"/>
      <c r="DN33" s="3"/>
      <c r="DO33" s="3"/>
      <c r="DP33" s="3"/>
      <c r="DQ33" s="3"/>
      <c r="DR33" s="3"/>
      <c r="DS33" s="3"/>
      <c r="DU33" s="3"/>
      <c r="DV33" s="3"/>
      <c r="DW33" s="3"/>
      <c r="DY33" s="3"/>
      <c r="DZ33" s="3"/>
      <c r="EA33" s="3"/>
      <c r="EB33" s="3"/>
      <c r="EC33" s="3"/>
      <c r="EJ33" s="1" t="s">
        <v>290</v>
      </c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J33" s="1" t="s">
        <v>290</v>
      </c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J33" s="1" t="s">
        <v>290</v>
      </c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J33" s="1" t="s">
        <v>290</v>
      </c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J33" s="1" t="s">
        <v>290</v>
      </c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J33" s="1" t="s">
        <v>290</v>
      </c>
      <c r="JK33" s="3"/>
      <c r="JL33" s="3"/>
      <c r="JM33" s="3"/>
      <c r="JN33" s="3"/>
      <c r="JO33" s="3"/>
      <c r="JP33" s="3"/>
      <c r="JQ33" s="3"/>
      <c r="JR33" s="3"/>
      <c r="JS33" s="3"/>
      <c r="JU33" s="3"/>
      <c r="JV33" s="3"/>
      <c r="JW33" s="3"/>
      <c r="JX33" s="3"/>
      <c r="JY33" s="3"/>
      <c r="JZ33" s="3"/>
      <c r="KA33" s="3"/>
      <c r="KB33" s="3"/>
      <c r="KC33" s="3"/>
      <c r="KJ33" s="1" t="s">
        <v>290</v>
      </c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J33" s="1" t="s">
        <v>290</v>
      </c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J33" s="1" t="s">
        <v>290</v>
      </c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L33" s="1" t="s">
        <v>290</v>
      </c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N33" s="1" t="s">
        <v>290</v>
      </c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N33" s="1" t="s">
        <v>290</v>
      </c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N33" s="1" t="s">
        <v>290</v>
      </c>
      <c r="QO33" s="3"/>
      <c r="QP33" s="3"/>
      <c r="QQ33" s="3"/>
      <c r="QR33" s="3"/>
      <c r="QS33" s="3"/>
      <c r="QT33" s="3"/>
      <c r="QU33" s="3"/>
      <c r="QV33" s="3"/>
      <c r="QW33" s="3"/>
      <c r="QX33" s="394" t="s">
        <v>681</v>
      </c>
      <c r="QY33" s="395"/>
      <c r="QZ33" s="3"/>
      <c r="RA33" s="3"/>
      <c r="RB33" s="3"/>
      <c r="RC33" s="3"/>
      <c r="RD33" s="3"/>
      <c r="RE33" s="3"/>
      <c r="RF33" s="3"/>
      <c r="RG33" s="3"/>
      <c r="RN33" s="1" t="s">
        <v>290</v>
      </c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N33" s="1" t="s">
        <v>290</v>
      </c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N33" s="1" t="s">
        <v>290</v>
      </c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R33" s="1" t="s">
        <v>290</v>
      </c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</row>
    <row r="34" spans="2:747" ht="28.35" customHeight="1" x14ac:dyDescent="0.4">
      <c r="G34" s="1" t="s">
        <v>515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G34" s="1" t="s">
        <v>515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G34" s="1" t="s">
        <v>515</v>
      </c>
      <c r="BH34" s="3"/>
      <c r="BI34" s="3"/>
      <c r="BJ34" s="3"/>
      <c r="BK34" s="3"/>
      <c r="BL34" s="3"/>
      <c r="BM34" s="3"/>
      <c r="BN34" s="3"/>
      <c r="BO34" s="3"/>
      <c r="BP34" s="3"/>
      <c r="BR34" s="3"/>
      <c r="BS34" s="3"/>
      <c r="BT34" s="3"/>
      <c r="BV34" s="3"/>
      <c r="BW34" s="3"/>
      <c r="BX34" s="3"/>
      <c r="BY34" s="3"/>
      <c r="BZ34" s="3"/>
      <c r="CG34" s="1" t="s">
        <v>515</v>
      </c>
      <c r="CH34" s="3"/>
      <c r="CI34" s="3"/>
      <c r="CJ34" s="3"/>
      <c r="CK34" s="3"/>
      <c r="CL34" s="3"/>
      <c r="CM34" s="3"/>
      <c r="CN34" s="3"/>
      <c r="CO34" s="3"/>
      <c r="CP34" s="3"/>
      <c r="CR34" s="3"/>
      <c r="CS34" s="3"/>
      <c r="CT34" s="3"/>
      <c r="CV34" s="3"/>
      <c r="CW34" s="3"/>
      <c r="CX34" s="3"/>
      <c r="CY34" s="3"/>
      <c r="CZ34" s="3"/>
      <c r="DA34" s="3"/>
      <c r="DB34" s="3"/>
      <c r="DC34" s="3"/>
      <c r="DJ34" s="1" t="s">
        <v>515</v>
      </c>
      <c r="DK34" s="3"/>
      <c r="DL34" s="3"/>
      <c r="DM34" s="3"/>
      <c r="DN34" s="3"/>
      <c r="DO34" s="3"/>
      <c r="DP34" s="3"/>
      <c r="DQ34" s="3"/>
      <c r="DR34" s="3"/>
      <c r="DS34" s="3"/>
      <c r="DU34" s="3"/>
      <c r="DV34" s="3"/>
      <c r="DW34" s="3"/>
      <c r="DY34" s="3"/>
      <c r="DZ34" s="3"/>
      <c r="EA34" s="3"/>
      <c r="EB34" s="3"/>
      <c r="EC34" s="3"/>
      <c r="EJ34" s="1" t="s">
        <v>515</v>
      </c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J34" s="1" t="s">
        <v>515</v>
      </c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J34" s="1" t="s">
        <v>515</v>
      </c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J34" s="1" t="s">
        <v>515</v>
      </c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J34" s="1" t="s">
        <v>515</v>
      </c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J34" s="1" t="s">
        <v>515</v>
      </c>
      <c r="JK34" s="3"/>
      <c r="JL34" s="3"/>
      <c r="JM34" s="3"/>
      <c r="JN34" s="3"/>
      <c r="JO34" s="3"/>
      <c r="JP34" s="3"/>
      <c r="JQ34" s="3"/>
      <c r="JR34" s="3"/>
      <c r="JS34" s="3"/>
      <c r="JU34" s="3"/>
      <c r="JV34" s="3"/>
      <c r="JW34" s="3"/>
      <c r="JX34" s="3"/>
      <c r="JY34" s="3"/>
      <c r="JZ34" s="3"/>
      <c r="KA34" s="3"/>
      <c r="KB34" s="3"/>
      <c r="KC34" s="3"/>
      <c r="KJ34" s="1" t="s">
        <v>515</v>
      </c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J34" s="1" t="s">
        <v>515</v>
      </c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J34" s="1" t="s">
        <v>515</v>
      </c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L34" s="1" t="s">
        <v>515</v>
      </c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N34" s="1" t="s">
        <v>515</v>
      </c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N34" s="1" t="s">
        <v>515</v>
      </c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N34" s="1" t="s">
        <v>515</v>
      </c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N34" s="1" t="s">
        <v>515</v>
      </c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N34" s="1" t="s">
        <v>515</v>
      </c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N34" s="1" t="s">
        <v>515</v>
      </c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R34" s="1" t="s">
        <v>515</v>
      </c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</row>
    <row r="35" spans="2:747" ht="28.35" customHeight="1" x14ac:dyDescent="0.4">
      <c r="G35" s="1" t="s">
        <v>287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G35" s="1" t="s">
        <v>287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G35" s="1" t="s">
        <v>287</v>
      </c>
      <c r="BH35" s="3"/>
      <c r="BI35" s="3"/>
      <c r="BJ35" s="3"/>
      <c r="BK35" s="3"/>
      <c r="BL35" s="3"/>
      <c r="BM35" s="3"/>
      <c r="BN35" s="3"/>
      <c r="BO35" s="3"/>
      <c r="BP35" s="3"/>
      <c r="BR35" s="3"/>
      <c r="BS35" s="3"/>
      <c r="BT35" s="3"/>
      <c r="BV35" s="3"/>
      <c r="BW35" s="3"/>
      <c r="BX35" s="3"/>
      <c r="BY35" s="3"/>
      <c r="BZ35" s="3"/>
      <c r="CG35" s="1" t="s">
        <v>287</v>
      </c>
      <c r="CH35" s="3"/>
      <c r="CI35" s="3"/>
      <c r="CJ35" s="3"/>
      <c r="CK35" s="3"/>
      <c r="CL35" s="3"/>
      <c r="CM35" s="3"/>
      <c r="CN35" s="3"/>
      <c r="CO35" s="3"/>
      <c r="CP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J35" s="1" t="s">
        <v>287</v>
      </c>
      <c r="DK35" s="3"/>
      <c r="DL35" s="3"/>
      <c r="DM35" s="3"/>
      <c r="DN35" s="3"/>
      <c r="DO35" s="3"/>
      <c r="DP35" s="3"/>
      <c r="DQ35" s="3"/>
      <c r="DR35" s="3"/>
      <c r="DS35" s="3"/>
      <c r="DU35" s="3"/>
      <c r="DV35" s="3"/>
      <c r="DW35" s="3"/>
      <c r="DX35" s="3"/>
      <c r="DY35" s="3"/>
      <c r="DZ35" s="3"/>
      <c r="EA35" s="3"/>
      <c r="EB35" s="3"/>
      <c r="EC35" s="3"/>
      <c r="EJ35" s="1" t="s">
        <v>287</v>
      </c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J35" s="1" t="s">
        <v>287</v>
      </c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J35" s="1" t="s">
        <v>287</v>
      </c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J35" s="1" t="s">
        <v>287</v>
      </c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J35" s="1" t="s">
        <v>287</v>
      </c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J35" s="1" t="s">
        <v>287</v>
      </c>
      <c r="JK35" s="3"/>
      <c r="JL35" s="3"/>
      <c r="JM35" s="3"/>
      <c r="JN35" s="3"/>
      <c r="JO35" s="3"/>
      <c r="JP35" s="3"/>
      <c r="JQ35" s="3"/>
      <c r="JR35" s="3"/>
      <c r="JS35" s="3"/>
      <c r="JU35" s="3"/>
      <c r="JV35" s="3"/>
      <c r="JW35" s="3"/>
      <c r="JX35" s="3"/>
      <c r="JY35" s="3"/>
      <c r="JZ35" s="3"/>
      <c r="KA35" s="3"/>
      <c r="KB35" s="3"/>
      <c r="KC35" s="3"/>
      <c r="KJ35" s="1" t="s">
        <v>287</v>
      </c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J35" s="1" t="s">
        <v>287</v>
      </c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J35" s="1" t="s">
        <v>287</v>
      </c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L35" s="1" t="s">
        <v>287</v>
      </c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N35" s="1" t="s">
        <v>287</v>
      </c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N35" s="1" t="s">
        <v>287</v>
      </c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N35" s="1" t="s">
        <v>287</v>
      </c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N35" s="1" t="s">
        <v>287</v>
      </c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N35" s="1" t="s">
        <v>287</v>
      </c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N35" s="1" t="s">
        <v>287</v>
      </c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R35" s="1" t="s">
        <v>287</v>
      </c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</row>
    <row r="36" spans="2:747" ht="28.35" customHeight="1" x14ac:dyDescent="0.4">
      <c r="G36" s="1"/>
      <c r="K36" s="3"/>
      <c r="L36" s="3"/>
      <c r="M36" s="3"/>
      <c r="N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G36" s="1"/>
      <c r="AK36" s="3"/>
      <c r="AL36" s="3"/>
      <c r="AM36" s="3"/>
      <c r="AN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G36" s="1"/>
      <c r="BK36" s="3"/>
      <c r="BL36" s="3"/>
      <c r="BM36" s="3"/>
      <c r="BN36" s="3"/>
      <c r="BP36" s="3"/>
      <c r="BQ36" s="3"/>
      <c r="BR36" s="3"/>
      <c r="BS36" s="3"/>
      <c r="BU36" s="3"/>
      <c r="BV36" s="3"/>
      <c r="BW36" s="3"/>
      <c r="BX36" s="3"/>
      <c r="BY36" s="3"/>
      <c r="BZ36" s="3"/>
      <c r="CG36" s="3"/>
      <c r="CH36" s="3"/>
      <c r="CI36" s="3"/>
      <c r="CJ36" s="3"/>
      <c r="CK36" s="3"/>
      <c r="CL36" s="3"/>
      <c r="CM36" s="3"/>
      <c r="CN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J36" s="3"/>
      <c r="DK36" s="3"/>
      <c r="DL36" s="3"/>
      <c r="DM36" s="3"/>
      <c r="DN36" s="3"/>
      <c r="DO36" s="3"/>
      <c r="DP36" s="3"/>
      <c r="DQ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J36" s="1"/>
      <c r="EN36" s="3"/>
      <c r="EO36" s="3"/>
      <c r="EP36" s="3"/>
      <c r="EQ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J36" s="1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J36" s="1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J36" s="1"/>
      <c r="HN36" s="3"/>
      <c r="HO36" s="3"/>
      <c r="HP36" s="3"/>
      <c r="HQ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J36" s="1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J36" s="1"/>
      <c r="JN36" s="3"/>
      <c r="JO36" s="3"/>
      <c r="JP36" s="3"/>
      <c r="JQ36" s="3"/>
      <c r="JS36" s="3"/>
      <c r="JT36" s="3"/>
      <c r="JU36" s="3"/>
      <c r="JV36" s="3"/>
      <c r="JW36" s="3"/>
      <c r="JX36" s="3"/>
      <c r="JY36" s="3"/>
      <c r="JZ36" s="3"/>
      <c r="KA36" s="3"/>
      <c r="KC36" s="3"/>
      <c r="KJ36" s="1"/>
      <c r="KN36" s="3"/>
      <c r="KO36" s="3"/>
      <c r="KP36" s="3"/>
      <c r="KQ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J36" s="1"/>
      <c r="LN36" s="3"/>
      <c r="LO36" s="3"/>
      <c r="LP36" s="3"/>
      <c r="LQ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J36" s="1"/>
      <c r="MN36" s="3"/>
      <c r="MO36" s="3"/>
      <c r="MP36" s="3"/>
      <c r="MQ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L36" s="1"/>
      <c r="NP36" s="3"/>
      <c r="NQ36" s="3"/>
      <c r="NR36" s="3"/>
      <c r="NS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N36" s="1"/>
      <c r="OR36" s="3"/>
      <c r="OS36" s="3"/>
      <c r="OT36" s="3"/>
      <c r="OU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N36" s="1"/>
      <c r="PR36" s="3"/>
      <c r="PS36" s="3"/>
      <c r="PT36" s="3"/>
      <c r="PU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N36" s="1"/>
      <c r="QR36" s="3"/>
      <c r="QS36" s="3"/>
      <c r="QT36" s="3"/>
      <c r="QU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N36" s="1"/>
      <c r="RR36" s="3"/>
      <c r="RS36" s="3"/>
      <c r="RT36" s="3"/>
      <c r="RU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N36" s="1"/>
      <c r="SR36" s="3"/>
      <c r="SS36" s="3"/>
      <c r="ST36" s="3"/>
      <c r="SU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N36" s="1"/>
      <c r="TR36" s="3"/>
      <c r="TS36" s="3"/>
      <c r="TT36" s="3"/>
      <c r="TU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R36" s="1"/>
      <c r="UV36" s="3"/>
      <c r="UW36" s="3"/>
      <c r="UX36" s="3"/>
      <c r="UY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</row>
    <row r="37" spans="2:747" ht="28.35" customHeight="1" x14ac:dyDescent="0.4">
      <c r="G37" s="1"/>
      <c r="I37" s="3"/>
      <c r="K37" s="3"/>
      <c r="L37" s="3"/>
      <c r="M37" s="3"/>
      <c r="N37" s="3"/>
      <c r="Q37" s="3"/>
      <c r="R37" s="3"/>
      <c r="S37" s="3"/>
      <c r="T37" s="3"/>
      <c r="U37" s="3"/>
      <c r="V37" s="3"/>
      <c r="W37" s="3"/>
      <c r="X37" s="3"/>
      <c r="Y37" s="3"/>
      <c r="Z37" s="3"/>
      <c r="AG37" s="3"/>
      <c r="AH37" s="3"/>
      <c r="AI37" s="3"/>
      <c r="AJ37" s="3"/>
      <c r="AK37" s="3"/>
      <c r="AL37" s="3"/>
      <c r="AM37" s="3"/>
      <c r="AN37" s="3"/>
      <c r="AO37" s="3"/>
      <c r="AP37" s="1"/>
      <c r="AQ37" s="3"/>
      <c r="AR37" s="3"/>
      <c r="AS37" s="3"/>
      <c r="AT37" s="3"/>
      <c r="AU37" s="3"/>
      <c r="AV37" s="3"/>
      <c r="AW37" s="3"/>
      <c r="AX37" s="3"/>
      <c r="AY37" s="3"/>
      <c r="AZ37" s="3"/>
      <c r="BG37" s="1"/>
      <c r="BI37" s="3"/>
      <c r="BK37" s="3"/>
      <c r="BL37" s="3"/>
      <c r="BM37" s="3"/>
      <c r="BN37" s="3"/>
      <c r="BP37" s="3"/>
      <c r="BQ37" s="3"/>
      <c r="BR37" s="3"/>
      <c r="BS37" s="3"/>
      <c r="BU37" s="3"/>
      <c r="BV37" s="3"/>
      <c r="BW37" s="3"/>
      <c r="BX37" s="3"/>
      <c r="BY37" s="3"/>
      <c r="BZ37" s="3"/>
      <c r="CG37" s="3"/>
      <c r="CH37" s="3"/>
      <c r="CI37" s="3"/>
      <c r="CJ37" s="3"/>
      <c r="CK37" s="3"/>
      <c r="CL37" s="3"/>
      <c r="CM37" s="3"/>
      <c r="CN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J37" s="3"/>
      <c r="EK37" s="3"/>
      <c r="EL37" s="3"/>
      <c r="EM37" s="3"/>
      <c r="EN37" s="3"/>
      <c r="EO37" s="3"/>
      <c r="EP37" s="3"/>
      <c r="EQ37" s="3"/>
      <c r="ER37" s="3"/>
      <c r="ES37" s="1"/>
      <c r="ET37" s="3"/>
      <c r="EU37" s="3"/>
      <c r="EV37" s="3"/>
      <c r="EW37" s="3"/>
      <c r="EX37" s="1"/>
      <c r="EY37" s="3"/>
      <c r="EZ37" s="3"/>
      <c r="FA37" s="3"/>
      <c r="FB37" s="3"/>
      <c r="FC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J37" s="1"/>
      <c r="HL37" s="3"/>
      <c r="HN37" s="3"/>
      <c r="HO37" s="3"/>
      <c r="HP37" s="3"/>
      <c r="HQ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J37" s="1"/>
      <c r="IL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J37" s="1"/>
      <c r="JL37" s="3"/>
      <c r="JN37" s="3"/>
      <c r="JO37" s="3"/>
      <c r="JP37" s="3"/>
      <c r="JQ37" s="3"/>
      <c r="JT37" s="3"/>
      <c r="JU37" s="3"/>
      <c r="JV37" s="3"/>
      <c r="JW37" s="3"/>
      <c r="JX37" s="3"/>
      <c r="JY37" s="3"/>
      <c r="JZ37" s="3"/>
      <c r="KA37" s="3"/>
      <c r="KJ37" s="1"/>
      <c r="KL37" s="3"/>
      <c r="KN37" s="3"/>
      <c r="KO37" s="3"/>
      <c r="KP37" s="3"/>
      <c r="KQ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J37" s="1"/>
      <c r="LL37" s="3"/>
      <c r="LN37" s="3"/>
      <c r="LO37" s="3"/>
      <c r="LP37" s="3"/>
      <c r="LQ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J37" s="1"/>
      <c r="ML37" s="3"/>
      <c r="MN37" s="3"/>
      <c r="MO37" s="3"/>
      <c r="MP37" s="3"/>
      <c r="MQ37" s="3"/>
      <c r="MS37" s="3"/>
      <c r="MT37" s="3"/>
      <c r="MU37" s="3"/>
      <c r="MV37" s="3"/>
      <c r="MW37" s="3"/>
      <c r="MY37" s="3"/>
      <c r="MZ37" s="3"/>
      <c r="NA37" s="3"/>
      <c r="NB37" s="3"/>
      <c r="NC37" s="3"/>
      <c r="ND37" s="3"/>
      <c r="NE37" s="3"/>
      <c r="NL37" s="1"/>
      <c r="NN37" s="3"/>
      <c r="NP37" s="3"/>
      <c r="NQ37" s="3"/>
      <c r="NR37" s="3"/>
      <c r="NS37" s="3"/>
      <c r="NU37" s="3"/>
      <c r="NV37" s="3"/>
      <c r="NW37" s="3"/>
      <c r="NX37" s="3"/>
      <c r="NY37" s="3"/>
      <c r="OA37" s="3"/>
      <c r="OB37" s="3"/>
      <c r="OC37" s="3"/>
      <c r="OD37" s="3"/>
      <c r="OE37" s="3"/>
      <c r="OF37" s="3"/>
      <c r="OG37" s="3"/>
      <c r="ON37" s="1"/>
      <c r="OP37" s="3"/>
      <c r="OR37" s="3"/>
      <c r="OS37" s="3"/>
      <c r="OT37" s="3"/>
      <c r="OU37" s="3"/>
      <c r="OW37" s="3"/>
      <c r="OX37" s="3"/>
      <c r="OY37" s="3"/>
      <c r="OZ37" s="3"/>
      <c r="PA37" s="3"/>
      <c r="PC37" s="3"/>
      <c r="PD37" s="3"/>
      <c r="PE37" s="3"/>
      <c r="PF37" s="3"/>
      <c r="PG37" s="3"/>
      <c r="PN37" s="1"/>
      <c r="PP37" s="3"/>
      <c r="PR37" s="3"/>
      <c r="PS37" s="3"/>
      <c r="PT37" s="3"/>
      <c r="PU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N37" s="1"/>
      <c r="QP37" s="3"/>
      <c r="QR37" s="3"/>
      <c r="QS37" s="3"/>
      <c r="QT37" s="3"/>
      <c r="QU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N37" s="1"/>
      <c r="RP37" s="3"/>
      <c r="RR37" s="3"/>
      <c r="RS37" s="3"/>
      <c r="RT37" s="3"/>
      <c r="RU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N37" s="1"/>
      <c r="SP37" s="3"/>
      <c r="SR37" s="3"/>
      <c r="SS37" s="3"/>
      <c r="ST37" s="3"/>
      <c r="SU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N37" s="1"/>
      <c r="TP37" s="3"/>
      <c r="TR37" s="3"/>
      <c r="TS37" s="3"/>
      <c r="TT37" s="3"/>
      <c r="TU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R37" s="1"/>
      <c r="UT37" s="3"/>
      <c r="UV37" s="3"/>
      <c r="UW37" s="3"/>
      <c r="UX37" s="3"/>
      <c r="UY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</row>
    <row r="38" spans="2:747" ht="28.35" customHeight="1" x14ac:dyDescent="0.4">
      <c r="G38" s="3"/>
      <c r="K38" s="3"/>
      <c r="L38" s="3"/>
      <c r="M38" s="3"/>
      <c r="N38" s="3"/>
      <c r="Q38" s="3"/>
      <c r="R38" s="3"/>
      <c r="S38" s="3"/>
      <c r="T38" s="3"/>
      <c r="U38" s="3"/>
      <c r="V38" s="3"/>
      <c r="W38" s="3"/>
      <c r="X38" s="3"/>
      <c r="Y38" s="3"/>
      <c r="Z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G38" s="3"/>
      <c r="BK38" s="3"/>
      <c r="BL38" s="3"/>
      <c r="BM38" s="3"/>
      <c r="BN38" s="3"/>
      <c r="BP38" s="3"/>
      <c r="BQ38" s="3"/>
      <c r="BR38" s="3"/>
      <c r="BS38" s="3"/>
      <c r="BU38" s="3"/>
      <c r="BV38" s="3"/>
      <c r="BW38" s="3"/>
      <c r="BX38" s="3"/>
      <c r="BY38" s="3"/>
      <c r="BZ38" s="3"/>
      <c r="CG38" s="3"/>
      <c r="CH38" s="3"/>
      <c r="CI38" s="3"/>
      <c r="CJ38" s="3"/>
      <c r="CK38" s="3"/>
      <c r="CL38" s="3"/>
      <c r="CM38" s="3"/>
      <c r="CN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J38" s="3"/>
      <c r="HN38" s="3"/>
      <c r="HO38" s="3"/>
      <c r="HP38" s="3"/>
      <c r="HQ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J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J38" s="3"/>
      <c r="JN38" s="3"/>
      <c r="JO38" s="3"/>
      <c r="JP38" s="3"/>
      <c r="JQ38" s="3"/>
      <c r="JT38" s="3"/>
      <c r="JU38" s="3"/>
      <c r="JV38" s="3"/>
      <c r="JW38" s="3"/>
      <c r="JX38" s="3"/>
      <c r="JY38" s="3"/>
      <c r="JZ38" s="3"/>
      <c r="KA38" s="3"/>
      <c r="KJ38" s="3"/>
      <c r="KN38" s="3"/>
      <c r="KO38" s="3"/>
      <c r="KP38" s="3"/>
      <c r="KQ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J38" s="3"/>
      <c r="LN38" s="3"/>
      <c r="LO38" s="3"/>
      <c r="LP38" s="3"/>
      <c r="LQ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J38" s="3"/>
      <c r="MN38" s="3"/>
      <c r="MO38" s="3"/>
      <c r="MP38" s="3"/>
      <c r="MQ38" s="3"/>
      <c r="MS38" s="3"/>
      <c r="MT38" s="3"/>
      <c r="MU38" s="3"/>
      <c r="MV38" s="3"/>
      <c r="MW38" s="3"/>
      <c r="MY38" s="3"/>
      <c r="MZ38" s="3"/>
      <c r="NA38" s="3"/>
      <c r="NB38" s="3"/>
      <c r="NC38" s="3"/>
      <c r="ND38" s="3"/>
      <c r="NE38" s="3"/>
      <c r="NL38" s="3"/>
      <c r="NP38" s="3"/>
      <c r="NQ38" s="3"/>
      <c r="NR38" s="3"/>
      <c r="NS38" s="3"/>
      <c r="NU38" s="3"/>
      <c r="NV38" s="3"/>
      <c r="NW38" s="3"/>
      <c r="NX38" s="3"/>
      <c r="NY38" s="3"/>
      <c r="OA38" s="3"/>
      <c r="OB38" s="3"/>
      <c r="OC38" s="3"/>
      <c r="OD38" s="3"/>
      <c r="OE38" s="3"/>
      <c r="OF38" s="3"/>
      <c r="OG38" s="3"/>
      <c r="ON38" s="3"/>
      <c r="OR38" s="3"/>
      <c r="OS38" s="3"/>
      <c r="OT38" s="3"/>
      <c r="OU38" s="3"/>
      <c r="OW38" s="3"/>
      <c r="OX38" s="3"/>
      <c r="OY38" s="3"/>
      <c r="OZ38" s="3"/>
      <c r="PA38" s="3"/>
      <c r="PC38" s="3"/>
      <c r="PD38" s="3"/>
      <c r="PE38" s="3"/>
      <c r="PF38" s="3"/>
      <c r="PG38" s="3"/>
      <c r="PN38" s="3"/>
      <c r="PR38" s="3"/>
      <c r="PS38" s="3"/>
      <c r="PT38" s="3"/>
      <c r="PU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N38" s="3"/>
      <c r="QR38" s="3"/>
      <c r="QS38" s="3"/>
      <c r="QT38" s="3"/>
      <c r="QU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N38" s="3"/>
      <c r="RR38" s="3"/>
      <c r="RS38" s="3"/>
      <c r="RT38" s="3"/>
      <c r="RU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N38" s="3"/>
      <c r="SR38" s="3"/>
      <c r="SS38" s="3"/>
      <c r="ST38" s="3"/>
      <c r="SU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N38" s="3"/>
      <c r="TR38" s="3"/>
      <c r="TS38" s="3"/>
      <c r="TT38" s="3"/>
      <c r="TU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R38" s="3"/>
      <c r="UV38" s="3"/>
      <c r="UW38" s="3"/>
      <c r="UX38" s="3"/>
      <c r="UY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</row>
    <row r="39" spans="2:747" ht="14.25" customHeight="1" x14ac:dyDescent="0.4">
      <c r="B39" s="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B39" s="1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B39" s="1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B39" s="1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E39" s="1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E39" s="1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E39" s="1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E39" s="1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E39" s="1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E39" s="1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E39" s="1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E39" s="1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E39" s="1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E39" s="1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G39" s="1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I39" s="1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I39" s="1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I39" s="1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I39" s="1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I39" s="1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I39" s="1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M39" s="1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T39" s="1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T39" s="1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T39" s="1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T39" s="1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T39" s="1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T39" s="1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</row>
    <row r="40" spans="2:747" ht="14.25" customHeight="1" x14ac:dyDescent="0.4"/>
    <row r="41" spans="2:747" ht="14.25" customHeight="1" x14ac:dyDescent="0.4"/>
    <row r="42" spans="2:747" ht="14.25" customHeight="1" x14ac:dyDescent="0.4"/>
    <row r="43" spans="2:747" ht="14.25" customHeight="1" x14ac:dyDescent="0.4"/>
    <row r="44" spans="2:747" ht="14.25" customHeight="1" x14ac:dyDescent="0.4"/>
    <row r="45" spans="2:747" ht="14.25" customHeight="1" x14ac:dyDescent="0.4"/>
    <row r="46" spans="2:747" ht="14.25" customHeight="1" x14ac:dyDescent="0.4"/>
    <row r="47" spans="2:747" ht="14.25" customHeight="1" x14ac:dyDescent="0.4"/>
    <row r="48" spans="2:747" ht="14.25" customHeight="1" x14ac:dyDescent="0.4"/>
    <row r="49" ht="14.25" customHeight="1" x14ac:dyDescent="0.4"/>
    <row r="50" ht="14.25" customHeight="1" x14ac:dyDescent="0.4"/>
  </sheetData>
  <mergeCells count="1829">
    <mergeCell ref="SI24:SL24"/>
    <mergeCell ref="RX22:SA22"/>
    <mergeCell ref="LF25:LI25"/>
    <mergeCell ref="LJ25:LM25"/>
    <mergeCell ref="LO25:LR25"/>
    <mergeCell ref="LT25:LW25"/>
    <mergeCell ref="LY25:MB25"/>
    <mergeCell ref="LE26:LH26"/>
    <mergeCell ref="LJ26:LM26"/>
    <mergeCell ref="LO26:LR26"/>
    <mergeCell ref="LT26:LW26"/>
    <mergeCell ref="LY26:MB26"/>
    <mergeCell ref="LS13:LS19"/>
    <mergeCell ref="LD20:LD24"/>
    <mergeCell ref="LF20:LH20"/>
    <mergeCell ref="LJ20:LM20"/>
    <mergeCell ref="LO20:LR20"/>
    <mergeCell ref="LT20:LW20"/>
    <mergeCell ref="LY20:MB20"/>
    <mergeCell ref="LF21:LH21"/>
    <mergeCell ref="LJ21:LM21"/>
    <mergeCell ref="LO21:LR21"/>
    <mergeCell ref="LT21:LW21"/>
    <mergeCell ref="LY21:MB21"/>
    <mergeCell ref="LF22:LH22"/>
    <mergeCell ref="LJ22:LM22"/>
    <mergeCell ref="LO22:LR22"/>
    <mergeCell ref="LT22:LW22"/>
    <mergeCell ref="LY22:MB22"/>
    <mergeCell ref="LE23:LI23"/>
    <mergeCell ref="LJ23:LM23"/>
    <mergeCell ref="LO23:LR23"/>
    <mergeCell ref="LJ24:LM24"/>
    <mergeCell ref="LO24:LR24"/>
    <mergeCell ref="LT24:LW24"/>
    <mergeCell ref="LY24:MB24"/>
    <mergeCell ref="LY13:MB13"/>
    <mergeCell ref="LJ14:LM14"/>
    <mergeCell ref="LO14:LR14"/>
    <mergeCell ref="LT14:LW14"/>
    <mergeCell ref="LY14:MB14"/>
    <mergeCell ref="LE15:LI17"/>
    <mergeCell ref="LJ15:LM15"/>
    <mergeCell ref="LO15:LR15"/>
    <mergeCell ref="LT15:LW15"/>
    <mergeCell ref="LY15:MB15"/>
    <mergeCell ref="LJ16:LM16"/>
    <mergeCell ref="LO16:LR16"/>
    <mergeCell ref="LT16:LW16"/>
    <mergeCell ref="LY16:MB16"/>
    <mergeCell ref="LJ17:LM17"/>
    <mergeCell ref="LO17:LR17"/>
    <mergeCell ref="LT17:LW17"/>
    <mergeCell ref="LY17:MB17"/>
    <mergeCell ref="LE18:LI18"/>
    <mergeCell ref="LE19:LI19"/>
    <mergeCell ref="LK19:LL19"/>
    <mergeCell ref="LP19:LQ19"/>
    <mergeCell ref="LU19:LV19"/>
    <mergeCell ref="LZ19:MA19"/>
    <mergeCell ref="LT23:LW23"/>
    <mergeCell ref="LY23:MB23"/>
    <mergeCell ref="SS25:SV25"/>
    <mergeCell ref="SX25:TA25"/>
    <mergeCell ref="TC25:TF25"/>
    <mergeCell ref="SI26:SL26"/>
    <mergeCell ref="SN26:SQ26"/>
    <mergeCell ref="SS26:SV26"/>
    <mergeCell ref="SX26:TA26"/>
    <mergeCell ref="TC26:TF26"/>
    <mergeCell ref="LD2:MC2"/>
    <mergeCell ref="LD9:LG9"/>
    <mergeCell ref="LD10:LI10"/>
    <mergeCell ref="LJ10:LN10"/>
    <mergeCell ref="LO10:LS10"/>
    <mergeCell ref="LT10:LX10"/>
    <mergeCell ref="LY10:MC10"/>
    <mergeCell ref="LD11:LD19"/>
    <mergeCell ref="LE11:LI12"/>
    <mergeCell ref="LJ11:LM11"/>
    <mergeCell ref="LO11:LR11"/>
    <mergeCell ref="LT11:LW11"/>
    <mergeCell ref="LY11:MB11"/>
    <mergeCell ref="LJ12:LM12"/>
    <mergeCell ref="LO12:LR12"/>
    <mergeCell ref="LT12:LW12"/>
    <mergeCell ref="LY12:MB12"/>
    <mergeCell ref="LE13:LI14"/>
    <mergeCell ref="LJ13:LM13"/>
    <mergeCell ref="LO13:LR13"/>
    <mergeCell ref="LT13:LW13"/>
    <mergeCell ref="SS15:SV15"/>
    <mergeCell ref="SN16:SQ16"/>
    <mergeCell ref="LE24:LH24"/>
    <mergeCell ref="SX15:TA15"/>
    <mergeCell ref="SS16:SV16"/>
    <mergeCell ref="SX16:TA16"/>
    <mergeCell ref="TC16:TF16"/>
    <mergeCell ref="SN17:SQ17"/>
    <mergeCell ref="SS17:SV17"/>
    <mergeCell ref="SX17:TA17"/>
    <mergeCell ref="TC17:TF17"/>
    <mergeCell ref="SI18:SM18"/>
    <mergeCell ref="SI19:SM19"/>
    <mergeCell ref="SH20:SH24"/>
    <mergeCell ref="SJ20:SL20"/>
    <mergeCell ref="SN20:SQ20"/>
    <mergeCell ref="SS20:SV20"/>
    <mergeCell ref="SX20:TA20"/>
    <mergeCell ref="TC20:TF20"/>
    <mergeCell ref="SJ21:SL21"/>
    <mergeCell ref="SN21:SQ21"/>
    <mergeCell ref="SS21:SV21"/>
    <mergeCell ref="SX21:TA21"/>
    <mergeCell ref="TC21:TF21"/>
    <mergeCell ref="SJ22:SL22"/>
    <mergeCell ref="SN22:SQ22"/>
    <mergeCell ref="SS22:SV22"/>
    <mergeCell ref="SX22:TA22"/>
    <mergeCell ref="TC22:TF22"/>
    <mergeCell ref="SI23:SM23"/>
    <mergeCell ref="SN23:SQ23"/>
    <mergeCell ref="SS23:SV23"/>
    <mergeCell ref="SX23:TA23"/>
    <mergeCell ref="TC23:TF23"/>
    <mergeCell ref="SX24:TA24"/>
    <mergeCell ref="UL20:UL24"/>
    <mergeCell ref="UN20:UP20"/>
    <mergeCell ref="SH2:TG2"/>
    <mergeCell ref="SH9:SK9"/>
    <mergeCell ref="SH10:SM10"/>
    <mergeCell ref="SN10:SR10"/>
    <mergeCell ref="SS10:SW10"/>
    <mergeCell ref="SX10:TB10"/>
    <mergeCell ref="TC10:TG10"/>
    <mergeCell ref="SH11:SH19"/>
    <mergeCell ref="SI11:SM12"/>
    <mergeCell ref="SN11:SQ11"/>
    <mergeCell ref="SS11:SV11"/>
    <mergeCell ref="SX11:TA11"/>
    <mergeCell ref="TC11:TF11"/>
    <mergeCell ref="SN12:SQ12"/>
    <mergeCell ref="SS12:SV12"/>
    <mergeCell ref="SX12:TA12"/>
    <mergeCell ref="TC12:TF12"/>
    <mergeCell ref="SI13:SM14"/>
    <mergeCell ref="SN13:SQ13"/>
    <mergeCell ref="SR13:SR19"/>
    <mergeCell ref="SS13:SV13"/>
    <mergeCell ref="SW13:SW19"/>
    <mergeCell ref="SX13:TA13"/>
    <mergeCell ref="TC13:TF13"/>
    <mergeCell ref="SN14:SQ14"/>
    <mergeCell ref="SS14:SV14"/>
    <mergeCell ref="SX14:TA14"/>
    <mergeCell ref="TC14:TF14"/>
    <mergeCell ref="SI15:SM17"/>
    <mergeCell ref="SN15:SQ15"/>
    <mergeCell ref="TW10:UA10"/>
    <mergeCell ref="UG10:UK10"/>
    <mergeCell ref="VG15:VJ15"/>
    <mergeCell ref="UR16:UU16"/>
    <mergeCell ref="UW16:UZ16"/>
    <mergeCell ref="VB16:VE16"/>
    <mergeCell ref="VG16:VJ16"/>
    <mergeCell ref="UR17:UU17"/>
    <mergeCell ref="UW17:UZ17"/>
    <mergeCell ref="VB17:VE17"/>
    <mergeCell ref="VG17:VJ17"/>
    <mergeCell ref="UM18:UQ18"/>
    <mergeCell ref="UM19:UQ19"/>
    <mergeCell ref="UB10:UF10"/>
    <mergeCell ref="UB11:UE11"/>
    <mergeCell ref="UB12:UE12"/>
    <mergeCell ref="UW15:UZ15"/>
    <mergeCell ref="VB15:VE15"/>
    <mergeCell ref="UB14:UE14"/>
    <mergeCell ref="UB15:UE15"/>
    <mergeCell ref="UB16:UE16"/>
    <mergeCell ref="VG21:VJ21"/>
    <mergeCell ref="UN22:UP22"/>
    <mergeCell ref="UR22:UU22"/>
    <mergeCell ref="UW22:UZ22"/>
    <mergeCell ref="VB22:VE22"/>
    <mergeCell ref="VG22:VJ22"/>
    <mergeCell ref="UM23:UQ23"/>
    <mergeCell ref="UR23:UU23"/>
    <mergeCell ref="UW23:UZ23"/>
    <mergeCell ref="VB23:VE23"/>
    <mergeCell ref="VG23:VJ23"/>
    <mergeCell ref="UR25:UU25"/>
    <mergeCell ref="UW25:UZ25"/>
    <mergeCell ref="VB25:VE25"/>
    <mergeCell ref="VG25:VJ25"/>
    <mergeCell ref="UM26:UP26"/>
    <mergeCell ref="UR26:UU26"/>
    <mergeCell ref="UW26:UZ26"/>
    <mergeCell ref="VB26:VE26"/>
    <mergeCell ref="VG26:VJ26"/>
    <mergeCell ref="VG24:VJ24"/>
    <mergeCell ref="UN21:UP21"/>
    <mergeCell ref="UR21:UU21"/>
    <mergeCell ref="UW21:UZ21"/>
    <mergeCell ref="VB21:VE21"/>
    <mergeCell ref="UL2:VK2"/>
    <mergeCell ref="UL9:UO9"/>
    <mergeCell ref="UL10:UQ10"/>
    <mergeCell ref="UR10:UV10"/>
    <mergeCell ref="VG10:VK10"/>
    <mergeCell ref="UL11:UL19"/>
    <mergeCell ref="UM11:UQ12"/>
    <mergeCell ref="UR11:UU11"/>
    <mergeCell ref="UW11:UZ11"/>
    <mergeCell ref="VB11:VE11"/>
    <mergeCell ref="VG11:VJ11"/>
    <mergeCell ref="UR12:UU12"/>
    <mergeCell ref="UW12:UZ12"/>
    <mergeCell ref="VB12:VE12"/>
    <mergeCell ref="VG12:VJ12"/>
    <mergeCell ref="UM13:UQ14"/>
    <mergeCell ref="UR13:UU13"/>
    <mergeCell ref="UV13:UV19"/>
    <mergeCell ref="UW13:UZ13"/>
    <mergeCell ref="VB13:VE13"/>
    <mergeCell ref="VG13:VJ13"/>
    <mergeCell ref="UR14:UU14"/>
    <mergeCell ref="UW14:UZ14"/>
    <mergeCell ref="VB14:VE14"/>
    <mergeCell ref="VG14:VJ14"/>
    <mergeCell ref="UM15:UQ17"/>
    <mergeCell ref="UR15:UU15"/>
    <mergeCell ref="UR20:UU20"/>
    <mergeCell ref="UW20:UZ20"/>
    <mergeCell ref="VB20:VE20"/>
    <mergeCell ref="VG20:VJ20"/>
    <mergeCell ref="VB10:VF10"/>
    <mergeCell ref="UB20:UE20"/>
    <mergeCell ref="UB21:UE21"/>
    <mergeCell ref="UB22:UE22"/>
    <mergeCell ref="UB23:UE23"/>
    <mergeCell ref="UB24:UE24"/>
    <mergeCell ref="UB25:UE25"/>
    <mergeCell ref="UB26:UE26"/>
    <mergeCell ref="TJ25:TM25"/>
    <mergeCell ref="TN25:TQ25"/>
    <mergeCell ref="TS25:TV25"/>
    <mergeCell ref="TW25:TZ25"/>
    <mergeCell ref="UG25:UJ25"/>
    <mergeCell ref="TI26:TL26"/>
    <mergeCell ref="TN26:TQ26"/>
    <mergeCell ref="TS26:TV26"/>
    <mergeCell ref="TW26:TZ26"/>
    <mergeCell ref="UG26:UJ26"/>
    <mergeCell ref="UG16:UJ16"/>
    <mergeCell ref="TN17:TQ17"/>
    <mergeCell ref="TW17:TZ17"/>
    <mergeCell ref="TI18:TM18"/>
    <mergeCell ref="TI19:TM19"/>
    <mergeCell ref="UB17:UE17"/>
    <mergeCell ref="UM24:UP24"/>
    <mergeCell ref="UR24:UU24"/>
    <mergeCell ref="UW24:UZ24"/>
    <mergeCell ref="VB24:VE24"/>
    <mergeCell ref="TH20:TH24"/>
    <mergeCell ref="TJ20:TL20"/>
    <mergeCell ref="TN20:TQ20"/>
    <mergeCell ref="TS20:TV20"/>
    <mergeCell ref="TW20:TZ20"/>
    <mergeCell ref="UG20:UJ20"/>
    <mergeCell ref="TJ21:TL21"/>
    <mergeCell ref="TN21:TQ21"/>
    <mergeCell ref="TS21:TV21"/>
    <mergeCell ref="TW21:TZ21"/>
    <mergeCell ref="UG21:UJ21"/>
    <mergeCell ref="TJ22:TL22"/>
    <mergeCell ref="TN22:TQ22"/>
    <mergeCell ref="TS22:TV22"/>
    <mergeCell ref="TW22:TZ22"/>
    <mergeCell ref="UG22:UJ22"/>
    <mergeCell ref="TI23:TM23"/>
    <mergeCell ref="TN23:TQ23"/>
    <mergeCell ref="TS23:TV23"/>
    <mergeCell ref="TW23:TZ23"/>
    <mergeCell ref="UG23:UJ23"/>
    <mergeCell ref="TI24:TL24"/>
    <mergeCell ref="TN24:TQ24"/>
    <mergeCell ref="TS24:TV24"/>
    <mergeCell ref="TW24:TZ24"/>
    <mergeCell ref="UG24:UJ24"/>
    <mergeCell ref="TH9:TK9"/>
    <mergeCell ref="TH10:TM10"/>
    <mergeCell ref="TH11:TH19"/>
    <mergeCell ref="TI11:TM12"/>
    <mergeCell ref="TN11:TQ11"/>
    <mergeCell ref="TS11:TV11"/>
    <mergeCell ref="TW11:TZ11"/>
    <mergeCell ref="UG11:UJ11"/>
    <mergeCell ref="TN12:TQ12"/>
    <mergeCell ref="TS12:TV12"/>
    <mergeCell ref="TW12:TZ12"/>
    <mergeCell ref="UG12:UJ12"/>
    <mergeCell ref="TI13:TM14"/>
    <mergeCell ref="TN13:TQ13"/>
    <mergeCell ref="TS13:TV13"/>
    <mergeCell ref="TW13:TZ13"/>
    <mergeCell ref="UG13:UJ13"/>
    <mergeCell ref="TN14:TQ14"/>
    <mergeCell ref="TS14:TV14"/>
    <mergeCell ref="TW14:TZ14"/>
    <mergeCell ref="UG14:UJ14"/>
    <mergeCell ref="TI15:TM17"/>
    <mergeCell ref="TN15:TQ15"/>
    <mergeCell ref="TS15:TV15"/>
    <mergeCell ref="TW15:TZ15"/>
    <mergeCell ref="UG15:UJ15"/>
    <mergeCell ref="TN16:TQ16"/>
    <mergeCell ref="TS16:TV16"/>
    <mergeCell ref="TW16:TZ16"/>
    <mergeCell ref="TS17:TV17"/>
    <mergeCell ref="UG17:UJ17"/>
    <mergeCell ref="UB13:UE13"/>
    <mergeCell ref="SC17:SF17"/>
    <mergeCell ref="RI18:RM18"/>
    <mergeCell ref="RI19:RM19"/>
    <mergeCell ref="RX16:SA16"/>
    <mergeCell ref="RX17:SA17"/>
    <mergeCell ref="RX25:SA25"/>
    <mergeCell ref="RX26:SA26"/>
    <mergeCell ref="RR13:RR19"/>
    <mergeCell ref="RS20:RV20"/>
    <mergeCell ref="SC20:SF20"/>
    <mergeCell ref="RJ21:RL21"/>
    <mergeCell ref="RN21:RQ21"/>
    <mergeCell ref="RS21:RV21"/>
    <mergeCell ref="SC21:SF21"/>
    <mergeCell ref="RJ22:RL22"/>
    <mergeCell ref="RN22:RQ22"/>
    <mergeCell ref="RS22:RV22"/>
    <mergeCell ref="SC22:SF22"/>
    <mergeCell ref="RI23:RM23"/>
    <mergeCell ref="RN23:RQ23"/>
    <mergeCell ref="RS23:RV23"/>
    <mergeCell ref="SC23:SF23"/>
    <mergeCell ref="SC24:SF24"/>
    <mergeCell ref="RX20:SA20"/>
    <mergeCell ref="RX21:SA21"/>
    <mergeCell ref="RH2:SG2"/>
    <mergeCell ref="RH9:RK9"/>
    <mergeCell ref="RH10:RM10"/>
    <mergeCell ref="RH11:RH19"/>
    <mergeCell ref="RI11:RM12"/>
    <mergeCell ref="RN11:RQ11"/>
    <mergeCell ref="RS11:RV11"/>
    <mergeCell ref="SC11:SF11"/>
    <mergeCell ref="RN12:RQ12"/>
    <mergeCell ref="RS12:RV12"/>
    <mergeCell ref="SC12:SF12"/>
    <mergeCell ref="RI13:RM14"/>
    <mergeCell ref="RN13:RQ13"/>
    <mergeCell ref="RS13:RV13"/>
    <mergeCell ref="SC13:SF13"/>
    <mergeCell ref="RN14:RQ14"/>
    <mergeCell ref="RS14:RV14"/>
    <mergeCell ref="SC14:SF14"/>
    <mergeCell ref="RI15:RM17"/>
    <mergeCell ref="RN15:RQ15"/>
    <mergeCell ref="RS15:RV15"/>
    <mergeCell ref="RX11:SA11"/>
    <mergeCell ref="RX12:SA12"/>
    <mergeCell ref="RX10:SB10"/>
    <mergeCell ref="RS10:RW10"/>
    <mergeCell ref="RN10:RR10"/>
    <mergeCell ref="SC10:SG10"/>
    <mergeCell ref="SC15:SF15"/>
    <mergeCell ref="RN16:RQ16"/>
    <mergeCell ref="RS16:RV16"/>
    <mergeCell ref="SC16:SF16"/>
    <mergeCell ref="RN17:RQ17"/>
    <mergeCell ref="PH20:PH24"/>
    <mergeCell ref="PJ20:PL20"/>
    <mergeCell ref="PN20:PQ20"/>
    <mergeCell ref="PS20:PV20"/>
    <mergeCell ref="QC20:QF20"/>
    <mergeCell ref="PJ21:PL21"/>
    <mergeCell ref="PN21:PQ21"/>
    <mergeCell ref="PS21:PV21"/>
    <mergeCell ref="QC21:QF21"/>
    <mergeCell ref="PJ22:PL22"/>
    <mergeCell ref="PN22:PQ22"/>
    <mergeCell ref="PS22:PV22"/>
    <mergeCell ref="QH20:QH24"/>
    <mergeCell ref="QN20:QQ20"/>
    <mergeCell ref="QS20:QV20"/>
    <mergeCell ref="QX20:RA20"/>
    <mergeCell ref="RC20:RF20"/>
    <mergeCell ref="QJ21:QL21"/>
    <mergeCell ref="QN21:QQ21"/>
    <mergeCell ref="QS21:QV21"/>
    <mergeCell ref="QS23:QV23"/>
    <mergeCell ref="QC23:QF23"/>
    <mergeCell ref="PI24:PL24"/>
    <mergeCell ref="PN24:PQ24"/>
    <mergeCell ref="PS24:PV24"/>
    <mergeCell ref="PI15:PM17"/>
    <mergeCell ref="PN15:PQ15"/>
    <mergeCell ref="PS15:PV15"/>
    <mergeCell ref="PX15:QA15"/>
    <mergeCell ref="PX16:QA16"/>
    <mergeCell ref="PX17:QA17"/>
    <mergeCell ref="QC22:QF22"/>
    <mergeCell ref="PI23:PM23"/>
    <mergeCell ref="PN23:PQ23"/>
    <mergeCell ref="PX22:QA22"/>
    <mergeCell ref="PX23:QA23"/>
    <mergeCell ref="PX24:QA24"/>
    <mergeCell ref="PX20:QA20"/>
    <mergeCell ref="PX21:QA21"/>
    <mergeCell ref="PJ25:PM25"/>
    <mergeCell ref="PN25:PQ25"/>
    <mergeCell ref="RX13:SA13"/>
    <mergeCell ref="RX14:SA14"/>
    <mergeCell ref="RX15:SA15"/>
    <mergeCell ref="RX23:SA23"/>
    <mergeCell ref="RX24:SA24"/>
    <mergeCell ref="RI24:RL24"/>
    <mergeCell ref="RN24:RQ24"/>
    <mergeCell ref="RS24:RV24"/>
    <mergeCell ref="RS17:RV17"/>
    <mergeCell ref="PH2:QG2"/>
    <mergeCell ref="PH9:PK9"/>
    <mergeCell ref="PH10:PM10"/>
    <mergeCell ref="PN10:PR10"/>
    <mergeCell ref="PH11:PH19"/>
    <mergeCell ref="PI11:PM12"/>
    <mergeCell ref="PN11:PQ11"/>
    <mergeCell ref="PS11:PV11"/>
    <mergeCell ref="PN12:PQ12"/>
    <mergeCell ref="PS12:PV12"/>
    <mergeCell ref="PI13:PM14"/>
    <mergeCell ref="PN13:PQ13"/>
    <mergeCell ref="PS13:PV13"/>
    <mergeCell ref="PX11:QA11"/>
    <mergeCell ref="PX12:QA12"/>
    <mergeCell ref="PX13:QA13"/>
    <mergeCell ref="PX14:QA14"/>
    <mergeCell ref="QC15:QF15"/>
    <mergeCell ref="PN16:PQ16"/>
    <mergeCell ref="PS16:PV16"/>
    <mergeCell ref="QC16:QF16"/>
    <mergeCell ref="PN17:PQ17"/>
    <mergeCell ref="PS17:PV17"/>
    <mergeCell ref="QC17:QF17"/>
    <mergeCell ref="PN14:PQ14"/>
    <mergeCell ref="PS14:PV14"/>
    <mergeCell ref="PI18:PM18"/>
    <mergeCell ref="PI19:PM19"/>
    <mergeCell ref="PX10:QB10"/>
    <mergeCell ref="PS10:PW10"/>
    <mergeCell ref="PR13:PR19"/>
    <mergeCell ref="QC11:QF11"/>
    <mergeCell ref="QC12:QF12"/>
    <mergeCell ref="OX16:PA16"/>
    <mergeCell ref="OX17:PA17"/>
    <mergeCell ref="OW13:OW19"/>
    <mergeCell ref="NL25:NO25"/>
    <mergeCell ref="NQ25:NT25"/>
    <mergeCell ref="OH20:OH24"/>
    <mergeCell ref="OI23:OM23"/>
    <mergeCell ref="OS24:OV24"/>
    <mergeCell ref="QC13:QF13"/>
    <mergeCell ref="QC14:QF14"/>
    <mergeCell ref="QC10:QG10"/>
    <mergeCell ref="QG13:QG19"/>
    <mergeCell ref="OS10:OW10"/>
    <mergeCell ref="PC13:PF13"/>
    <mergeCell ref="PC14:PF14"/>
    <mergeCell ref="NL22:NO22"/>
    <mergeCell ref="OJ20:OL20"/>
    <mergeCell ref="ON20:OQ20"/>
    <mergeCell ref="OX20:PA20"/>
    <mergeCell ref="PC20:PF20"/>
    <mergeCell ref="OJ21:OL21"/>
    <mergeCell ref="ON21:OQ21"/>
    <mergeCell ref="QC25:QF25"/>
    <mergeCell ref="OS21:OV21"/>
    <mergeCell ref="OX21:PA21"/>
    <mergeCell ref="PC21:PF21"/>
    <mergeCell ref="OJ22:OL22"/>
    <mergeCell ref="ON22:OQ22"/>
    <mergeCell ref="OY19:OZ19"/>
    <mergeCell ref="QC24:QF24"/>
    <mergeCell ref="PX25:QA25"/>
    <mergeCell ref="OX23:PA23"/>
    <mergeCell ref="NG15:NK17"/>
    <mergeCell ref="NL15:NO15"/>
    <mergeCell ref="NV13:NY13"/>
    <mergeCell ref="OA13:OD13"/>
    <mergeCell ref="NL14:NO14"/>
    <mergeCell ref="NG23:NK23"/>
    <mergeCell ref="NL23:NO23"/>
    <mergeCell ref="NV15:NY15"/>
    <mergeCell ref="PX26:QA26"/>
    <mergeCell ref="PI26:PL26"/>
    <mergeCell ref="PN26:PQ26"/>
    <mergeCell ref="PS26:PV26"/>
    <mergeCell ref="NV25:NY25"/>
    <mergeCell ref="NV26:NY26"/>
    <mergeCell ref="ON23:OQ23"/>
    <mergeCell ref="OI24:OL24"/>
    <mergeCell ref="ON24:OQ24"/>
    <mergeCell ref="OX24:PA24"/>
    <mergeCell ref="PC24:PF24"/>
    <mergeCell ref="OJ25:OM25"/>
    <mergeCell ref="ON25:OQ25"/>
    <mergeCell ref="OS25:OV25"/>
    <mergeCell ref="OX25:PA25"/>
    <mergeCell ref="PC25:PF25"/>
    <mergeCell ref="OI26:OL26"/>
    <mergeCell ref="ON26:OQ26"/>
    <mergeCell ref="OS26:OV26"/>
    <mergeCell ref="OX26:PA26"/>
    <mergeCell ref="NV24:NY24"/>
    <mergeCell ref="PC26:PF26"/>
    <mergeCell ref="PS23:PV23"/>
    <mergeCell ref="OA21:OD21"/>
    <mergeCell ref="NH25:NK25"/>
    <mergeCell ref="NL24:NO24"/>
    <mergeCell ref="NQ24:NT24"/>
    <mergeCell ref="NG26:NJ26"/>
    <mergeCell ref="NL26:NO26"/>
    <mergeCell ref="NQ26:NT26"/>
    <mergeCell ref="NH22:NJ22"/>
    <mergeCell ref="PC23:PF23"/>
    <mergeCell ref="NF20:NF24"/>
    <mergeCell ref="NQ22:NT22"/>
    <mergeCell ref="NG24:NJ24"/>
    <mergeCell ref="OS20:OV20"/>
    <mergeCell ref="NL16:NO16"/>
    <mergeCell ref="PD19:PE19"/>
    <mergeCell ref="OA24:OD24"/>
    <mergeCell ref="NV20:NY20"/>
    <mergeCell ref="OA20:OD20"/>
    <mergeCell ref="OA25:OD25"/>
    <mergeCell ref="NQ23:NT23"/>
    <mergeCell ref="NV23:NY23"/>
    <mergeCell ref="OA23:OD23"/>
    <mergeCell ref="NR19:NS19"/>
    <mergeCell ref="NW19:NX19"/>
    <mergeCell ref="OB19:OC19"/>
    <mergeCell ref="NZ13:NZ19"/>
    <mergeCell ref="NH20:NJ20"/>
    <mergeCell ref="NL20:NO20"/>
    <mergeCell ref="NQ20:NT20"/>
    <mergeCell ref="OX14:PA14"/>
    <mergeCell ref="OX15:PA15"/>
    <mergeCell ref="OS23:OV23"/>
    <mergeCell ref="OA10:OG10"/>
    <mergeCell ref="NV16:NY16"/>
    <mergeCell ref="OA16:OD16"/>
    <mergeCell ref="NL17:NO17"/>
    <mergeCell ref="NQ17:NT17"/>
    <mergeCell ref="NV17:NY17"/>
    <mergeCell ref="OA17:OD17"/>
    <mergeCell ref="NV12:NY12"/>
    <mergeCell ref="OA12:OD12"/>
    <mergeCell ref="ON10:OR10"/>
    <mergeCell ref="KY16:LB16"/>
    <mergeCell ref="KY20:LB20"/>
    <mergeCell ref="MF20:MH20"/>
    <mergeCell ref="MJ20:MM20"/>
    <mergeCell ref="MO20:MR20"/>
    <mergeCell ref="NQ14:NT14"/>
    <mergeCell ref="NV14:NY14"/>
    <mergeCell ref="MJ14:MM14"/>
    <mergeCell ref="MO14:MR14"/>
    <mergeCell ref="MT14:MW14"/>
    <mergeCell ref="OA14:OD14"/>
    <mergeCell ref="MT13:MW13"/>
    <mergeCell ref="MY13:NB13"/>
    <mergeCell ref="NM19:NN19"/>
    <mergeCell ref="NL13:NO13"/>
    <mergeCell ref="NQ13:NT13"/>
    <mergeCell ref="OA15:OD15"/>
    <mergeCell ref="LX13:LX19"/>
    <mergeCell ref="MK19:ML19"/>
    <mergeCell ref="MP19:MQ19"/>
    <mergeCell ref="MF22:MH22"/>
    <mergeCell ref="MJ22:MM22"/>
    <mergeCell ref="MO22:MR22"/>
    <mergeCell ref="MU19:MV19"/>
    <mergeCell ref="MZ19:NA19"/>
    <mergeCell ref="MO21:MR21"/>
    <mergeCell ref="MT21:MW21"/>
    <mergeCell ref="MY21:NB21"/>
    <mergeCell ref="MO23:MR23"/>
    <mergeCell ref="MT23:MW23"/>
    <mergeCell ref="MY23:NB23"/>
    <mergeCell ref="MY20:NB20"/>
    <mergeCell ref="MF21:MH21"/>
    <mergeCell ref="MJ21:MM21"/>
    <mergeCell ref="MD9:MG9"/>
    <mergeCell ref="MD10:MI10"/>
    <mergeCell ref="MD11:MD19"/>
    <mergeCell ref="ME11:MI12"/>
    <mergeCell ref="MD20:MD24"/>
    <mergeCell ref="MT22:MW22"/>
    <mergeCell ref="MY22:NB22"/>
    <mergeCell ref="ME23:MI23"/>
    <mergeCell ref="MJ23:MM23"/>
    <mergeCell ref="MO12:MR12"/>
    <mergeCell ref="MT12:MW12"/>
    <mergeCell ref="MY12:NB12"/>
    <mergeCell ref="ME13:MI14"/>
    <mergeCell ref="MJ13:MM13"/>
    <mergeCell ref="MO13:MR13"/>
    <mergeCell ref="ME24:MH24"/>
    <mergeCell ref="VM2:VQ2"/>
    <mergeCell ref="KT22:KW22"/>
    <mergeCell ref="KY22:LB22"/>
    <mergeCell ref="KE23:KI23"/>
    <mergeCell ref="KJ23:KM23"/>
    <mergeCell ref="KO23:KR23"/>
    <mergeCell ref="KY13:LB13"/>
    <mergeCell ref="KJ14:KM14"/>
    <mergeCell ref="KO14:KR14"/>
    <mergeCell ref="KT14:KW14"/>
    <mergeCell ref="KY14:LB14"/>
    <mergeCell ref="KE15:KI17"/>
    <mergeCell ref="KJ15:KM15"/>
    <mergeCell ref="KO15:KR15"/>
    <mergeCell ref="KT15:KW15"/>
    <mergeCell ref="KY15:LB15"/>
    <mergeCell ref="LC13:LC19"/>
    <mergeCell ref="KJ20:KM20"/>
    <mergeCell ref="KJ10:KN10"/>
    <mergeCell ref="MY14:NB14"/>
    <mergeCell ref="ME15:MI17"/>
    <mergeCell ref="MJ15:MM15"/>
    <mergeCell ref="MO15:MR15"/>
    <mergeCell ref="MT15:MW15"/>
    <mergeCell ref="MY15:NB15"/>
    <mergeCell ref="KO10:KS10"/>
    <mergeCell ref="KJ16:KM16"/>
    <mergeCell ref="TC15:TF15"/>
    <mergeCell ref="KJ21:KM21"/>
    <mergeCell ref="RC12:RF12"/>
    <mergeCell ref="KU19:KV19"/>
    <mergeCell ref="MT20:MW20"/>
    <mergeCell ref="JJ10:JN10"/>
    <mergeCell ref="JY10:KC10"/>
    <mergeCell ref="KD2:LC2"/>
    <mergeCell ref="KD9:KG9"/>
    <mergeCell ref="KD10:KI10"/>
    <mergeCell ref="KD11:KD19"/>
    <mergeCell ref="KE11:KI12"/>
    <mergeCell ref="KJ11:KM11"/>
    <mergeCell ref="KO11:KR11"/>
    <mergeCell ref="KT11:KW11"/>
    <mergeCell ref="KY11:LB11"/>
    <mergeCell ref="KJ12:KM12"/>
    <mergeCell ref="KO12:KR12"/>
    <mergeCell ref="KT12:KW12"/>
    <mergeCell ref="KY12:LB12"/>
    <mergeCell ref="KE13:KI14"/>
    <mergeCell ref="KJ13:KM13"/>
    <mergeCell ref="KO13:KR13"/>
    <mergeCell ref="KT13:KW13"/>
    <mergeCell ref="KJ17:KM17"/>
    <mergeCell ref="KO17:KR17"/>
    <mergeCell ref="KT17:KW17"/>
    <mergeCell ref="KY17:LB17"/>
    <mergeCell ref="KE18:KI18"/>
    <mergeCell ref="KT16:KW16"/>
    <mergeCell ref="KY10:LC10"/>
    <mergeCell ref="KX13:KX19"/>
    <mergeCell ref="KT10:KX10"/>
    <mergeCell ref="KE19:KI19"/>
    <mergeCell ref="KK19:KL19"/>
    <mergeCell ref="KP19:KQ19"/>
    <mergeCell ref="JY13:KB13"/>
    <mergeCell ref="HC13:HC19"/>
    <mergeCell ref="HY12:IB12"/>
    <mergeCell ref="GU19:GV19"/>
    <mergeCell ref="GZ19:HA19"/>
    <mergeCell ref="GD20:GD24"/>
    <mergeCell ref="GF20:GH20"/>
    <mergeCell ref="GJ20:GM20"/>
    <mergeCell ref="GO20:GR20"/>
    <mergeCell ref="GT20:GW20"/>
    <mergeCell ref="GY20:HB20"/>
    <mergeCell ref="GF21:GH21"/>
    <mergeCell ref="GJ21:GM21"/>
    <mergeCell ref="GO21:GR21"/>
    <mergeCell ref="GT21:GW21"/>
    <mergeCell ref="GY21:HB21"/>
    <mergeCell ref="GF22:GH22"/>
    <mergeCell ref="GJ22:GM22"/>
    <mergeCell ref="GO22:GR22"/>
    <mergeCell ref="GT22:GW22"/>
    <mergeCell ref="GY22:HB22"/>
    <mergeCell ref="GE23:GI23"/>
    <mergeCell ref="GJ23:GM23"/>
    <mergeCell ref="GT16:GW16"/>
    <mergeCell ref="GY16:HB16"/>
    <mergeCell ref="GO17:GR17"/>
    <mergeCell ref="GT17:GW17"/>
    <mergeCell ref="GY17:HB17"/>
    <mergeCell ref="GE18:GI18"/>
    <mergeCell ref="GE19:GI19"/>
    <mergeCell ref="HJ23:HM23"/>
    <mergeCell ref="HO23:HR23"/>
    <mergeCell ref="HT23:HW23"/>
    <mergeCell ref="FD2:GC2"/>
    <mergeCell ref="FT24:FW24"/>
    <mergeCell ref="FT25:FW25"/>
    <mergeCell ref="FT26:FW26"/>
    <mergeCell ref="EY10:FC10"/>
    <mergeCell ref="FE24:FH24"/>
    <mergeCell ref="FJ24:FM24"/>
    <mergeCell ref="FO24:FR24"/>
    <mergeCell ref="FY24:GB24"/>
    <mergeCell ref="FF25:FI25"/>
    <mergeCell ref="FJ25:FM25"/>
    <mergeCell ref="FO25:FR25"/>
    <mergeCell ref="FY25:GB25"/>
    <mergeCell ref="FE26:FH26"/>
    <mergeCell ref="FJ26:FM26"/>
    <mergeCell ref="FO26:FR26"/>
    <mergeCell ref="FY26:GB26"/>
    <mergeCell ref="FT11:FW11"/>
    <mergeCell ref="FT12:FW12"/>
    <mergeCell ref="FT13:FW13"/>
    <mergeCell ref="FT14:FW14"/>
    <mergeCell ref="FT15:FW15"/>
    <mergeCell ref="FT16:FW16"/>
    <mergeCell ref="FT17:FW17"/>
    <mergeCell ref="FD20:FD24"/>
    <mergeCell ref="FF20:FH20"/>
    <mergeCell ref="FJ20:FM20"/>
    <mergeCell ref="FO20:FR20"/>
    <mergeCell ref="FY20:GB20"/>
    <mergeCell ref="FD9:FG9"/>
    <mergeCell ref="FD10:FI10"/>
    <mergeCell ref="FD11:FD19"/>
    <mergeCell ref="FZ19:GA19"/>
    <mergeCell ref="FT10:FX10"/>
    <mergeCell ref="FE15:FI17"/>
    <mergeCell ref="FJ15:FM15"/>
    <mergeCell ref="FO15:FR15"/>
    <mergeCell ref="FY15:GB15"/>
    <mergeCell ref="FJ16:FM16"/>
    <mergeCell ref="FO16:FR16"/>
    <mergeCell ref="FU19:FV19"/>
    <mergeCell ref="FY16:GB16"/>
    <mergeCell ref="FJ17:FM17"/>
    <mergeCell ref="FO17:FR17"/>
    <mergeCell ref="FY17:GB17"/>
    <mergeCell ref="FE18:FI18"/>
    <mergeCell ref="FE19:FI19"/>
    <mergeCell ref="FK19:FL19"/>
    <mergeCell ref="FP19:FQ19"/>
    <mergeCell ref="FY21:GB21"/>
    <mergeCell ref="FF22:FH22"/>
    <mergeCell ref="FJ22:FM22"/>
    <mergeCell ref="FO22:FR22"/>
    <mergeCell ref="FY22:GB22"/>
    <mergeCell ref="FE23:FI23"/>
    <mergeCell ref="FJ23:FM23"/>
    <mergeCell ref="FO23:FR23"/>
    <mergeCell ref="FY23:GB23"/>
    <mergeCell ref="FT20:FW20"/>
    <mergeCell ref="FT21:FW21"/>
    <mergeCell ref="ET20:EW20"/>
    <mergeCell ref="ET21:EW21"/>
    <mergeCell ref="ET22:EW22"/>
    <mergeCell ref="EE26:EH26"/>
    <mergeCell ref="EJ26:EM26"/>
    <mergeCell ref="EO26:ER26"/>
    <mergeCell ref="FT23:FW23"/>
    <mergeCell ref="FT22:FW22"/>
    <mergeCell ref="FF21:FH21"/>
    <mergeCell ref="EE24:EH24"/>
    <mergeCell ref="EJ24:EM24"/>
    <mergeCell ref="EO24:ER24"/>
    <mergeCell ref="EY24:FB24"/>
    <mergeCell ref="FJ21:FM21"/>
    <mergeCell ref="FO21:FR21"/>
    <mergeCell ref="EY26:FB26"/>
    <mergeCell ref="ET26:EW26"/>
    <mergeCell ref="EJ20:EM20"/>
    <mergeCell ref="EO20:ER20"/>
    <mergeCell ref="EY20:FB20"/>
    <mergeCell ref="EF21:EH21"/>
    <mergeCell ref="DD20:DD24"/>
    <mergeCell ref="DF20:DH20"/>
    <mergeCell ref="DJ20:DM20"/>
    <mergeCell ref="DF21:DH21"/>
    <mergeCell ref="DJ21:DM21"/>
    <mergeCell ref="DF25:DI25"/>
    <mergeCell ref="DJ25:DM25"/>
    <mergeCell ref="DO25:DR25"/>
    <mergeCell ref="DT25:DW25"/>
    <mergeCell ref="DY25:EB25"/>
    <mergeCell ref="DF22:DH22"/>
    <mergeCell ref="DJ22:DM22"/>
    <mergeCell ref="DO22:DR22"/>
    <mergeCell ref="DT22:DW22"/>
    <mergeCell ref="DO21:DR21"/>
    <mergeCell ref="DT21:DW21"/>
    <mergeCell ref="DO23:DR23"/>
    <mergeCell ref="DT23:DW23"/>
    <mergeCell ref="DE24:DH24"/>
    <mergeCell ref="DJ24:DM24"/>
    <mergeCell ref="DO24:DR24"/>
    <mergeCell ref="DT24:DW24"/>
    <mergeCell ref="DY24:EB24"/>
    <mergeCell ref="DY21:EB21"/>
    <mergeCell ref="EJ21:EM21"/>
    <mergeCell ref="EO21:ER21"/>
    <mergeCell ref="EY21:FB21"/>
    <mergeCell ref="EF22:EH22"/>
    <mergeCell ref="EJ22:EM22"/>
    <mergeCell ref="EY22:FB22"/>
    <mergeCell ref="EE23:EI23"/>
    <mergeCell ref="EJ23:EM23"/>
    <mergeCell ref="ET23:EW23"/>
    <mergeCell ref="ET24:EW24"/>
    <mergeCell ref="EO23:ER23"/>
    <mergeCell ref="ET25:EW25"/>
    <mergeCell ref="EY23:FB23"/>
    <mergeCell ref="EJ15:EM15"/>
    <mergeCell ref="EO15:ER15"/>
    <mergeCell ref="EY15:FB15"/>
    <mergeCell ref="EY16:FB16"/>
    <mergeCell ref="EY17:FB17"/>
    <mergeCell ref="EE19:EI19"/>
    <mergeCell ref="EK19:EL19"/>
    <mergeCell ref="EP19:EQ19"/>
    <mergeCell ref="EO22:ER22"/>
    <mergeCell ref="EJ16:EM16"/>
    <mergeCell ref="EO16:ER16"/>
    <mergeCell ref="EJ17:EM17"/>
    <mergeCell ref="EO17:ER17"/>
    <mergeCell ref="EF20:EH20"/>
    <mergeCell ref="DO17:DR17"/>
    <mergeCell ref="DT17:DW17"/>
    <mergeCell ref="DY17:EB17"/>
    <mergeCell ref="DJ17:DM17"/>
    <mergeCell ref="DE15:DI17"/>
    <mergeCell ref="DJ15:DM15"/>
    <mergeCell ref="DO15:DR15"/>
    <mergeCell ref="DE18:DI18"/>
    <mergeCell ref="DE19:DI19"/>
    <mergeCell ref="DK19:DL19"/>
    <mergeCell ref="DP19:DQ19"/>
    <mergeCell ref="DU19:DV19"/>
    <mergeCell ref="DZ19:EA19"/>
    <mergeCell ref="ED20:ED24"/>
    <mergeCell ref="DY22:EB22"/>
    <mergeCell ref="DE23:DI23"/>
    <mergeCell ref="DJ23:DM23"/>
    <mergeCell ref="DY23:EB23"/>
    <mergeCell ref="DJ16:DM16"/>
    <mergeCell ref="ED2:FC2"/>
    <mergeCell ref="ED9:EG9"/>
    <mergeCell ref="ED10:EI10"/>
    <mergeCell ref="EJ10:EN10"/>
    <mergeCell ref="ED11:ED19"/>
    <mergeCell ref="EE11:EI12"/>
    <mergeCell ref="EJ11:EM11"/>
    <mergeCell ref="EO11:ER11"/>
    <mergeCell ref="EY11:FB11"/>
    <mergeCell ref="EJ12:EM12"/>
    <mergeCell ref="EO12:ER12"/>
    <mergeCell ref="EY12:FB12"/>
    <mergeCell ref="EE13:EI14"/>
    <mergeCell ref="EJ13:EM13"/>
    <mergeCell ref="EO13:ER13"/>
    <mergeCell ref="EY13:FB13"/>
    <mergeCell ref="EJ14:EM14"/>
    <mergeCell ref="EO14:ER14"/>
    <mergeCell ref="ET11:EW11"/>
    <mergeCell ref="ET12:EW12"/>
    <mergeCell ref="ET10:EX10"/>
    <mergeCell ref="EO10:ES10"/>
    <mergeCell ref="ET13:EW13"/>
    <mergeCell ref="ET14:EW14"/>
    <mergeCell ref="ET15:EW15"/>
    <mergeCell ref="ET16:EW16"/>
    <mergeCell ref="ET17:EW17"/>
    <mergeCell ref="EU19:EV19"/>
    <mergeCell ref="EE18:EI18"/>
    <mergeCell ref="EZ19:FA19"/>
    <mergeCell ref="EY14:FB14"/>
    <mergeCell ref="EE15:EI17"/>
    <mergeCell ref="CB26:CE26"/>
    <mergeCell ref="CG26:CJ26"/>
    <mergeCell ref="CL26:CO26"/>
    <mergeCell ref="CQ26:CT26"/>
    <mergeCell ref="CZ26:DC26"/>
    <mergeCell ref="BV10:BZ10"/>
    <mergeCell ref="BV18:BY18"/>
    <mergeCell ref="BV19:BY19"/>
    <mergeCell ref="CL23:CO23"/>
    <mergeCell ref="CQ23:CT23"/>
    <mergeCell ref="CZ23:DC23"/>
    <mergeCell ref="CB24:CE24"/>
    <mergeCell ref="CG24:CJ24"/>
    <mergeCell ref="CL24:CO24"/>
    <mergeCell ref="CQ24:CT24"/>
    <mergeCell ref="CZ24:DC24"/>
    <mergeCell ref="CC25:CF25"/>
    <mergeCell ref="CG25:CJ25"/>
    <mergeCell ref="CL25:CO25"/>
    <mergeCell ref="CQ25:CT25"/>
    <mergeCell ref="CZ25:DC25"/>
    <mergeCell ref="CB18:CF18"/>
    <mergeCell ref="CB19:CF19"/>
    <mergeCell ref="CB15:CF17"/>
    <mergeCell ref="CG10:CK10"/>
    <mergeCell ref="CW19:CX19"/>
    <mergeCell ref="CG15:CJ15"/>
    <mergeCell ref="CH19:CI19"/>
    <mergeCell ref="CL15:CO15"/>
    <mergeCell ref="CQ15:CT15"/>
    <mergeCell ref="CV25:CY25"/>
    <mergeCell ref="CV26:CY26"/>
    <mergeCell ref="BL18:BO18"/>
    <mergeCell ref="BL19:BO19"/>
    <mergeCell ref="BB19:BF19"/>
    <mergeCell ref="BH19:BI19"/>
    <mergeCell ref="CG16:CJ16"/>
    <mergeCell ref="CL16:CO16"/>
    <mergeCell ref="CG13:CJ13"/>
    <mergeCell ref="CA20:CA24"/>
    <mergeCell ref="CC20:CE20"/>
    <mergeCell ref="CG20:CJ20"/>
    <mergeCell ref="CL20:CO20"/>
    <mergeCell ref="CQ20:CT20"/>
    <mergeCell ref="CZ20:DC20"/>
    <mergeCell ref="CC21:CE21"/>
    <mergeCell ref="CG21:CJ21"/>
    <mergeCell ref="CL21:CO21"/>
    <mergeCell ref="CQ21:CT21"/>
    <mergeCell ref="CZ21:DC21"/>
    <mergeCell ref="CC22:CE22"/>
    <mergeCell ref="CG22:CJ22"/>
    <mergeCell ref="CL22:CO22"/>
    <mergeCell ref="CQ22:CT22"/>
    <mergeCell ref="CZ22:DC22"/>
    <mergeCell ref="CB23:CF23"/>
    <mergeCell ref="CG23:CJ23"/>
    <mergeCell ref="CV24:CY24"/>
    <mergeCell ref="CV20:CY20"/>
    <mergeCell ref="CV21:CY21"/>
    <mergeCell ref="CV22:CY22"/>
    <mergeCell ref="CV23:CY23"/>
    <mergeCell ref="BR19:BS19"/>
    <mergeCell ref="BL14:BO14"/>
    <mergeCell ref="BA9:BD9"/>
    <mergeCell ref="AA9:AD9"/>
    <mergeCell ref="A9:D9"/>
    <mergeCell ref="A10:F10"/>
    <mergeCell ref="AA10:AF10"/>
    <mergeCell ref="AG10:AK10"/>
    <mergeCell ref="AL10:AP10"/>
    <mergeCell ref="AQ10:AU10"/>
    <mergeCell ref="AV10:AZ10"/>
    <mergeCell ref="BA10:BF10"/>
    <mergeCell ref="BG10:BK10"/>
    <mergeCell ref="BL10:BP10"/>
    <mergeCell ref="BQ10:BU10"/>
    <mergeCell ref="CZ12:DC12"/>
    <mergeCell ref="BA2:BZ2"/>
    <mergeCell ref="AA2:AZ2"/>
    <mergeCell ref="A2:Z2"/>
    <mergeCell ref="G10:K10"/>
    <mergeCell ref="L10:P10"/>
    <mergeCell ref="BL11:BO11"/>
    <mergeCell ref="BL12:BO12"/>
    <mergeCell ref="CG12:CJ12"/>
    <mergeCell ref="BQ11:BT11"/>
    <mergeCell ref="BQ12:BT12"/>
    <mergeCell ref="BA11:BA19"/>
    <mergeCell ref="BB11:BF12"/>
    <mergeCell ref="BG11:BJ11"/>
    <mergeCell ref="BB18:BF18"/>
    <mergeCell ref="BL16:BO16"/>
    <mergeCell ref="BL17:BO17"/>
    <mergeCell ref="BG12:BJ12"/>
    <mergeCell ref="BB13:BF14"/>
    <mergeCell ref="JO10:JS10"/>
    <mergeCell ref="IO10:IS10"/>
    <mergeCell ref="IT10:IX10"/>
    <mergeCell ref="QN10:QR10"/>
    <mergeCell ref="QS10:QW10"/>
    <mergeCell ref="QX10:RB10"/>
    <mergeCell ref="RC10:RG10"/>
    <mergeCell ref="UW10:VA10"/>
    <mergeCell ref="HY10:IC10"/>
    <mergeCell ref="GY10:HC10"/>
    <mergeCell ref="GO10:GS10"/>
    <mergeCell ref="NF10:NK10"/>
    <mergeCell ref="BL13:BO13"/>
    <mergeCell ref="BQ13:BT13"/>
    <mergeCell ref="FE11:FI12"/>
    <mergeCell ref="FJ11:FM11"/>
    <mergeCell ref="FO11:FR11"/>
    <mergeCell ref="FY11:GB11"/>
    <mergeCell ref="FJ12:FM12"/>
    <mergeCell ref="FO12:FR12"/>
    <mergeCell ref="FY12:GB12"/>
    <mergeCell ref="FE13:FI14"/>
    <mergeCell ref="FJ13:FM13"/>
    <mergeCell ref="FO13:FR13"/>
    <mergeCell ref="FY13:GB13"/>
    <mergeCell ref="CL10:CP10"/>
    <mergeCell ref="CV11:CY11"/>
    <mergeCell ref="CV12:CY12"/>
    <mergeCell ref="CV13:CY13"/>
    <mergeCell ref="FJ14:FM14"/>
    <mergeCell ref="FO14:FR14"/>
    <mergeCell ref="FY14:GB14"/>
    <mergeCell ref="BL15:BO15"/>
    <mergeCell ref="BQ14:BT14"/>
    <mergeCell ref="BQ15:BT15"/>
    <mergeCell ref="BQ16:BT16"/>
    <mergeCell ref="BG14:BJ14"/>
    <mergeCell ref="BG17:BJ17"/>
    <mergeCell ref="BG16:BJ16"/>
    <mergeCell ref="BB15:BF17"/>
    <mergeCell ref="BG15:BJ15"/>
    <mergeCell ref="AG12:AJ12"/>
    <mergeCell ref="AL12:AO12"/>
    <mergeCell ref="AQ12:AT12"/>
    <mergeCell ref="AQ13:AT13"/>
    <mergeCell ref="AB13:AF14"/>
    <mergeCell ref="Q10:U10"/>
    <mergeCell ref="V10:Z10"/>
    <mergeCell ref="BG13:BJ13"/>
    <mergeCell ref="BV11:BY11"/>
    <mergeCell ref="BV13:BY13"/>
    <mergeCell ref="BV12:BY12"/>
    <mergeCell ref="BV14:BY14"/>
    <mergeCell ref="BV15:BY15"/>
    <mergeCell ref="BV16:BY16"/>
    <mergeCell ref="AG16:AJ16"/>
    <mergeCell ref="BV17:BY17"/>
    <mergeCell ref="Q17:T17"/>
    <mergeCell ref="AV16:AY16"/>
    <mergeCell ref="AB18:AF18"/>
    <mergeCell ref="AB19:AF19"/>
    <mergeCell ref="V14:Y14"/>
    <mergeCell ref="L12:O12"/>
    <mergeCell ref="Q12:T12"/>
    <mergeCell ref="G16:J16"/>
    <mergeCell ref="AV17:AY17"/>
    <mergeCell ref="AV11:AY11"/>
    <mergeCell ref="AV15:AY15"/>
    <mergeCell ref="AV13:AY13"/>
    <mergeCell ref="V11:Y11"/>
    <mergeCell ref="AG13:AJ13"/>
    <mergeCell ref="AL13:AO13"/>
    <mergeCell ref="AG14:AJ14"/>
    <mergeCell ref="AL14:AO14"/>
    <mergeCell ref="AQ14:AT14"/>
    <mergeCell ref="BQ17:BT17"/>
    <mergeCell ref="V17:Y17"/>
    <mergeCell ref="V15:Y15"/>
    <mergeCell ref="L15:O15"/>
    <mergeCell ref="Q15:T15"/>
    <mergeCell ref="V12:Y12"/>
    <mergeCell ref="B13:F14"/>
    <mergeCell ref="G13:J13"/>
    <mergeCell ref="L13:O13"/>
    <mergeCell ref="Q13:T13"/>
    <mergeCell ref="G14:J14"/>
    <mergeCell ref="L14:O14"/>
    <mergeCell ref="Q14:T14"/>
    <mergeCell ref="AV14:AY14"/>
    <mergeCell ref="L17:O17"/>
    <mergeCell ref="AH19:AI19"/>
    <mergeCell ref="AM19:AN19"/>
    <mergeCell ref="AL17:AO17"/>
    <mergeCell ref="AQ17:AT17"/>
    <mergeCell ref="AL16:AO16"/>
    <mergeCell ref="AQ16:AT16"/>
    <mergeCell ref="G17:J17"/>
    <mergeCell ref="AL15:AO15"/>
    <mergeCell ref="AQ15:AT15"/>
    <mergeCell ref="V16:Y16"/>
    <mergeCell ref="B18:F18"/>
    <mergeCell ref="W19:X19"/>
    <mergeCell ref="V13:Y13"/>
    <mergeCell ref="AA11:AA19"/>
    <mergeCell ref="AB11:AF12"/>
    <mergeCell ref="AG11:AJ11"/>
    <mergeCell ref="AL11:AO11"/>
    <mergeCell ref="AQ11:AT11"/>
    <mergeCell ref="Q16:T16"/>
    <mergeCell ref="L16:O16"/>
    <mergeCell ref="AB15:AF17"/>
    <mergeCell ref="AG17:AJ17"/>
    <mergeCell ref="AG15:AJ15"/>
    <mergeCell ref="AG23:AJ23"/>
    <mergeCell ref="AQ20:AT20"/>
    <mergeCell ref="AV20:AY20"/>
    <mergeCell ref="BQ20:BT20"/>
    <mergeCell ref="BA20:BA24"/>
    <mergeCell ref="BC20:BE20"/>
    <mergeCell ref="BG20:BJ20"/>
    <mergeCell ref="BQ21:BT21"/>
    <mergeCell ref="BC21:BE21"/>
    <mergeCell ref="BG21:BJ21"/>
    <mergeCell ref="BC22:BE22"/>
    <mergeCell ref="BG22:BJ22"/>
    <mergeCell ref="BQ22:BT22"/>
    <mergeCell ref="BG23:BJ23"/>
    <mergeCell ref="BQ23:BT23"/>
    <mergeCell ref="BL20:BO20"/>
    <mergeCell ref="BL21:BO21"/>
    <mergeCell ref="BL22:BO22"/>
    <mergeCell ref="BL23:BO23"/>
    <mergeCell ref="BL24:BO24"/>
    <mergeCell ref="BB23:BF23"/>
    <mergeCell ref="BB24:BE24"/>
    <mergeCell ref="A20:A24"/>
    <mergeCell ref="C20:E20"/>
    <mergeCell ref="G20:J20"/>
    <mergeCell ref="L20:O20"/>
    <mergeCell ref="AQ21:AT21"/>
    <mergeCell ref="AV21:AY21"/>
    <mergeCell ref="C21:E21"/>
    <mergeCell ref="G21:J21"/>
    <mergeCell ref="AQ23:AT23"/>
    <mergeCell ref="AV23:AY23"/>
    <mergeCell ref="B23:F23"/>
    <mergeCell ref="G23:J23"/>
    <mergeCell ref="L23:O23"/>
    <mergeCell ref="AQ24:AT24"/>
    <mergeCell ref="AV24:AY24"/>
    <mergeCell ref="B24:E24"/>
    <mergeCell ref="G24:J24"/>
    <mergeCell ref="L24:O24"/>
    <mergeCell ref="AQ22:AT22"/>
    <mergeCell ref="AV22:AY22"/>
    <mergeCell ref="C22:E22"/>
    <mergeCell ref="G22:J22"/>
    <mergeCell ref="AB24:AE24"/>
    <mergeCell ref="AG24:AJ24"/>
    <mergeCell ref="AA20:AA24"/>
    <mergeCell ref="AC20:AE20"/>
    <mergeCell ref="AG20:AJ20"/>
    <mergeCell ref="AL20:AO20"/>
    <mergeCell ref="AG22:AJ22"/>
    <mergeCell ref="AL22:AO22"/>
    <mergeCell ref="AL23:AO23"/>
    <mergeCell ref="AL24:AO24"/>
    <mergeCell ref="VM22:VP22"/>
    <mergeCell ref="JO23:JR23"/>
    <mergeCell ref="JE24:JH24"/>
    <mergeCell ref="IJ24:IM24"/>
    <mergeCell ref="IT23:IW23"/>
    <mergeCell ref="IY24:JB24"/>
    <mergeCell ref="JY20:KB20"/>
    <mergeCell ref="IF20:IH20"/>
    <mergeCell ref="KO21:KR21"/>
    <mergeCell ref="KF22:KH22"/>
    <mergeCell ref="KJ22:KM22"/>
    <mergeCell ref="KO22:KR22"/>
    <mergeCell ref="KE24:KH24"/>
    <mergeCell ref="KJ24:KM24"/>
    <mergeCell ref="KO24:KR24"/>
    <mergeCell ref="VM20:VP20"/>
    <mergeCell ref="VM21:VP21"/>
    <mergeCell ref="VM24:VP24"/>
    <mergeCell ref="VM23:VP23"/>
    <mergeCell ref="MY24:NB24"/>
    <mergeCell ref="MJ24:MM24"/>
    <mergeCell ref="MO24:MR24"/>
    <mergeCell ref="MT24:MW24"/>
    <mergeCell ref="OS22:OV22"/>
    <mergeCell ref="OX22:PA22"/>
    <mergeCell ref="PC22:PF22"/>
    <mergeCell ref="NV22:NY22"/>
    <mergeCell ref="OA22:OD22"/>
    <mergeCell ref="NH21:NJ21"/>
    <mergeCell ref="NL21:NO21"/>
    <mergeCell ref="NQ21:NT21"/>
    <mergeCell ref="NV21:NY21"/>
    <mergeCell ref="C25:F25"/>
    <mergeCell ref="G25:J25"/>
    <mergeCell ref="L25:O25"/>
    <mergeCell ref="BG25:BJ25"/>
    <mergeCell ref="BQ25:BT25"/>
    <mergeCell ref="BV25:BY25"/>
    <mergeCell ref="AC25:AF25"/>
    <mergeCell ref="AG25:AJ25"/>
    <mergeCell ref="BG24:BJ24"/>
    <mergeCell ref="BQ24:BT24"/>
    <mergeCell ref="BV24:BY24"/>
    <mergeCell ref="HF21:HH21"/>
    <mergeCell ref="HJ21:HM21"/>
    <mergeCell ref="HF20:HH20"/>
    <mergeCell ref="HF22:HH22"/>
    <mergeCell ref="HE23:HI23"/>
    <mergeCell ref="IT22:IW22"/>
    <mergeCell ref="GT24:GW24"/>
    <mergeCell ref="GY24:HB24"/>
    <mergeCell ref="HD20:HD24"/>
    <mergeCell ref="ID20:ID24"/>
    <mergeCell ref="L22:O22"/>
    <mergeCell ref="Q22:T22"/>
    <mergeCell ref="BV20:BY20"/>
    <mergeCell ref="BV21:BY21"/>
    <mergeCell ref="AC21:AE21"/>
    <mergeCell ref="AG21:AJ21"/>
    <mergeCell ref="AL21:AO21"/>
    <mergeCell ref="BV22:BY22"/>
    <mergeCell ref="AC22:AE22"/>
    <mergeCell ref="BV23:BY23"/>
    <mergeCell ref="AB23:AF23"/>
    <mergeCell ref="BL25:BO25"/>
    <mergeCell ref="VM25:VP25"/>
    <mergeCell ref="MF25:MI25"/>
    <mergeCell ref="MJ25:MM25"/>
    <mergeCell ref="MO25:MR25"/>
    <mergeCell ref="MT25:MW25"/>
    <mergeCell ref="MY25:NB25"/>
    <mergeCell ref="OA26:OD26"/>
    <mergeCell ref="QC26:QF26"/>
    <mergeCell ref="PS25:PV25"/>
    <mergeCell ref="RI26:RL26"/>
    <mergeCell ref="RN26:RQ26"/>
    <mergeCell ref="RS26:RV26"/>
    <mergeCell ref="Q25:T25"/>
    <mergeCell ref="AL25:AO25"/>
    <mergeCell ref="AQ25:AT25"/>
    <mergeCell ref="AV25:AY25"/>
    <mergeCell ref="RJ25:RM25"/>
    <mergeCell ref="RN25:RQ25"/>
    <mergeCell ref="RS25:RV25"/>
    <mergeCell ref="SC25:SF25"/>
    <mergeCell ref="UN25:UQ25"/>
    <mergeCell ref="BL26:BO26"/>
    <mergeCell ref="IE26:IH26"/>
    <mergeCell ref="IJ26:IM26"/>
    <mergeCell ref="IY26:JB26"/>
    <mergeCell ref="KF25:KI25"/>
    <mergeCell ref="KY26:LB26"/>
    <mergeCell ref="KJ25:KM25"/>
    <mergeCell ref="KO25:KR25"/>
    <mergeCell ref="KE26:KH26"/>
    <mergeCell ref="KJ26:KM26"/>
    <mergeCell ref="GF25:GI25"/>
    <mergeCell ref="GJ25:GM25"/>
    <mergeCell ref="GO25:GR25"/>
    <mergeCell ref="GT25:GW25"/>
    <mergeCell ref="GY25:HB25"/>
    <mergeCell ref="JF25:JI25"/>
    <mergeCell ref="JJ25:JM25"/>
    <mergeCell ref="JO25:JR25"/>
    <mergeCell ref="VM26:VP26"/>
    <mergeCell ref="DE26:DH26"/>
    <mergeCell ref="DJ26:DM26"/>
    <mergeCell ref="DO26:DR26"/>
    <mergeCell ref="DT26:DW26"/>
    <mergeCell ref="DY26:EB26"/>
    <mergeCell ref="IF25:II25"/>
    <mergeCell ref="IJ25:IM25"/>
    <mergeCell ref="IY25:JB25"/>
    <mergeCell ref="KO26:KR26"/>
    <mergeCell ref="KT26:KW26"/>
    <mergeCell ref="QI26:QL26"/>
    <mergeCell ref="QN26:QQ26"/>
    <mergeCell ref="EF25:EI25"/>
    <mergeCell ref="EJ25:EM25"/>
    <mergeCell ref="EO25:ER25"/>
    <mergeCell ref="EY25:FB25"/>
    <mergeCell ref="ME26:MH26"/>
    <mergeCell ref="MJ26:MM26"/>
    <mergeCell ref="MO26:MR26"/>
    <mergeCell ref="MT26:MW26"/>
    <mergeCell ref="MY26:NB26"/>
    <mergeCell ref="SC26:SF26"/>
    <mergeCell ref="SN25:SQ25"/>
    <mergeCell ref="V25:Y25"/>
    <mergeCell ref="V23:Y23"/>
    <mergeCell ref="Q23:T23"/>
    <mergeCell ref="V24:Y24"/>
    <mergeCell ref="Q24:T24"/>
    <mergeCell ref="AR19:AS19"/>
    <mergeCell ref="AW19:AX19"/>
    <mergeCell ref="BB26:BE26"/>
    <mergeCell ref="BG26:BJ26"/>
    <mergeCell ref="BQ26:BT26"/>
    <mergeCell ref="BV26:BY26"/>
    <mergeCell ref="AB26:AE26"/>
    <mergeCell ref="B19:F19"/>
    <mergeCell ref="H19:I19"/>
    <mergeCell ref="M19:N19"/>
    <mergeCell ref="R19:S19"/>
    <mergeCell ref="L21:O21"/>
    <mergeCell ref="Q21:T21"/>
    <mergeCell ref="V21:Y21"/>
    <mergeCell ref="B26:E26"/>
    <mergeCell ref="G26:J26"/>
    <mergeCell ref="L26:O26"/>
    <mergeCell ref="Q26:T26"/>
    <mergeCell ref="V26:Y26"/>
    <mergeCell ref="Q20:T20"/>
    <mergeCell ref="V20:Y20"/>
    <mergeCell ref="V22:Y22"/>
    <mergeCell ref="AG26:AJ26"/>
    <mergeCell ref="AL26:AO26"/>
    <mergeCell ref="AQ26:AT26"/>
    <mergeCell ref="AV26:AY26"/>
    <mergeCell ref="BC25:BF25"/>
    <mergeCell ref="CV14:CY14"/>
    <mergeCell ref="CV15:CY15"/>
    <mergeCell ref="CV16:CY16"/>
    <mergeCell ref="CV17:CY17"/>
    <mergeCell ref="CM19:CN19"/>
    <mergeCell ref="CR19:CS19"/>
    <mergeCell ref="CQ10:CU10"/>
    <mergeCell ref="HJ17:HM17"/>
    <mergeCell ref="HO17:HR17"/>
    <mergeCell ref="GE26:GH26"/>
    <mergeCell ref="GJ26:GM26"/>
    <mergeCell ref="GO26:GR26"/>
    <mergeCell ref="GT26:GW26"/>
    <mergeCell ref="GY26:HB26"/>
    <mergeCell ref="FY10:GC10"/>
    <mergeCell ref="FJ10:FN10"/>
    <mergeCell ref="FO10:FS10"/>
    <mergeCell ref="GO23:GR23"/>
    <mergeCell ref="GT23:GW23"/>
    <mergeCell ref="GY23:HB23"/>
    <mergeCell ref="GE24:GH24"/>
    <mergeCell ref="GJ24:GM24"/>
    <mergeCell ref="GO24:GR24"/>
    <mergeCell ref="DO20:DR20"/>
    <mergeCell ref="DT20:DW20"/>
    <mergeCell ref="DY20:EB20"/>
    <mergeCell ref="GK19:GL19"/>
    <mergeCell ref="GP19:GQ19"/>
    <mergeCell ref="HO21:HR21"/>
    <mergeCell ref="HE26:HH26"/>
    <mergeCell ref="HJ26:HM26"/>
    <mergeCell ref="HO26:HR26"/>
    <mergeCell ref="A11:A19"/>
    <mergeCell ref="B11:F12"/>
    <mergeCell ref="G11:J11"/>
    <mergeCell ref="L11:O11"/>
    <mergeCell ref="Q11:T11"/>
    <mergeCell ref="AV12:AY12"/>
    <mergeCell ref="G12:J12"/>
    <mergeCell ref="CA2:DC2"/>
    <mergeCell ref="CA9:CD9"/>
    <mergeCell ref="CA10:CF10"/>
    <mergeCell ref="CA11:CA19"/>
    <mergeCell ref="CB11:CF12"/>
    <mergeCell ref="CG11:CJ11"/>
    <mergeCell ref="CL11:CO11"/>
    <mergeCell ref="CQ11:CT11"/>
    <mergeCell ref="CZ11:DC11"/>
    <mergeCell ref="CQ16:CT16"/>
    <mergeCell ref="CG17:CJ17"/>
    <mergeCell ref="CL17:CO17"/>
    <mergeCell ref="CQ17:CT17"/>
    <mergeCell ref="CL12:CO12"/>
    <mergeCell ref="CQ12:CT12"/>
    <mergeCell ref="CV10:DC10"/>
    <mergeCell ref="CZ13:DC19"/>
    <mergeCell ref="CB13:CF14"/>
    <mergeCell ref="CL13:CO13"/>
    <mergeCell ref="CQ13:CT13"/>
    <mergeCell ref="CG14:CJ14"/>
    <mergeCell ref="CL14:CO14"/>
    <mergeCell ref="CQ14:CT14"/>
    <mergeCell ref="B15:F17"/>
    <mergeCell ref="G15:J15"/>
    <mergeCell ref="DD2:EC2"/>
    <mergeCell ref="DJ10:DN10"/>
    <mergeCell ref="DD9:DG9"/>
    <mergeCell ref="DD10:DI10"/>
    <mergeCell ref="DD11:DD19"/>
    <mergeCell ref="DE11:DI12"/>
    <mergeCell ref="DJ11:DM11"/>
    <mergeCell ref="DO11:DR11"/>
    <mergeCell ref="DT11:DW11"/>
    <mergeCell ref="DY11:EB11"/>
    <mergeCell ref="DJ12:DM12"/>
    <mergeCell ref="DO12:DR12"/>
    <mergeCell ref="DT12:DW12"/>
    <mergeCell ref="DY12:EB12"/>
    <mergeCell ref="DE13:DI14"/>
    <mergeCell ref="DJ13:DM13"/>
    <mergeCell ref="DO13:DR13"/>
    <mergeCell ref="DT13:DW13"/>
    <mergeCell ref="DY13:EB13"/>
    <mergeCell ref="DJ14:DM14"/>
    <mergeCell ref="DO14:DR14"/>
    <mergeCell ref="DT14:DW14"/>
    <mergeCell ref="DY14:EB14"/>
    <mergeCell ref="DT15:DW15"/>
    <mergeCell ref="DY15:EB15"/>
    <mergeCell ref="DO16:DR16"/>
    <mergeCell ref="DT16:DW16"/>
    <mergeCell ref="DY16:EB16"/>
    <mergeCell ref="DO10:DS10"/>
    <mergeCell ref="DT10:DX10"/>
    <mergeCell ref="DY10:EC10"/>
    <mergeCell ref="EC13:EC19"/>
    <mergeCell ref="GD2:HC2"/>
    <mergeCell ref="GD9:GG9"/>
    <mergeCell ref="GD10:GI10"/>
    <mergeCell ref="GT10:GX10"/>
    <mergeCell ref="GD11:GD19"/>
    <mergeCell ref="GE11:GI12"/>
    <mergeCell ref="GJ11:GM11"/>
    <mergeCell ref="GO11:GR11"/>
    <mergeCell ref="GT11:GW11"/>
    <mergeCell ref="GY11:HB11"/>
    <mergeCell ref="GJ12:GM12"/>
    <mergeCell ref="GO12:GR12"/>
    <mergeCell ref="GT12:GW12"/>
    <mergeCell ref="GY12:HB12"/>
    <mergeCell ref="GE13:GI14"/>
    <mergeCell ref="GJ13:GM13"/>
    <mergeCell ref="GO13:GR13"/>
    <mergeCell ref="GT13:GW13"/>
    <mergeCell ref="GY13:HB13"/>
    <mergeCell ref="GJ14:GM14"/>
    <mergeCell ref="GO14:GR14"/>
    <mergeCell ref="GT14:GW14"/>
    <mergeCell ref="GY14:HB14"/>
    <mergeCell ref="GE15:GI17"/>
    <mergeCell ref="GJ15:GM15"/>
    <mergeCell ref="GO15:GR15"/>
    <mergeCell ref="GT15:GW15"/>
    <mergeCell ref="GY15:HB15"/>
    <mergeCell ref="GJ16:GM16"/>
    <mergeCell ref="GO16:GR16"/>
    <mergeCell ref="GJ10:GN10"/>
    <mergeCell ref="GJ17:GM17"/>
    <mergeCell ref="HD2:IC2"/>
    <mergeCell ref="HD9:HG9"/>
    <mergeCell ref="HD10:HI10"/>
    <mergeCell ref="HD11:HD19"/>
    <mergeCell ref="HE11:HI12"/>
    <mergeCell ref="HJ11:HM11"/>
    <mergeCell ref="HO11:HR11"/>
    <mergeCell ref="HT11:HW11"/>
    <mergeCell ref="HJ12:HM12"/>
    <mergeCell ref="HO12:HR12"/>
    <mergeCell ref="HT12:HW12"/>
    <mergeCell ref="HE13:HI14"/>
    <mergeCell ref="HJ13:HM13"/>
    <mergeCell ref="HO13:HR13"/>
    <mergeCell ref="HT13:HW13"/>
    <mergeCell ref="HJ14:HM14"/>
    <mergeCell ref="HO14:HR14"/>
    <mergeCell ref="HT14:HW14"/>
    <mergeCell ref="HE15:HI17"/>
    <mergeCell ref="HJ15:HM15"/>
    <mergeCell ref="HO15:HR15"/>
    <mergeCell ref="HT15:HW15"/>
    <mergeCell ref="HJ16:HM16"/>
    <mergeCell ref="HO16:HR16"/>
    <mergeCell ref="HT16:HW16"/>
    <mergeCell ref="HJ10:HN10"/>
    <mergeCell ref="HO10:HS10"/>
    <mergeCell ref="HY11:IB11"/>
    <mergeCell ref="HT26:HW26"/>
    <mergeCell ref="HY25:IB25"/>
    <mergeCell ref="HY26:IB26"/>
    <mergeCell ref="HE18:HI18"/>
    <mergeCell ref="HE19:HI19"/>
    <mergeCell ref="HK19:HL19"/>
    <mergeCell ref="HP19:HQ19"/>
    <mergeCell ref="HU19:HV19"/>
    <mergeCell ref="HY13:IB13"/>
    <mergeCell ref="HY14:IB14"/>
    <mergeCell ref="HY15:IB15"/>
    <mergeCell ref="HY16:IB16"/>
    <mergeCell ref="HY17:IB17"/>
    <mergeCell ref="HZ19:IA19"/>
    <mergeCell ref="HY20:IB20"/>
    <mergeCell ref="HY21:IB21"/>
    <mergeCell ref="HY22:IB22"/>
    <mergeCell ref="HY23:IB23"/>
    <mergeCell ref="HY24:IB24"/>
    <mergeCell ref="HN13:HN19"/>
    <mergeCell ref="HF25:HI25"/>
    <mergeCell ref="HJ24:HM24"/>
    <mergeCell ref="HO24:HR24"/>
    <mergeCell ref="HT24:HW24"/>
    <mergeCell ref="HT20:HW20"/>
    <mergeCell ref="HE24:HH24"/>
    <mergeCell ref="HT21:HW21"/>
    <mergeCell ref="IY10:JC10"/>
    <mergeCell ref="HJ25:HM25"/>
    <mergeCell ref="HO25:HR25"/>
    <mergeCell ref="HT25:HW25"/>
    <mergeCell ref="IY20:JB20"/>
    <mergeCell ref="IF21:IH21"/>
    <mergeCell ref="IJ21:IM21"/>
    <mergeCell ref="IY21:JB21"/>
    <mergeCell ref="IF22:IH22"/>
    <mergeCell ref="IJ22:IM22"/>
    <mergeCell ref="IY22:JB22"/>
    <mergeCell ref="IE23:II23"/>
    <mergeCell ref="IJ23:IM23"/>
    <mergeCell ref="ID11:ID19"/>
    <mergeCell ref="IE11:II12"/>
    <mergeCell ref="IJ11:IM11"/>
    <mergeCell ref="IY11:JB11"/>
    <mergeCell ref="HJ20:HM20"/>
    <mergeCell ref="HO20:HR20"/>
    <mergeCell ref="HJ22:HM22"/>
    <mergeCell ref="HO22:HR22"/>
    <mergeCell ref="HT22:HW22"/>
    <mergeCell ref="IJ20:IM20"/>
    <mergeCell ref="IY16:JB16"/>
    <mergeCell ref="IZ19:JA19"/>
    <mergeCell ref="IE19:II19"/>
    <mergeCell ref="IO11:IR11"/>
    <mergeCell ref="IO12:IR12"/>
    <mergeCell ref="IT20:IW20"/>
    <mergeCell ref="IT21:IW21"/>
    <mergeCell ref="HT17:HW17"/>
    <mergeCell ref="HT10:HX10"/>
    <mergeCell ref="JY14:KB14"/>
    <mergeCell ref="JY15:KB15"/>
    <mergeCell ref="JX13:JX19"/>
    <mergeCell ref="JT10:JX10"/>
    <mergeCell ref="ID2:JC2"/>
    <mergeCell ref="IT11:IW11"/>
    <mergeCell ref="IT12:IW12"/>
    <mergeCell ref="IT13:IW13"/>
    <mergeCell ref="IT14:IW14"/>
    <mergeCell ref="IT15:IW15"/>
    <mergeCell ref="IT16:IW16"/>
    <mergeCell ref="IT17:IW17"/>
    <mergeCell ref="IU19:IV19"/>
    <mergeCell ref="ID9:IG9"/>
    <mergeCell ref="ID10:II10"/>
    <mergeCell ref="IJ12:IM12"/>
    <mergeCell ref="IY12:JB12"/>
    <mergeCell ref="IE13:II14"/>
    <mergeCell ref="IJ13:IM13"/>
    <mergeCell ref="IY13:JB13"/>
    <mergeCell ref="IJ14:IM14"/>
    <mergeCell ref="IY14:JB14"/>
    <mergeCell ref="IE15:II17"/>
    <mergeCell ref="IJ15:IM15"/>
    <mergeCell ref="IY15:JB15"/>
    <mergeCell ref="IJ16:IM16"/>
    <mergeCell ref="IJ10:IN10"/>
    <mergeCell ref="JD2:KC2"/>
    <mergeCell ref="JD9:JG9"/>
    <mergeCell ref="JD10:JI10"/>
    <mergeCell ref="JD11:JD19"/>
    <mergeCell ref="JT12:JW12"/>
    <mergeCell ref="JT13:JW13"/>
    <mergeCell ref="JJ14:JM14"/>
    <mergeCell ref="JO14:JR14"/>
    <mergeCell ref="JT14:JW14"/>
    <mergeCell ref="JT25:JW25"/>
    <mergeCell ref="JE26:JH26"/>
    <mergeCell ref="JJ26:JM26"/>
    <mergeCell ref="JO26:JR26"/>
    <mergeCell ref="JT26:JW26"/>
    <mergeCell ref="JO16:JR16"/>
    <mergeCell ref="JT16:JW16"/>
    <mergeCell ref="JJ17:JM17"/>
    <mergeCell ref="JO17:JR17"/>
    <mergeCell ref="JT17:JW17"/>
    <mergeCell ref="JE18:JI18"/>
    <mergeCell ref="JE19:JI19"/>
    <mergeCell ref="JK19:JL19"/>
    <mergeCell ref="JP19:JQ19"/>
    <mergeCell ref="JU19:JV19"/>
    <mergeCell ref="JT22:JW22"/>
    <mergeCell ref="JE23:JI23"/>
    <mergeCell ref="JJ23:JM23"/>
    <mergeCell ref="IE24:IH24"/>
    <mergeCell ref="JY25:KB25"/>
    <mergeCell ref="JY26:KB26"/>
    <mergeCell ref="JY16:KB16"/>
    <mergeCell ref="JY17:KB17"/>
    <mergeCell ref="JZ19:KA19"/>
    <mergeCell ref="JF20:JH20"/>
    <mergeCell ref="JJ20:JM20"/>
    <mergeCell ref="JJ24:JM24"/>
    <mergeCell ref="JO24:JR24"/>
    <mergeCell ref="IT24:IW24"/>
    <mergeCell ref="IT25:IW25"/>
    <mergeCell ref="IT26:IW26"/>
    <mergeCell ref="IO14:IR14"/>
    <mergeCell ref="IO15:IR15"/>
    <mergeCell ref="IO16:IR16"/>
    <mergeCell ref="IO17:IR17"/>
    <mergeCell ref="IP19:IQ19"/>
    <mergeCell ref="IO20:IR20"/>
    <mergeCell ref="IO21:IR21"/>
    <mergeCell ref="IO22:IR22"/>
    <mergeCell ref="IO23:IR23"/>
    <mergeCell ref="IO24:IR24"/>
    <mergeCell ref="IO25:IR25"/>
    <mergeCell ref="IO26:IR26"/>
    <mergeCell ref="IK19:IL19"/>
    <mergeCell ref="IE18:II18"/>
    <mergeCell ref="IY17:JB17"/>
    <mergeCell ref="IY23:JB23"/>
    <mergeCell ref="JE13:JI14"/>
    <mergeCell ref="JJ13:JM13"/>
    <mergeCell ref="JO13:JR13"/>
    <mergeCell ref="JY11:KB11"/>
    <mergeCell ref="JY12:KB12"/>
    <mergeCell ref="JY21:KB21"/>
    <mergeCell ref="JY22:KB22"/>
    <mergeCell ref="JY23:KB23"/>
    <mergeCell ref="JY24:KB24"/>
    <mergeCell ref="IJ17:IM17"/>
    <mergeCell ref="JD20:JD24"/>
    <mergeCell ref="JO20:JR20"/>
    <mergeCell ref="JT20:JW20"/>
    <mergeCell ref="JF21:JH21"/>
    <mergeCell ref="JJ21:JM21"/>
    <mergeCell ref="JO21:JR21"/>
    <mergeCell ref="JT21:JW21"/>
    <mergeCell ref="JF22:JH22"/>
    <mergeCell ref="JJ22:JM22"/>
    <mergeCell ref="JO22:JR22"/>
    <mergeCell ref="JT24:JW24"/>
    <mergeCell ref="JT23:JW23"/>
    <mergeCell ref="JE15:JI17"/>
    <mergeCell ref="JJ15:JM15"/>
    <mergeCell ref="JO15:JR15"/>
    <mergeCell ref="JT15:JW15"/>
    <mergeCell ref="JJ16:JM16"/>
    <mergeCell ref="JS13:JS19"/>
    <mergeCell ref="IO13:IR13"/>
    <mergeCell ref="JE11:JI12"/>
    <mergeCell ref="JJ11:JM11"/>
    <mergeCell ref="JO11:JR11"/>
    <mergeCell ref="JT11:JW11"/>
    <mergeCell ref="JJ12:JM12"/>
    <mergeCell ref="JO12:JR12"/>
    <mergeCell ref="KD20:KD24"/>
    <mergeCell ref="KF20:KH20"/>
    <mergeCell ref="KF21:KH21"/>
    <mergeCell ref="KZ19:LA19"/>
    <mergeCell ref="SN24:SQ24"/>
    <mergeCell ref="SS24:SV24"/>
    <mergeCell ref="SJ25:SM25"/>
    <mergeCell ref="NQ12:NT12"/>
    <mergeCell ref="KN13:KN19"/>
    <mergeCell ref="VM13:VP13"/>
    <mergeCell ref="VM14:VP14"/>
    <mergeCell ref="KT25:KW25"/>
    <mergeCell ref="KY25:LB25"/>
    <mergeCell ref="KY23:LB23"/>
    <mergeCell ref="KT21:KW21"/>
    <mergeCell ref="KY21:LB21"/>
    <mergeCell ref="KT24:KW24"/>
    <mergeCell ref="KY24:LB24"/>
    <mergeCell ref="KT23:KW23"/>
    <mergeCell ref="VM16:VP16"/>
    <mergeCell ref="KO16:KR16"/>
    <mergeCell ref="VM17:VP17"/>
    <mergeCell ref="VN19:VO19"/>
    <mergeCell ref="QN14:QQ14"/>
    <mergeCell ref="QS14:QV14"/>
    <mergeCell ref="QX14:RA14"/>
    <mergeCell ref="RC14:RF14"/>
    <mergeCell ref="QI15:QM17"/>
    <mergeCell ref="QN15:QQ15"/>
    <mergeCell ref="QS15:QV15"/>
    <mergeCell ref="QX15:RA15"/>
    <mergeCell ref="QR13:QR19"/>
    <mergeCell ref="VM11:VP11"/>
    <mergeCell ref="VM12:VP12"/>
    <mergeCell ref="KO20:KR20"/>
    <mergeCell ref="KT20:KW20"/>
    <mergeCell ref="MO10:MS10"/>
    <mergeCell ref="MJ10:MN10"/>
    <mergeCell ref="OX10:PB10"/>
    <mergeCell ref="VM10:VP10"/>
    <mergeCell ref="VM15:VP15"/>
    <mergeCell ref="MY11:NB11"/>
    <mergeCell ref="MJ12:MM12"/>
    <mergeCell ref="NL11:NO11"/>
    <mergeCell ref="NQ11:NT11"/>
    <mergeCell ref="NV11:NY11"/>
    <mergeCell ref="OA11:OD11"/>
    <mergeCell ref="NL12:NO12"/>
    <mergeCell ref="ON15:OQ15"/>
    <mergeCell ref="OR13:OR19"/>
    <mergeCell ref="OS13:OV13"/>
    <mergeCell ref="OS14:OV14"/>
    <mergeCell ref="OS15:OV15"/>
    <mergeCell ref="ON16:OQ16"/>
    <mergeCell ref="ON17:OQ17"/>
    <mergeCell ref="OI18:OM18"/>
    <mergeCell ref="OI19:OM19"/>
    <mergeCell ref="OO19:OP19"/>
    <mergeCell ref="OS16:OV16"/>
    <mergeCell ref="OS17:OV17"/>
    <mergeCell ref="OT19:OU19"/>
    <mergeCell ref="OX13:PA13"/>
    <mergeCell ref="RC13:RF13"/>
    <mergeCell ref="RG13:RG19"/>
    <mergeCell ref="NF2:OG2"/>
    <mergeCell ref="MD2:NE2"/>
    <mergeCell ref="MY10:NE10"/>
    <mergeCell ref="NE13:NE19"/>
    <mergeCell ref="MN13:MN19"/>
    <mergeCell ref="MS13:MS19"/>
    <mergeCell ref="NQ15:NT15"/>
    <mergeCell ref="NQ16:NT16"/>
    <mergeCell ref="MJ11:MM11"/>
    <mergeCell ref="MO11:MR11"/>
    <mergeCell ref="MT11:MW11"/>
    <mergeCell ref="NV10:NZ10"/>
    <mergeCell ref="NQ10:NU10"/>
    <mergeCell ref="NL10:NP10"/>
    <mergeCell ref="NP13:NP19"/>
    <mergeCell ref="NG18:NK18"/>
    <mergeCell ref="NG19:NK19"/>
    <mergeCell ref="MT10:MX10"/>
    <mergeCell ref="NF9:NI9"/>
    <mergeCell ref="NF11:NF19"/>
    <mergeCell ref="NG11:NK12"/>
    <mergeCell ref="NG13:NK14"/>
    <mergeCell ref="MJ16:MM16"/>
    <mergeCell ref="MO16:MR16"/>
    <mergeCell ref="MT16:MW16"/>
    <mergeCell ref="MY16:NB16"/>
    <mergeCell ref="MJ17:MM17"/>
    <mergeCell ref="MO17:MR17"/>
    <mergeCell ref="MT17:MW17"/>
    <mergeCell ref="MY17:NB17"/>
    <mergeCell ref="ME18:MI18"/>
    <mergeCell ref="ME19:MI19"/>
    <mergeCell ref="OH2:PG2"/>
    <mergeCell ref="OH9:OK9"/>
    <mergeCell ref="OH10:OM10"/>
    <mergeCell ref="OH11:OH19"/>
    <mergeCell ref="OI11:OM12"/>
    <mergeCell ref="ON11:OQ11"/>
    <mergeCell ref="OS11:OV11"/>
    <mergeCell ref="OX11:PA11"/>
    <mergeCell ref="PC11:PF11"/>
    <mergeCell ref="ON12:OQ12"/>
    <mergeCell ref="OS12:OV12"/>
    <mergeCell ref="OX12:PA12"/>
    <mergeCell ref="PC12:PF12"/>
    <mergeCell ref="OI13:OM14"/>
    <mergeCell ref="ON13:OQ13"/>
    <mergeCell ref="ON14:OQ14"/>
    <mergeCell ref="OI15:OM17"/>
    <mergeCell ref="PC10:PG10"/>
    <mergeCell ref="PC15:PF15"/>
    <mergeCell ref="PC16:PF16"/>
    <mergeCell ref="PC17:PF17"/>
    <mergeCell ref="QS26:QV26"/>
    <mergeCell ref="QX26:RA26"/>
    <mergeCell ref="RC26:RF26"/>
    <mergeCell ref="RC15:RF15"/>
    <mergeCell ref="QN16:QQ16"/>
    <mergeCell ref="QS16:QV16"/>
    <mergeCell ref="QX16:RA16"/>
    <mergeCell ref="RC16:RF16"/>
    <mergeCell ref="QN17:QQ17"/>
    <mergeCell ref="QS17:QV17"/>
    <mergeCell ref="QX17:RA17"/>
    <mergeCell ref="RC17:RF17"/>
    <mergeCell ref="QI18:QM18"/>
    <mergeCell ref="QI19:QM19"/>
    <mergeCell ref="QW13:QW19"/>
    <mergeCell ref="QX21:RA21"/>
    <mergeCell ref="RC21:RF21"/>
    <mergeCell ref="QJ22:QL22"/>
    <mergeCell ref="QN22:QQ22"/>
    <mergeCell ref="QS22:QV22"/>
    <mergeCell ref="QX22:RA22"/>
    <mergeCell ref="RC22:RF22"/>
    <mergeCell ref="QI23:QM23"/>
    <mergeCell ref="QN23:QQ23"/>
    <mergeCell ref="QJ20:QL20"/>
    <mergeCell ref="QI13:QM14"/>
    <mergeCell ref="QN13:QQ13"/>
    <mergeCell ref="QS13:QV13"/>
    <mergeCell ref="QX13:RA13"/>
    <mergeCell ref="TH2:UK2"/>
    <mergeCell ref="TN10:TV10"/>
    <mergeCell ref="TS18:TV18"/>
    <mergeCell ref="TS19:TV19"/>
    <mergeCell ref="QX23:RA23"/>
    <mergeCell ref="RC23:RF23"/>
    <mergeCell ref="QI24:QL24"/>
    <mergeCell ref="QN24:QQ24"/>
    <mergeCell ref="QS24:QV24"/>
    <mergeCell ref="QX24:RA24"/>
    <mergeCell ref="RC24:RF24"/>
    <mergeCell ref="RH20:RH24"/>
    <mergeCell ref="RJ20:RL20"/>
    <mergeCell ref="RN20:RQ20"/>
    <mergeCell ref="QJ25:QM25"/>
    <mergeCell ref="QN25:QQ25"/>
    <mergeCell ref="QS25:QV25"/>
    <mergeCell ref="QX25:RA25"/>
    <mergeCell ref="RC25:RF25"/>
    <mergeCell ref="QH2:RG2"/>
    <mergeCell ref="QH9:QK9"/>
    <mergeCell ref="QH10:QM10"/>
    <mergeCell ref="QH11:QH19"/>
    <mergeCell ref="QI11:QM12"/>
    <mergeCell ref="QN11:QQ11"/>
    <mergeCell ref="QS11:QV11"/>
    <mergeCell ref="QX11:RA11"/>
    <mergeCell ref="RC11:RF11"/>
    <mergeCell ref="QN12:QQ12"/>
    <mergeCell ref="QS12:QV12"/>
    <mergeCell ref="QX12:RA12"/>
    <mergeCell ref="TC24:TF24"/>
  </mergeCells>
  <phoneticPr fontId="28"/>
  <printOptions horizontalCentered="1"/>
  <pageMargins left="0.23622047244094488" right="0.23622047244094488" top="0.74803149606299213" bottom="0.74803149606299213" header="0.31496062992125984" footer="0.31496062992125984"/>
  <pageSetup paperSize="9" scale="38" orientation="landscape" r:id="rId1"/>
  <headerFooter alignWithMargins="0"/>
  <colBreaks count="37" manualBreakCount="37">
    <brk id="26" max="34" man="1"/>
    <brk id="52" max="34" man="1"/>
    <brk id="78" max="34" man="1"/>
    <brk id="107" max="34" man="1"/>
    <brk id="133" max="34" man="1"/>
    <brk id="159" max="34" man="1"/>
    <brk id="185" max="34" man="1"/>
    <brk id="211" max="34" man="1"/>
    <brk id="237" max="34" man="1"/>
    <brk id="263" max="34" man="1"/>
    <brk id="289" max="34" man="1"/>
    <brk id="315" max="34" man="1"/>
    <brk id="341" max="34" man="1"/>
    <brk id="369" max="34" man="1"/>
    <brk id="397" max="34" man="1"/>
    <brk id="423" max="34" man="1"/>
    <brk id="449" max="34" man="1"/>
    <brk id="475" max="34" man="1"/>
    <brk id="501" max="34" man="1"/>
    <brk id="527" max="34" man="1"/>
    <brk id="557" max="34" man="1"/>
    <brk id="475" max="34" man="1"/>
    <brk id="449" max="34" man="1"/>
    <brk id="423" max="34" man="1"/>
    <brk id="397" max="34" man="1"/>
    <brk id="369" max="34" man="1"/>
    <brk id="341" max="34" man="1"/>
    <brk id="289" max="34" man="1"/>
    <brk id="263" max="34" man="1"/>
    <brk id="589" max="34" man="1"/>
    <brk id="211" max="34" man="1"/>
    <brk id="185" max="34" man="1"/>
    <brk id="159" max="34" man="1"/>
    <brk id="133" max="34" man="1"/>
    <brk id="107" max="34" man="1"/>
    <brk id="78" max="34" man="1"/>
    <brk id="52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V49"/>
  <sheetViews>
    <sheetView view="pageBreakPreview" topLeftCell="B1" zoomScale="55" zoomScaleNormal="40" zoomScaleSheetLayoutView="55" workbookViewId="0">
      <selection activeCell="H26" sqref="H26"/>
    </sheetView>
  </sheetViews>
  <sheetFormatPr defaultColWidth="8" defaultRowHeight="21" x14ac:dyDescent="0.4"/>
  <cols>
    <col min="1" max="1" width="4.125" style="2" hidden="1" customWidth="1"/>
    <col min="2" max="2" width="6.625" style="2" bestFit="1" customWidth="1"/>
    <col min="3" max="3" width="3.625" style="1" customWidth="1"/>
    <col min="4" max="6" width="14.625" style="2" customWidth="1"/>
    <col min="7" max="7" width="7" style="2" bestFit="1" customWidth="1"/>
    <col min="8" max="15" width="29.625" style="3" customWidth="1"/>
    <col min="16" max="16" width="6.625" style="2" bestFit="1" customWidth="1"/>
    <col min="17" max="17" width="3.625" style="1" customWidth="1"/>
    <col min="18" max="20" width="14.625" style="2" customWidth="1"/>
    <col min="21" max="21" width="7" style="2" bestFit="1" customWidth="1"/>
    <col min="22" max="29" width="29.625" style="3" customWidth="1"/>
    <col min="30" max="30" width="6.625" style="2" bestFit="1" customWidth="1"/>
    <col min="31" max="31" width="3.625" style="1" customWidth="1"/>
    <col min="32" max="34" width="14.625" style="2" customWidth="1"/>
    <col min="35" max="35" width="7" style="2" bestFit="1" customWidth="1"/>
    <col min="36" max="43" width="29.625" style="3" customWidth="1"/>
    <col min="44" max="44" width="6.625" style="2" bestFit="1" customWidth="1"/>
    <col min="45" max="45" width="3.625" style="1" customWidth="1"/>
    <col min="46" max="48" width="14.625" style="2" customWidth="1"/>
    <col min="49" max="49" width="7" style="2" bestFit="1" customWidth="1"/>
    <col min="50" max="57" width="29.625" style="3" customWidth="1"/>
    <col min="58" max="58" width="6.625" style="2" bestFit="1" customWidth="1"/>
    <col min="59" max="59" width="3.625" style="1" customWidth="1"/>
    <col min="60" max="62" width="14.625" style="2" customWidth="1"/>
    <col min="63" max="63" width="7" style="2" bestFit="1" customWidth="1"/>
    <col min="64" max="71" width="29.625" style="3" customWidth="1"/>
    <col min="72" max="72" width="6.625" style="2" bestFit="1" customWidth="1"/>
    <col min="73" max="73" width="3.625" style="1" customWidth="1"/>
    <col min="74" max="76" width="14.625" style="2" customWidth="1"/>
    <col min="77" max="77" width="7" style="2" bestFit="1" customWidth="1"/>
    <col min="78" max="85" width="29.625" style="3" customWidth="1"/>
    <col min="86" max="86" width="6.625" style="2" bestFit="1" customWidth="1"/>
    <col min="87" max="87" width="3.625" style="1" customWidth="1"/>
    <col min="88" max="90" width="14.625" style="2" customWidth="1"/>
    <col min="91" max="91" width="7" style="2" bestFit="1" customWidth="1"/>
    <col min="92" max="99" width="29.625" style="3" customWidth="1"/>
    <col min="100" max="100" width="6.625" style="2" bestFit="1" customWidth="1"/>
    <col min="101" max="101" width="3.625" style="1" customWidth="1"/>
    <col min="102" max="104" width="14.625" style="2" customWidth="1"/>
    <col min="105" max="105" width="7" style="2" bestFit="1" customWidth="1"/>
    <col min="106" max="110" width="29.625" style="3" customWidth="1"/>
    <col min="111" max="111" width="28.625" style="3" customWidth="1"/>
    <col min="112" max="112" width="29.625" style="3" customWidth="1"/>
    <col min="113" max="113" width="28.625" style="3" customWidth="1"/>
    <col min="114" max="114" width="6.625" style="2" bestFit="1" customWidth="1"/>
    <col min="115" max="115" width="3.625" style="1" customWidth="1"/>
    <col min="116" max="118" width="14.625" style="2" customWidth="1"/>
    <col min="119" max="119" width="7" style="2" bestFit="1" customWidth="1"/>
    <col min="120" max="120" width="11.625" style="3" customWidth="1"/>
    <col min="121" max="121" width="2.125" style="3" customWidth="1"/>
    <col min="122" max="122" width="5.125" style="3" customWidth="1"/>
    <col min="123" max="123" width="11.625" style="3" customWidth="1"/>
    <col min="124" max="124" width="29.625" style="3" customWidth="1"/>
    <col min="125" max="125" width="11.625" style="3" customWidth="1"/>
    <col min="126" max="126" width="2.125" style="3" customWidth="1"/>
    <col min="127" max="127" width="5.125" style="3" customWidth="1"/>
    <col min="128" max="128" width="11.625" style="3" customWidth="1"/>
    <col min="129" max="129" width="29.625" style="3" customWidth="1"/>
    <col min="130" max="130" width="11.625" style="3" customWidth="1"/>
    <col min="131" max="131" width="2.125" style="3" customWidth="1"/>
    <col min="132" max="132" width="5.125" style="3" customWidth="1"/>
    <col min="133" max="133" width="11.625" style="3" customWidth="1"/>
    <col min="134" max="134" width="29.625" style="3" customWidth="1"/>
    <col min="135" max="135" width="11.625" style="3" customWidth="1"/>
    <col min="136" max="136" width="2.125" style="3" customWidth="1"/>
    <col min="137" max="137" width="5.125" style="3" customWidth="1"/>
    <col min="138" max="138" width="11.625" style="3" customWidth="1"/>
    <col min="139" max="139" width="29.625" style="3" customWidth="1"/>
    <col min="140" max="140" width="6.625" style="2" bestFit="1" customWidth="1"/>
    <col min="141" max="141" width="3.625" style="2" customWidth="1"/>
    <col min="142" max="144" width="14.625" style="2" customWidth="1"/>
    <col min="145" max="145" width="7" style="2" bestFit="1" customWidth="1"/>
    <col min="146" max="146" width="11.625" style="2" customWidth="1"/>
    <col min="147" max="147" width="2.125" style="2" customWidth="1"/>
    <col min="148" max="148" width="5.125" style="2" customWidth="1"/>
    <col min="149" max="149" width="11.625" style="2" customWidth="1"/>
    <col min="150" max="150" width="29.625" style="2" customWidth="1"/>
    <col min="151" max="151" width="11.625" style="2" customWidth="1"/>
    <col min="152" max="152" width="2.125" style="2" customWidth="1"/>
    <col min="153" max="153" width="5.125" style="2" customWidth="1"/>
    <col min="154" max="154" width="11.625" style="2" customWidth="1"/>
    <col min="155" max="155" width="29.625" style="2" customWidth="1"/>
    <col min="156" max="156" width="11.625" style="2" customWidth="1"/>
    <col min="157" max="157" width="2.125" style="2" customWidth="1"/>
    <col min="158" max="158" width="5.125" style="2" customWidth="1"/>
    <col min="159" max="159" width="11.625" style="2" customWidth="1"/>
    <col min="160" max="160" width="29.625" style="2" customWidth="1"/>
    <col min="161" max="161" width="11.625" style="2" customWidth="1"/>
    <col min="162" max="162" width="2.125" style="2" customWidth="1"/>
    <col min="163" max="163" width="5.125" style="2" customWidth="1"/>
    <col min="164" max="164" width="11.625" style="2" customWidth="1"/>
    <col min="165" max="165" width="29.625" style="2" customWidth="1"/>
    <col min="166" max="166" width="7.625" style="2" hidden="1" customWidth="1"/>
    <col min="167" max="167" width="6.625" style="2" bestFit="1" customWidth="1"/>
    <col min="168" max="168" width="3.625" style="2" customWidth="1"/>
    <col min="169" max="171" width="14.625" style="2" customWidth="1"/>
    <col min="172" max="172" width="7" style="2" bestFit="1" customWidth="1"/>
    <col min="173" max="173" width="11.625" style="2" customWidth="1"/>
    <col min="174" max="174" width="2.125" style="2" customWidth="1"/>
    <col min="175" max="175" width="5.125" style="2" customWidth="1"/>
    <col min="176" max="176" width="11.625" style="2" customWidth="1"/>
    <col min="177" max="177" width="29.625" style="2" customWidth="1"/>
    <col min="178" max="178" width="11.625" style="2" customWidth="1"/>
    <col min="179" max="179" width="2.125" style="2" customWidth="1"/>
    <col min="180" max="180" width="5.125" style="2" customWidth="1"/>
    <col min="181" max="181" width="11.625" style="2" customWidth="1"/>
    <col min="182" max="182" width="29.625" style="2" customWidth="1"/>
    <col min="183" max="183" width="11.625" style="2" customWidth="1"/>
    <col min="184" max="184" width="2.125" style="2" customWidth="1"/>
    <col min="185" max="185" width="5.125" style="2" customWidth="1"/>
    <col min="186" max="186" width="11.625" style="2" customWidth="1"/>
    <col min="187" max="187" width="29.625" style="2" customWidth="1"/>
    <col min="188" max="188" width="11.625" style="2" customWidth="1"/>
    <col min="189" max="189" width="2.125" style="2" customWidth="1"/>
    <col min="190" max="190" width="5.125" style="2" customWidth="1"/>
    <col min="191" max="191" width="11.625" style="2" customWidth="1"/>
    <col min="192" max="192" width="29.625" style="2" customWidth="1"/>
    <col min="193" max="193" width="6.625" style="2" bestFit="1" customWidth="1"/>
    <col min="194" max="194" width="3.625" style="2" customWidth="1"/>
    <col min="195" max="197" width="14.625" style="2" customWidth="1"/>
    <col min="198" max="198" width="7" style="2" bestFit="1" customWidth="1"/>
    <col min="199" max="199" width="11.625" style="2" customWidth="1"/>
    <col min="200" max="200" width="2.125" style="2" customWidth="1"/>
    <col min="201" max="201" width="5.125" style="2" customWidth="1"/>
    <col min="202" max="202" width="11.625" style="2" customWidth="1"/>
    <col min="203" max="203" width="29.625" style="2" customWidth="1"/>
    <col min="204" max="204" width="11.625" style="2" customWidth="1"/>
    <col min="205" max="205" width="2.125" style="2" customWidth="1"/>
    <col min="206" max="206" width="5.125" style="2" customWidth="1"/>
    <col min="207" max="207" width="11.625" style="2" customWidth="1"/>
    <col min="208" max="208" width="29.625" style="2" customWidth="1"/>
    <col min="209" max="209" width="11.625" style="2" customWidth="1"/>
    <col min="210" max="210" width="2.125" style="2" customWidth="1"/>
    <col min="211" max="211" width="5.125" style="2" customWidth="1"/>
    <col min="212" max="212" width="11.625" style="2" customWidth="1"/>
    <col min="213" max="213" width="29.625" style="2" customWidth="1"/>
    <col min="214" max="214" width="11.625" style="2" customWidth="1"/>
    <col min="215" max="215" width="2.125" style="2" customWidth="1"/>
    <col min="216" max="216" width="5.125" style="2" customWidth="1"/>
    <col min="217" max="217" width="11.625" style="2" customWidth="1"/>
    <col min="218" max="218" width="29.625" style="2" customWidth="1"/>
    <col min="219" max="219" width="6.625" style="2" bestFit="1" customWidth="1"/>
    <col min="220" max="220" width="3.625" style="2" customWidth="1"/>
    <col min="221" max="223" width="14.625" style="2" customWidth="1"/>
    <col min="224" max="224" width="7" style="2" bestFit="1" customWidth="1"/>
    <col min="225" max="225" width="11.625" style="2" customWidth="1"/>
    <col min="226" max="226" width="2.125" style="2" customWidth="1"/>
    <col min="227" max="227" width="5.125" style="2" customWidth="1"/>
    <col min="228" max="228" width="11.625" style="2" customWidth="1"/>
    <col min="229" max="229" width="29.625" style="2" customWidth="1"/>
    <col min="230" max="230" width="11.625" style="2" customWidth="1"/>
    <col min="231" max="231" width="2.125" style="2" customWidth="1"/>
    <col min="232" max="232" width="5.125" style="2" customWidth="1"/>
    <col min="233" max="233" width="11.625" style="2" customWidth="1"/>
    <col min="234" max="234" width="29.625" style="2" customWidth="1"/>
    <col min="235" max="235" width="11.625" style="2" customWidth="1"/>
    <col min="236" max="236" width="2.125" style="2" customWidth="1"/>
    <col min="237" max="237" width="5.125" style="2" customWidth="1"/>
    <col min="238" max="238" width="11.625" style="2" customWidth="1"/>
    <col min="239" max="239" width="29.625" style="2" customWidth="1"/>
    <col min="240" max="240" width="11.625" style="2" customWidth="1"/>
    <col min="241" max="241" width="2.125" style="2" customWidth="1"/>
    <col min="242" max="242" width="5.125" style="2" customWidth="1"/>
    <col min="243" max="243" width="11.625" style="2" customWidth="1"/>
    <col min="244" max="244" width="29.625" style="2" customWidth="1"/>
    <col min="245" max="245" width="6.625" style="2" bestFit="1" customWidth="1"/>
    <col min="246" max="246" width="3.625" style="2" customWidth="1"/>
    <col min="247" max="249" width="14.625" style="2" customWidth="1"/>
    <col min="250" max="250" width="7" style="2" bestFit="1" customWidth="1"/>
    <col min="251" max="251" width="11.625" style="2" customWidth="1"/>
    <col min="252" max="252" width="2.125" style="2" customWidth="1"/>
    <col min="253" max="253" width="5.125" style="2" customWidth="1"/>
    <col min="254" max="254" width="11.625" style="2" customWidth="1"/>
    <col min="255" max="255" width="29.625" style="2" customWidth="1"/>
    <col min="256" max="256" width="11.625" style="2" customWidth="1"/>
    <col min="257" max="257" width="2.125" style="2" customWidth="1"/>
    <col min="258" max="258" width="5.125" style="2" customWidth="1"/>
    <col min="259" max="259" width="11.625" style="2" customWidth="1"/>
    <col min="260" max="260" width="29.625" style="2" customWidth="1"/>
    <col min="261" max="261" width="11.625" style="2" customWidth="1"/>
    <col min="262" max="262" width="2.125" style="2" customWidth="1"/>
    <col min="263" max="263" width="5.125" style="2" customWidth="1"/>
    <col min="264" max="264" width="11.625" style="2" customWidth="1"/>
    <col min="265" max="265" width="29.625" style="2" customWidth="1"/>
    <col min="266" max="266" width="11.625" style="2" customWidth="1"/>
    <col min="267" max="267" width="2.125" style="2" customWidth="1"/>
    <col min="268" max="268" width="5.125" style="2" customWidth="1"/>
    <col min="269" max="269" width="11.625" style="2" customWidth="1"/>
    <col min="270" max="270" width="29.625" style="2" customWidth="1"/>
    <col min="271" max="271" width="6.625" style="2" bestFit="1" customWidth="1"/>
    <col min="272" max="272" width="3.625" style="2" customWidth="1"/>
    <col min="273" max="275" width="14.625" style="2" customWidth="1"/>
    <col min="276" max="276" width="7" style="2" bestFit="1" customWidth="1"/>
    <col min="277" max="277" width="11.625" style="2" customWidth="1"/>
    <col min="278" max="278" width="2.125" style="2" customWidth="1"/>
    <col min="279" max="279" width="5.125" style="2" customWidth="1"/>
    <col min="280" max="280" width="11.625" style="2" customWidth="1"/>
    <col min="281" max="281" width="29.625" style="2" customWidth="1"/>
    <col min="282" max="282" width="11.625" style="2" customWidth="1"/>
    <col min="283" max="283" width="2.125" style="2" customWidth="1"/>
    <col min="284" max="284" width="5.125" style="2" customWidth="1"/>
    <col min="285" max="285" width="11.625" style="2" customWidth="1"/>
    <col min="286" max="286" width="29.625" style="2" customWidth="1"/>
    <col min="287" max="287" width="11.625" style="2" customWidth="1"/>
    <col min="288" max="288" width="2.125" style="2" customWidth="1"/>
    <col min="289" max="289" width="5.125" style="2" customWidth="1"/>
    <col min="290" max="290" width="11.625" style="2" customWidth="1"/>
    <col min="291" max="291" width="29.625" style="2" customWidth="1"/>
    <col min="292" max="292" width="29.625" style="2" hidden="1" customWidth="1"/>
    <col min="293" max="293" width="11.625" style="2" customWidth="1"/>
    <col min="294" max="294" width="2.125" style="2" customWidth="1"/>
    <col min="295" max="295" width="5.125" style="2" customWidth="1"/>
    <col min="296" max="296" width="11.625" style="2" customWidth="1"/>
    <col min="297" max="297" width="29.625" style="2" customWidth="1"/>
    <col min="298" max="298" width="6.625" style="2" bestFit="1" customWidth="1"/>
    <col min="299" max="299" width="3.625" style="2" customWidth="1"/>
    <col min="300" max="302" width="14.625" style="2" customWidth="1"/>
    <col min="303" max="303" width="7" style="2" bestFit="1" customWidth="1"/>
    <col min="304" max="304" width="11.625" style="2" customWidth="1"/>
    <col min="305" max="305" width="2.125" style="2" customWidth="1"/>
    <col min="306" max="306" width="5.125" style="2" customWidth="1"/>
    <col min="307" max="307" width="11.625" style="2" customWidth="1"/>
    <col min="308" max="308" width="29.625" style="2" customWidth="1"/>
    <col min="309" max="309" width="11.625" style="2" customWidth="1"/>
    <col min="310" max="310" width="2.125" style="2" customWidth="1"/>
    <col min="311" max="311" width="5.125" style="2" customWidth="1"/>
    <col min="312" max="312" width="11.625" style="2" customWidth="1"/>
    <col min="313" max="313" width="29.625" style="2" customWidth="1"/>
    <col min="314" max="314" width="11.625" style="2" customWidth="1"/>
    <col min="315" max="315" width="2.125" style="2" customWidth="1"/>
    <col min="316" max="316" width="5.125" style="2" customWidth="1"/>
    <col min="317" max="317" width="11.625" style="2" customWidth="1"/>
    <col min="318" max="318" width="29.625" style="2" customWidth="1"/>
    <col min="319" max="319" width="11.625" style="2" customWidth="1"/>
    <col min="320" max="320" width="2.125" style="2" customWidth="1"/>
    <col min="321" max="321" width="5.125" style="2" customWidth="1"/>
    <col min="322" max="322" width="11.625" style="2" customWidth="1"/>
    <col min="323" max="323" width="29.625" style="2" customWidth="1"/>
    <col min="324" max="324" width="6.625" style="2" bestFit="1" customWidth="1"/>
    <col min="325" max="325" width="3.625" style="2" customWidth="1"/>
    <col min="326" max="328" width="14.625" style="2" customWidth="1"/>
    <col min="329" max="329" width="7" style="2" bestFit="1" customWidth="1"/>
    <col min="330" max="330" width="11.625" style="2" customWidth="1"/>
    <col min="331" max="331" width="2.125" style="2" customWidth="1"/>
    <col min="332" max="332" width="5.125" style="2" customWidth="1"/>
    <col min="333" max="333" width="11.625" style="2" customWidth="1"/>
    <col min="334" max="334" width="29.625" style="2" customWidth="1"/>
    <col min="335" max="335" width="11.625" style="2" customWidth="1"/>
    <col min="336" max="336" width="2.125" style="2" customWidth="1"/>
    <col min="337" max="337" width="5.125" style="2" customWidth="1"/>
    <col min="338" max="338" width="11.625" style="2" customWidth="1"/>
    <col min="339" max="339" width="29.625" style="2" customWidth="1"/>
    <col min="340" max="340" width="11.625" style="2" customWidth="1"/>
    <col min="341" max="341" width="2.125" style="2" customWidth="1"/>
    <col min="342" max="342" width="5.125" style="2" customWidth="1"/>
    <col min="343" max="343" width="11.625" style="2" customWidth="1"/>
    <col min="344" max="344" width="29.625" style="2" customWidth="1"/>
    <col min="345" max="345" width="11.625" style="2" customWidth="1"/>
    <col min="346" max="346" width="2.125" style="2" customWidth="1"/>
    <col min="347" max="347" width="5.125" style="2" customWidth="1"/>
    <col min="348" max="348" width="11.625" style="2" customWidth="1"/>
    <col min="349" max="349" width="29.625" style="2" hidden="1" customWidth="1"/>
    <col min="350" max="350" width="11.625" style="2" hidden="1" customWidth="1"/>
    <col min="351" max="351" width="2.125" style="2" hidden="1" customWidth="1"/>
    <col min="352" max="352" width="5.125" style="2" hidden="1" customWidth="1"/>
    <col min="353" max="353" width="11.625" style="2" hidden="1" customWidth="1"/>
    <col min="354" max="354" width="29.625" style="2" customWidth="1"/>
    <col min="355" max="355" width="6.625" style="2" bestFit="1" customWidth="1"/>
    <col min="356" max="356" width="3.625" style="2" customWidth="1"/>
    <col min="357" max="359" width="14.625" style="2" customWidth="1"/>
    <col min="360" max="360" width="7" style="2" bestFit="1" customWidth="1"/>
    <col min="361" max="361" width="11.625" style="2" customWidth="1"/>
    <col min="362" max="362" width="2.125" style="2" customWidth="1"/>
    <col min="363" max="363" width="5.125" style="2" customWidth="1"/>
    <col min="364" max="364" width="11.625" style="2" customWidth="1"/>
    <col min="365" max="365" width="29.625" style="2" customWidth="1"/>
    <col min="366" max="366" width="11.625" style="2" customWidth="1"/>
    <col min="367" max="367" width="2.125" style="2" customWidth="1"/>
    <col min="368" max="368" width="5.125" style="2" customWidth="1"/>
    <col min="369" max="369" width="11.625" style="2" customWidth="1"/>
    <col min="370" max="370" width="29.625" style="2" customWidth="1"/>
    <col min="371" max="371" width="11.625" style="2" customWidth="1"/>
    <col min="372" max="372" width="2.125" style="2" customWidth="1"/>
    <col min="373" max="373" width="5.125" style="2" customWidth="1"/>
    <col min="374" max="374" width="11.625" style="2" customWidth="1"/>
    <col min="375" max="375" width="29.625" style="2" customWidth="1"/>
    <col min="376" max="376" width="11.625" style="2" customWidth="1"/>
    <col min="377" max="377" width="2.125" style="2" customWidth="1"/>
    <col min="378" max="378" width="5.125" style="2" customWidth="1"/>
    <col min="379" max="379" width="11.625" style="2" customWidth="1"/>
    <col min="380" max="380" width="29.625" style="2" customWidth="1"/>
    <col min="381" max="381" width="29.625" style="2" hidden="1" customWidth="1"/>
    <col min="382" max="382" width="6.625" style="2" bestFit="1" customWidth="1"/>
    <col min="383" max="383" width="3.625" style="2" customWidth="1"/>
    <col min="384" max="386" width="14.625" style="2" customWidth="1"/>
    <col min="387" max="387" width="7" style="2" bestFit="1" customWidth="1"/>
    <col min="388" max="388" width="11.625" style="2" customWidth="1"/>
    <col min="389" max="389" width="2.125" style="2" customWidth="1"/>
    <col min="390" max="390" width="5.125" style="2" customWidth="1"/>
    <col min="391" max="391" width="11.625" style="2" customWidth="1"/>
    <col min="392" max="392" width="29.625" style="2" customWidth="1"/>
    <col min="393" max="393" width="11.625" style="2" customWidth="1"/>
    <col min="394" max="394" width="2.125" style="2" customWidth="1"/>
    <col min="395" max="395" width="5.125" style="2" customWidth="1"/>
    <col min="396" max="396" width="11.625" style="2" customWidth="1"/>
    <col min="397" max="397" width="29.625" style="2" customWidth="1"/>
    <col min="398" max="398" width="11.625" style="2" customWidth="1"/>
    <col min="399" max="399" width="2.125" style="2" customWidth="1"/>
    <col min="400" max="400" width="5.125" style="2" customWidth="1"/>
    <col min="401" max="401" width="11.625" style="2" customWidth="1"/>
    <col min="402" max="402" width="29.625" style="2" customWidth="1"/>
    <col min="403" max="403" width="11.625" style="2" customWidth="1"/>
    <col min="404" max="404" width="2.125" style="2" customWidth="1"/>
    <col min="405" max="405" width="5.125" style="2" customWidth="1"/>
    <col min="406" max="406" width="11.625" style="2" customWidth="1"/>
    <col min="407" max="407" width="29.625" style="2" customWidth="1"/>
    <col min="408" max="408" width="29.625" style="2" hidden="1" customWidth="1"/>
    <col min="409" max="409" width="6.625" style="2" bestFit="1" customWidth="1"/>
    <col min="410" max="410" width="3.625" style="2" customWidth="1"/>
    <col min="411" max="413" width="14.625" style="2" customWidth="1"/>
    <col min="414" max="414" width="7" style="2" bestFit="1" customWidth="1"/>
    <col min="415" max="415" width="11.625" style="2" customWidth="1"/>
    <col min="416" max="416" width="2.125" style="2" customWidth="1"/>
    <col min="417" max="417" width="5.125" style="2" customWidth="1"/>
    <col min="418" max="418" width="11.625" style="2" customWidth="1"/>
    <col min="419" max="419" width="29.625" style="2" customWidth="1"/>
    <col min="420" max="420" width="11.625" style="2" customWidth="1"/>
    <col min="421" max="421" width="2.125" style="2" customWidth="1"/>
    <col min="422" max="422" width="5.125" style="2" customWidth="1"/>
    <col min="423" max="423" width="11.625" style="2" customWidth="1"/>
    <col min="424" max="424" width="29.625" style="2" customWidth="1"/>
    <col min="425" max="425" width="11.625" style="2" customWidth="1"/>
    <col min="426" max="426" width="2.125" style="2" customWidth="1"/>
    <col min="427" max="427" width="5.125" style="2" customWidth="1"/>
    <col min="428" max="428" width="11.625" style="2" customWidth="1"/>
    <col min="429" max="429" width="29.625" style="2" customWidth="1"/>
    <col min="430" max="430" width="11.625" style="2" customWidth="1"/>
    <col min="431" max="431" width="2.125" style="2" customWidth="1"/>
    <col min="432" max="432" width="5.125" style="2" customWidth="1"/>
    <col min="433" max="433" width="11.625" style="2" customWidth="1"/>
    <col min="434" max="434" width="29.625" style="2" customWidth="1"/>
    <col min="435" max="435" width="29.625" style="2" hidden="1" customWidth="1"/>
    <col min="436" max="436" width="6.625" style="2" bestFit="1" customWidth="1"/>
    <col min="437" max="437" width="3.625" style="2" customWidth="1"/>
    <col min="438" max="440" width="14.625" style="2" customWidth="1"/>
    <col min="441" max="441" width="7" style="2" bestFit="1" customWidth="1"/>
    <col min="442" max="442" width="11.625" style="2" customWidth="1"/>
    <col min="443" max="443" width="2.125" style="2" customWidth="1"/>
    <col min="444" max="444" width="5.125" style="2" customWidth="1"/>
    <col min="445" max="445" width="11.625" style="2" customWidth="1"/>
    <col min="446" max="446" width="29.625" style="2" customWidth="1"/>
    <col min="447" max="447" width="11.625" style="2" customWidth="1"/>
    <col min="448" max="448" width="2.125" style="2" customWidth="1"/>
    <col min="449" max="449" width="5.125" style="2" customWidth="1"/>
    <col min="450" max="450" width="11.625" style="2" customWidth="1"/>
    <col min="451" max="451" width="29.625" style="2" customWidth="1"/>
    <col min="452" max="452" width="11.625" style="2" customWidth="1"/>
    <col min="453" max="453" width="2.125" style="2" customWidth="1"/>
    <col min="454" max="454" width="5.125" style="2" customWidth="1"/>
    <col min="455" max="455" width="11.625" style="2" customWidth="1"/>
    <col min="456" max="456" width="29.625" style="2" customWidth="1"/>
    <col min="457" max="457" width="11.625" style="2" customWidth="1"/>
    <col min="458" max="458" width="2.125" style="2" customWidth="1"/>
    <col min="459" max="459" width="5.125" style="2" customWidth="1"/>
    <col min="460" max="460" width="11.625" style="2" customWidth="1"/>
    <col min="461" max="461" width="29.625" style="2" customWidth="1"/>
    <col min="462" max="462" width="6.625" style="2" bestFit="1" customWidth="1"/>
    <col min="463" max="463" width="3.625" style="2" customWidth="1"/>
    <col min="464" max="466" width="14.625" style="2" customWidth="1"/>
    <col min="467" max="467" width="7" style="2" bestFit="1" customWidth="1"/>
    <col min="468" max="468" width="11.625" style="2" customWidth="1"/>
    <col min="469" max="469" width="2.125" style="2" customWidth="1"/>
    <col min="470" max="470" width="5.125" style="2" customWidth="1"/>
    <col min="471" max="471" width="11.625" style="2" customWidth="1"/>
    <col min="472" max="472" width="29.625" style="2" customWidth="1"/>
    <col min="473" max="473" width="11.625" style="2" customWidth="1"/>
    <col min="474" max="474" width="2.125" style="2" customWidth="1"/>
    <col min="475" max="475" width="5.125" style="2" customWidth="1"/>
    <col min="476" max="476" width="11.625" style="2" customWidth="1"/>
    <col min="477" max="477" width="29.625" style="2" customWidth="1"/>
    <col min="478" max="478" width="11.625" style="2" customWidth="1"/>
    <col min="479" max="479" width="2.125" style="2" customWidth="1"/>
    <col min="480" max="480" width="5.125" style="2" customWidth="1"/>
    <col min="481" max="481" width="11.625" style="2" customWidth="1"/>
    <col min="482" max="482" width="28.625" style="2" customWidth="1"/>
    <col min="483" max="483" width="11.625" style="2" customWidth="1"/>
    <col min="484" max="484" width="2.125" style="2" customWidth="1"/>
    <col min="485" max="485" width="5.125" style="2" customWidth="1"/>
    <col min="486" max="486" width="11.625" style="2" customWidth="1"/>
    <col min="487" max="487" width="29.625" style="2" customWidth="1"/>
    <col min="488" max="488" width="29.625" style="2" hidden="1" customWidth="1"/>
    <col min="489" max="489" width="6.625" style="2" customWidth="1"/>
    <col min="490" max="490" width="3.625" style="2" customWidth="1"/>
    <col min="491" max="493" width="14" style="2" customWidth="1"/>
    <col min="494" max="494" width="8" style="2"/>
    <col min="495" max="495" width="11.625" style="2" customWidth="1"/>
    <col min="496" max="496" width="2.125" style="2" customWidth="1"/>
    <col min="497" max="497" width="5.125" style="2" customWidth="1"/>
    <col min="498" max="498" width="11.625" style="2" customWidth="1"/>
    <col min="499" max="499" width="29.625" style="2" customWidth="1"/>
    <col min="500" max="500" width="11.625" style="2" customWidth="1"/>
    <col min="501" max="501" width="2.125" style="2" customWidth="1"/>
    <col min="502" max="502" width="5.125" style="2" customWidth="1"/>
    <col min="503" max="503" width="11.625" style="2" customWidth="1"/>
    <col min="504" max="504" width="29.625" style="2" customWidth="1"/>
    <col min="505" max="505" width="11.625" style="2" customWidth="1"/>
    <col min="506" max="506" width="2.125" style="2" customWidth="1"/>
    <col min="507" max="507" width="5.125" style="2" customWidth="1"/>
    <col min="508" max="508" width="11.625" style="2" customWidth="1"/>
    <col min="509" max="509" width="29.625" style="2" customWidth="1"/>
    <col min="510" max="510" width="11.625" style="2" customWidth="1"/>
    <col min="511" max="511" width="2.125" style="2" customWidth="1"/>
    <col min="512" max="512" width="5.125" style="2" customWidth="1"/>
    <col min="513" max="513" width="11.625" style="2" customWidth="1"/>
    <col min="514" max="514" width="29.625" style="2" customWidth="1"/>
    <col min="515" max="515" width="6.625" style="2" customWidth="1"/>
    <col min="516" max="516" width="3.625" style="2" customWidth="1"/>
    <col min="517" max="519" width="14" style="2" customWidth="1"/>
    <col min="520" max="520" width="8" style="2"/>
    <col min="521" max="521" width="11.625" style="2" customWidth="1"/>
    <col min="522" max="522" width="2.125" style="2" customWidth="1"/>
    <col min="523" max="523" width="5.125" style="2" customWidth="1"/>
    <col min="524" max="524" width="11.625" style="2" customWidth="1"/>
    <col min="525" max="525" width="29.625" style="2" customWidth="1"/>
    <col min="526" max="526" width="11.625" style="2" customWidth="1"/>
    <col min="527" max="527" width="2.125" style="2" customWidth="1"/>
    <col min="528" max="528" width="5.125" style="2" customWidth="1"/>
    <col min="529" max="529" width="11.625" style="2" customWidth="1"/>
    <col min="530" max="530" width="29.625" style="2" customWidth="1"/>
    <col min="531" max="531" width="11.625" style="2" customWidth="1"/>
    <col min="532" max="532" width="2.125" style="2" customWidth="1"/>
    <col min="533" max="533" width="5.125" style="2" customWidth="1"/>
    <col min="534" max="534" width="11.625" style="2" customWidth="1"/>
    <col min="535" max="535" width="29.625" style="2" customWidth="1"/>
    <col min="536" max="536" width="11.625" style="2" customWidth="1"/>
    <col min="537" max="537" width="2.125" style="2" customWidth="1"/>
    <col min="538" max="538" width="5.125" style="2" customWidth="1"/>
    <col min="539" max="539" width="11.625" style="2" customWidth="1"/>
    <col min="540" max="540" width="29.625" style="2" customWidth="1"/>
    <col min="541" max="541" width="8" style="2" customWidth="1"/>
    <col min="542" max="542" width="5.125" style="2" customWidth="1"/>
    <col min="543" max="16384" width="8" style="2"/>
  </cols>
  <sheetData>
    <row r="1" spans="2:542" ht="27.75" customHeight="1" x14ac:dyDescent="0.4">
      <c r="EK1" s="1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L1" s="1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L1" s="1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L1" s="1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L1" s="1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L1" s="1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M1" s="1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M1" s="1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R1" s="1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S1" s="1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T1" s="1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U1" s="1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U1" s="1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V1" s="1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V1" s="1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</row>
    <row r="2" spans="2:542" ht="39" customHeight="1" x14ac:dyDescent="0.4">
      <c r="B2" s="454" t="s">
        <v>76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 t="s">
        <v>76</v>
      </c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 t="s">
        <v>76</v>
      </c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 t="s">
        <v>76</v>
      </c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 t="s">
        <v>76</v>
      </c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 t="s">
        <v>76</v>
      </c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 t="s">
        <v>76</v>
      </c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 t="s">
        <v>76</v>
      </c>
      <c r="CW2" s="454"/>
      <c r="CX2" s="454"/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 t="s">
        <v>76</v>
      </c>
      <c r="DK2" s="454"/>
      <c r="DL2" s="454"/>
      <c r="DM2" s="454"/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/>
      <c r="EG2" s="454"/>
      <c r="EH2" s="454"/>
      <c r="EI2" s="454"/>
      <c r="EJ2" s="454" t="s">
        <v>76</v>
      </c>
      <c r="EK2" s="454"/>
      <c r="EL2" s="454"/>
      <c r="EM2" s="454"/>
      <c r="EN2" s="454"/>
      <c r="EO2" s="454"/>
      <c r="EP2" s="454"/>
      <c r="EQ2" s="454"/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/>
      <c r="FE2" s="454"/>
      <c r="FF2" s="454"/>
      <c r="FG2" s="454"/>
      <c r="FH2" s="454"/>
      <c r="FI2" s="454"/>
      <c r="FJ2" s="454"/>
      <c r="FK2" s="454" t="s">
        <v>76</v>
      </c>
      <c r="FL2" s="454"/>
      <c r="FM2" s="454"/>
      <c r="FN2" s="454"/>
      <c r="FO2" s="454"/>
      <c r="FP2" s="454"/>
      <c r="FQ2" s="454"/>
      <c r="FR2" s="454"/>
      <c r="FS2" s="454"/>
      <c r="FT2" s="454"/>
      <c r="FU2" s="454"/>
      <c r="FV2" s="454"/>
      <c r="FW2" s="454"/>
      <c r="FX2" s="454"/>
      <c r="FY2" s="454"/>
      <c r="FZ2" s="454"/>
      <c r="GA2" s="454"/>
      <c r="GB2" s="454"/>
      <c r="GC2" s="454"/>
      <c r="GD2" s="454"/>
      <c r="GE2" s="454"/>
      <c r="GF2" s="454"/>
      <c r="GG2" s="454"/>
      <c r="GH2" s="454"/>
      <c r="GI2" s="454"/>
      <c r="GJ2" s="454"/>
      <c r="GK2" s="454" t="s">
        <v>76</v>
      </c>
      <c r="GL2" s="454"/>
      <c r="GM2" s="454"/>
      <c r="GN2" s="454"/>
      <c r="GO2" s="454"/>
      <c r="GP2" s="454"/>
      <c r="GQ2" s="454"/>
      <c r="GR2" s="454"/>
      <c r="GS2" s="454"/>
      <c r="GT2" s="454"/>
      <c r="GU2" s="454"/>
      <c r="GV2" s="454"/>
      <c r="GW2" s="454"/>
      <c r="GX2" s="454"/>
      <c r="GY2" s="454"/>
      <c r="GZ2" s="454"/>
      <c r="HA2" s="454"/>
      <c r="HB2" s="454"/>
      <c r="HC2" s="454"/>
      <c r="HD2" s="454"/>
      <c r="HE2" s="454"/>
      <c r="HF2" s="454"/>
      <c r="HG2" s="454"/>
      <c r="HH2" s="454"/>
      <c r="HI2" s="454"/>
      <c r="HJ2" s="454"/>
      <c r="HK2" s="454" t="s">
        <v>76</v>
      </c>
      <c r="HL2" s="454"/>
      <c r="HM2" s="454"/>
      <c r="HN2" s="454"/>
      <c r="HO2" s="454"/>
      <c r="HP2" s="454"/>
      <c r="HQ2" s="454"/>
      <c r="HR2" s="454"/>
      <c r="HS2" s="454"/>
      <c r="HT2" s="454"/>
      <c r="HU2" s="454"/>
      <c r="HV2" s="454"/>
      <c r="HW2" s="454"/>
      <c r="HX2" s="454"/>
      <c r="HY2" s="454"/>
      <c r="HZ2" s="454"/>
      <c r="IA2" s="454"/>
      <c r="IB2" s="454"/>
      <c r="IC2" s="454"/>
      <c r="ID2" s="454"/>
      <c r="IE2" s="454"/>
      <c r="IF2" s="454"/>
      <c r="IG2" s="454"/>
      <c r="IH2" s="454"/>
      <c r="II2" s="454"/>
      <c r="IJ2" s="454"/>
      <c r="IK2" s="454" t="s">
        <v>76</v>
      </c>
      <c r="IL2" s="454"/>
      <c r="IM2" s="454"/>
      <c r="IN2" s="454"/>
      <c r="IO2" s="454"/>
      <c r="IP2" s="454"/>
      <c r="IQ2" s="454"/>
      <c r="IR2" s="454"/>
      <c r="IS2" s="454"/>
      <c r="IT2" s="454"/>
      <c r="IU2" s="454"/>
      <c r="IV2" s="454"/>
      <c r="IW2" s="454"/>
      <c r="IX2" s="454"/>
      <c r="IY2" s="454"/>
      <c r="IZ2" s="454"/>
      <c r="JA2" s="454"/>
      <c r="JB2" s="454"/>
      <c r="JC2" s="454"/>
      <c r="JD2" s="454"/>
      <c r="JE2" s="454"/>
      <c r="JF2" s="454"/>
      <c r="JG2" s="454"/>
      <c r="JH2" s="454"/>
      <c r="JI2" s="454"/>
      <c r="JJ2" s="454"/>
      <c r="JK2" s="454" t="s">
        <v>76</v>
      </c>
      <c r="JL2" s="454"/>
      <c r="JM2" s="454"/>
      <c r="JN2" s="454"/>
      <c r="JO2" s="454"/>
      <c r="JP2" s="454"/>
      <c r="JQ2" s="454"/>
      <c r="JR2" s="454"/>
      <c r="JS2" s="454"/>
      <c r="JT2" s="454"/>
      <c r="JU2" s="454"/>
      <c r="JV2" s="454"/>
      <c r="JW2" s="454"/>
      <c r="JX2" s="454"/>
      <c r="JY2" s="454"/>
      <c r="JZ2" s="454"/>
      <c r="KA2" s="454"/>
      <c r="KB2" s="454"/>
      <c r="KC2" s="454"/>
      <c r="KD2" s="454"/>
      <c r="KE2" s="454"/>
      <c r="KF2" s="454"/>
      <c r="KG2" s="454"/>
      <c r="KH2" s="454"/>
      <c r="KI2" s="454"/>
      <c r="KJ2" s="454"/>
      <c r="KK2" s="454"/>
      <c r="KL2" s="454" t="s">
        <v>76</v>
      </c>
      <c r="KM2" s="454"/>
      <c r="KN2" s="454"/>
      <c r="KO2" s="454"/>
      <c r="KP2" s="454"/>
      <c r="KQ2" s="454"/>
      <c r="KR2" s="454"/>
      <c r="KS2" s="454"/>
      <c r="KT2" s="454"/>
      <c r="KU2" s="454"/>
      <c r="KV2" s="454"/>
      <c r="KW2" s="454"/>
      <c r="KX2" s="454"/>
      <c r="KY2" s="454"/>
      <c r="KZ2" s="454"/>
      <c r="LA2" s="454"/>
      <c r="LB2" s="454"/>
      <c r="LC2" s="454"/>
      <c r="LD2" s="454"/>
      <c r="LE2" s="454"/>
      <c r="LF2" s="454"/>
      <c r="LG2" s="454"/>
      <c r="LH2" s="454"/>
      <c r="LI2" s="454"/>
      <c r="LJ2" s="454"/>
      <c r="LK2" s="454"/>
      <c r="LL2" s="454" t="s">
        <v>76</v>
      </c>
      <c r="LM2" s="454"/>
      <c r="LN2" s="454"/>
      <c r="LO2" s="454"/>
      <c r="LP2" s="454"/>
      <c r="LQ2" s="454"/>
      <c r="LR2" s="454"/>
      <c r="LS2" s="454"/>
      <c r="LT2" s="454"/>
      <c r="LU2" s="454"/>
      <c r="LV2" s="454"/>
      <c r="LW2" s="454"/>
      <c r="LX2" s="454"/>
      <c r="LY2" s="454"/>
      <c r="LZ2" s="454"/>
      <c r="MA2" s="454"/>
      <c r="MB2" s="454"/>
      <c r="MC2" s="454"/>
      <c r="MD2" s="454"/>
      <c r="ME2" s="454"/>
      <c r="MF2" s="454"/>
      <c r="MG2" s="454"/>
      <c r="MH2" s="454"/>
      <c r="MI2" s="454"/>
      <c r="MJ2" s="454"/>
      <c r="MK2" s="454"/>
      <c r="ML2" s="454"/>
      <c r="MM2" s="454"/>
      <c r="MN2" s="454"/>
      <c r="MO2" s="454"/>
      <c r="MP2" s="454"/>
      <c r="MQ2" s="454" t="s">
        <v>76</v>
      </c>
      <c r="MR2" s="454"/>
      <c r="MS2" s="454"/>
      <c r="MT2" s="454"/>
      <c r="MU2" s="454"/>
      <c r="MV2" s="454"/>
      <c r="MW2" s="454"/>
      <c r="MX2" s="454"/>
      <c r="MY2" s="454"/>
      <c r="MZ2" s="454"/>
      <c r="NA2" s="454"/>
      <c r="NB2" s="454"/>
      <c r="NC2" s="454"/>
      <c r="ND2" s="454"/>
      <c r="NE2" s="454"/>
      <c r="NF2" s="454"/>
      <c r="NG2" s="454"/>
      <c r="NH2" s="454"/>
      <c r="NI2" s="454"/>
      <c r="NJ2" s="454"/>
      <c r="NK2" s="454"/>
      <c r="NL2" s="454"/>
      <c r="NM2" s="454"/>
      <c r="NN2" s="454"/>
      <c r="NO2" s="454"/>
      <c r="NP2" s="454"/>
      <c r="NQ2" s="454"/>
      <c r="NR2" s="454" t="s">
        <v>76</v>
      </c>
      <c r="NS2" s="454"/>
      <c r="NT2" s="454"/>
      <c r="NU2" s="454"/>
      <c r="NV2" s="454"/>
      <c r="NW2" s="454"/>
      <c r="NX2" s="454"/>
      <c r="NY2" s="454"/>
      <c r="NZ2" s="454"/>
      <c r="OA2" s="454"/>
      <c r="OB2" s="454"/>
      <c r="OC2" s="454"/>
      <c r="OD2" s="454"/>
      <c r="OE2" s="454"/>
      <c r="OF2" s="454"/>
      <c r="OG2" s="454"/>
      <c r="OH2" s="454"/>
      <c r="OI2" s="454"/>
      <c r="OJ2" s="454"/>
      <c r="OK2" s="454"/>
      <c r="OL2" s="454"/>
      <c r="OM2" s="454"/>
      <c r="ON2" s="454"/>
      <c r="OO2" s="454"/>
      <c r="OP2" s="454"/>
      <c r="OQ2" s="454"/>
      <c r="OS2" s="454" t="s">
        <v>76</v>
      </c>
      <c r="OT2" s="454"/>
      <c r="OU2" s="454"/>
      <c r="OV2" s="454"/>
      <c r="OW2" s="454"/>
      <c r="OX2" s="454"/>
      <c r="OY2" s="454"/>
      <c r="OZ2" s="454"/>
      <c r="PA2" s="454"/>
      <c r="PB2" s="454"/>
      <c r="PC2" s="454"/>
      <c r="PD2" s="454"/>
      <c r="PE2" s="454"/>
      <c r="PF2" s="454"/>
      <c r="PG2" s="454"/>
      <c r="PH2" s="454"/>
      <c r="PI2" s="454"/>
      <c r="PJ2" s="454"/>
      <c r="PK2" s="454"/>
      <c r="PL2" s="454"/>
      <c r="PM2" s="454"/>
      <c r="PN2" s="454"/>
      <c r="PO2" s="454"/>
      <c r="PP2" s="454"/>
      <c r="PQ2" s="454"/>
      <c r="PR2" s="454"/>
      <c r="PS2" s="185"/>
      <c r="PT2" s="454" t="s">
        <v>76</v>
      </c>
      <c r="PU2" s="454"/>
      <c r="PV2" s="454"/>
      <c r="PW2" s="454"/>
      <c r="PX2" s="454"/>
      <c r="PY2" s="454"/>
      <c r="PZ2" s="454"/>
      <c r="QA2" s="454"/>
      <c r="QB2" s="454"/>
      <c r="QC2" s="454"/>
      <c r="QD2" s="454"/>
      <c r="QE2" s="454"/>
      <c r="QF2" s="454"/>
      <c r="QG2" s="454"/>
      <c r="QH2" s="454"/>
      <c r="QI2" s="454"/>
      <c r="QJ2" s="454"/>
      <c r="QK2" s="454"/>
      <c r="QL2" s="454"/>
      <c r="QM2" s="454"/>
      <c r="QN2" s="454"/>
      <c r="QO2" s="454"/>
      <c r="QP2" s="454"/>
      <c r="QQ2" s="454"/>
      <c r="QR2" s="454"/>
      <c r="QS2" s="454"/>
      <c r="QT2" s="454" t="s">
        <v>76</v>
      </c>
      <c r="QU2" s="454"/>
      <c r="QV2" s="454"/>
      <c r="QW2" s="454"/>
      <c r="QX2" s="454"/>
      <c r="QY2" s="454"/>
      <c r="QZ2" s="454"/>
      <c r="RA2" s="454"/>
      <c r="RB2" s="454"/>
      <c r="RC2" s="454"/>
      <c r="RD2" s="454"/>
      <c r="RE2" s="454"/>
      <c r="RF2" s="454"/>
      <c r="RG2" s="454"/>
      <c r="RH2" s="454"/>
      <c r="RI2" s="454"/>
      <c r="RJ2" s="454"/>
      <c r="RK2" s="454"/>
      <c r="RL2" s="454"/>
      <c r="RM2" s="454"/>
      <c r="RN2" s="454"/>
      <c r="RO2" s="454"/>
      <c r="RP2" s="454"/>
      <c r="RQ2" s="454"/>
      <c r="RR2" s="454"/>
      <c r="RS2" s="454"/>
      <c r="RU2" s="454" t="s">
        <v>76</v>
      </c>
      <c r="RV2" s="454"/>
      <c r="RW2" s="454"/>
      <c r="RX2" s="454"/>
      <c r="RY2" s="454"/>
      <c r="RZ2" s="454"/>
      <c r="SA2" s="454"/>
      <c r="SB2" s="454"/>
      <c r="SC2" s="454"/>
      <c r="SD2" s="454"/>
      <c r="SE2" s="454"/>
      <c r="SF2" s="454"/>
      <c r="SG2" s="454"/>
      <c r="SH2" s="454"/>
      <c r="SI2" s="454"/>
      <c r="SJ2" s="454"/>
      <c r="SK2" s="454"/>
      <c r="SL2" s="454"/>
      <c r="SM2" s="454"/>
      <c r="SN2" s="454"/>
      <c r="SO2" s="454"/>
      <c r="SP2" s="454"/>
      <c r="SQ2" s="454"/>
      <c r="SR2" s="454"/>
      <c r="SS2" s="454"/>
      <c r="ST2" s="454"/>
      <c r="SU2" s="454" t="s">
        <v>76</v>
      </c>
      <c r="SV2" s="454"/>
      <c r="SW2" s="454"/>
      <c r="SX2" s="454"/>
      <c r="SY2" s="454"/>
      <c r="SZ2" s="454"/>
      <c r="TA2" s="454"/>
      <c r="TB2" s="454"/>
      <c r="TC2" s="454"/>
      <c r="TD2" s="454"/>
      <c r="TE2" s="454"/>
      <c r="TF2" s="454"/>
      <c r="TG2" s="454"/>
      <c r="TH2" s="454"/>
      <c r="TI2" s="454"/>
      <c r="TJ2" s="454"/>
      <c r="TK2" s="454"/>
      <c r="TL2" s="454"/>
      <c r="TM2" s="454"/>
      <c r="TN2" s="454"/>
      <c r="TO2" s="454"/>
      <c r="TP2" s="454"/>
      <c r="TQ2" s="454"/>
      <c r="TR2" s="454"/>
      <c r="TS2" s="454"/>
      <c r="TT2" s="454"/>
      <c r="TU2" s="454"/>
      <c r="TV2" s="454"/>
    </row>
    <row r="3" spans="2:542" ht="25.5" customHeight="1" x14ac:dyDescent="0.4">
      <c r="B3" s="3"/>
      <c r="C3" s="3"/>
      <c r="D3" s="3"/>
      <c r="E3" s="3"/>
      <c r="F3" s="3"/>
      <c r="G3" s="3"/>
      <c r="P3" s="3"/>
      <c r="Q3" s="3"/>
      <c r="R3" s="3"/>
      <c r="S3" s="3"/>
      <c r="T3" s="3"/>
      <c r="U3" s="3"/>
      <c r="AD3" s="3"/>
      <c r="AE3" s="3"/>
      <c r="AF3" s="3"/>
      <c r="AG3" s="3"/>
      <c r="AH3" s="3"/>
      <c r="AI3" s="3"/>
      <c r="AR3" s="3"/>
      <c r="AS3" s="3"/>
      <c r="AT3" s="3"/>
      <c r="AU3" s="3"/>
      <c r="AV3" s="3"/>
      <c r="AW3" s="3"/>
      <c r="BF3" s="3"/>
      <c r="BG3" s="3"/>
      <c r="BH3" s="3"/>
      <c r="BI3" s="3"/>
      <c r="BJ3" s="3"/>
      <c r="BK3" s="3"/>
      <c r="BT3" s="3"/>
      <c r="BU3" s="3"/>
      <c r="BV3" s="3"/>
      <c r="BW3" s="3"/>
      <c r="BX3" s="3"/>
      <c r="BY3" s="3"/>
      <c r="CH3" s="3"/>
      <c r="CI3" s="3"/>
      <c r="CJ3" s="3"/>
      <c r="CK3" s="3"/>
      <c r="CL3" s="3"/>
      <c r="CM3" s="3"/>
      <c r="CV3" s="3"/>
      <c r="CW3" s="3"/>
      <c r="CX3" s="3"/>
      <c r="CY3" s="3"/>
      <c r="CZ3" s="3"/>
      <c r="DA3" s="3"/>
      <c r="DJ3" s="3"/>
      <c r="DK3" s="3"/>
      <c r="DL3" s="3"/>
      <c r="DM3" s="3"/>
      <c r="DN3" s="3"/>
      <c r="DO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</row>
    <row r="4" spans="2:542" ht="29.25" customHeight="1" x14ac:dyDescent="0.4">
      <c r="B4" s="28" t="s">
        <v>72</v>
      </c>
      <c r="P4" s="28" t="s">
        <v>72</v>
      </c>
      <c r="AD4" s="28" t="s">
        <v>72</v>
      </c>
      <c r="AR4" s="28" t="s">
        <v>72</v>
      </c>
      <c r="BF4" s="28" t="s">
        <v>72</v>
      </c>
      <c r="BT4" s="28" t="s">
        <v>72</v>
      </c>
      <c r="CH4" s="28" t="s">
        <v>72</v>
      </c>
      <c r="CV4" s="28" t="s">
        <v>72</v>
      </c>
      <c r="DJ4" s="28" t="s">
        <v>72</v>
      </c>
      <c r="EJ4" s="28" t="s">
        <v>72</v>
      </c>
      <c r="EK4" s="1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28" t="s">
        <v>72</v>
      </c>
      <c r="FL4" s="1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28" t="s">
        <v>72</v>
      </c>
      <c r="GL4" s="1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28" t="s">
        <v>72</v>
      </c>
      <c r="HL4" s="1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28" t="s">
        <v>72</v>
      </c>
      <c r="IL4" s="1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28" t="s">
        <v>72</v>
      </c>
      <c r="JL4" s="1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28" t="s">
        <v>72</v>
      </c>
      <c r="KM4" s="1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28" t="s">
        <v>72</v>
      </c>
      <c r="LM4" s="1"/>
      <c r="LR4" s="28"/>
      <c r="LS4" s="1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28" t="s">
        <v>72</v>
      </c>
      <c r="MR4" s="1"/>
      <c r="MW4" s="28"/>
      <c r="MX4" s="1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28" t="s">
        <v>72</v>
      </c>
      <c r="NS4" s="1"/>
      <c r="NX4" s="28"/>
      <c r="NY4" s="1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28" t="s">
        <v>72</v>
      </c>
      <c r="OT4" s="1"/>
      <c r="OY4" s="28"/>
      <c r="OZ4" s="1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28" t="s">
        <v>72</v>
      </c>
      <c r="PU4" s="1"/>
      <c r="PZ4" s="28"/>
      <c r="QA4" s="1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28" t="s">
        <v>72</v>
      </c>
      <c r="QU4" s="1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28" t="s">
        <v>72</v>
      </c>
      <c r="RV4" s="1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28" t="s">
        <v>72</v>
      </c>
      <c r="SV4" s="1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</row>
    <row r="5" spans="2:542" ht="29.25" customHeight="1" x14ac:dyDescent="0.4">
      <c r="B5" s="1" t="s">
        <v>71</v>
      </c>
      <c r="C5" s="2"/>
      <c r="G5" s="3"/>
      <c r="P5" s="1" t="s">
        <v>71</v>
      </c>
      <c r="Q5" s="2"/>
      <c r="U5" s="3"/>
      <c r="AD5" s="1" t="s">
        <v>71</v>
      </c>
      <c r="AE5" s="2"/>
      <c r="AI5" s="3"/>
      <c r="AR5" s="1" t="s">
        <v>71</v>
      </c>
      <c r="AS5" s="2"/>
      <c r="AW5" s="3"/>
      <c r="BF5" s="1" t="s">
        <v>71</v>
      </c>
      <c r="BG5" s="2"/>
      <c r="BK5" s="3"/>
      <c r="BT5" s="1" t="s">
        <v>71</v>
      </c>
      <c r="BU5" s="2"/>
      <c r="BY5" s="3"/>
      <c r="CH5" s="1" t="s">
        <v>71</v>
      </c>
      <c r="CI5" s="2"/>
      <c r="CM5" s="3"/>
      <c r="CV5" s="1" t="s">
        <v>71</v>
      </c>
      <c r="CW5" s="2"/>
      <c r="DA5" s="3"/>
      <c r="DJ5" s="1" t="s">
        <v>71</v>
      </c>
      <c r="DK5" s="2"/>
      <c r="DO5" s="3"/>
      <c r="EJ5" s="1" t="s">
        <v>71</v>
      </c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1" t="s">
        <v>71</v>
      </c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1" t="s">
        <v>71</v>
      </c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1" t="s">
        <v>71</v>
      </c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1" t="s">
        <v>71</v>
      </c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1" t="s">
        <v>71</v>
      </c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1" t="s">
        <v>71</v>
      </c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1" t="s">
        <v>71</v>
      </c>
      <c r="LQ5" s="3"/>
      <c r="LR5" s="1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1" t="s">
        <v>71</v>
      </c>
      <c r="MV5" s="3"/>
      <c r="MW5" s="1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1" t="s">
        <v>71</v>
      </c>
      <c r="NW5" s="3"/>
      <c r="NX5" s="1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1" t="s">
        <v>71</v>
      </c>
      <c r="OX5" s="3"/>
      <c r="OY5" s="1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1" t="s">
        <v>71</v>
      </c>
      <c r="PY5" s="3"/>
      <c r="PZ5" s="1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1" t="s">
        <v>71</v>
      </c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1" t="s">
        <v>71</v>
      </c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1" t="s">
        <v>71</v>
      </c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</row>
    <row r="6" spans="2:542" ht="27" customHeight="1" x14ac:dyDescent="0.4">
      <c r="B6" s="1"/>
      <c r="C6" s="2"/>
      <c r="G6" s="3"/>
      <c r="P6" s="1"/>
      <c r="Q6" s="2"/>
      <c r="U6" s="3"/>
      <c r="AD6" s="1"/>
      <c r="AE6" s="2"/>
      <c r="AI6" s="3"/>
      <c r="AR6" s="1"/>
      <c r="AS6" s="2"/>
      <c r="AW6" s="3"/>
      <c r="BF6" s="1"/>
      <c r="BG6" s="2"/>
      <c r="BK6" s="3"/>
      <c r="BT6" s="1"/>
      <c r="BU6" s="2"/>
      <c r="BY6" s="3"/>
      <c r="CH6" s="1"/>
      <c r="CI6" s="2"/>
      <c r="CM6" s="3"/>
      <c r="CV6" s="1"/>
      <c r="CW6" s="2"/>
      <c r="DA6" s="3"/>
      <c r="DJ6" s="1"/>
      <c r="DK6" s="2"/>
      <c r="DO6" s="3"/>
      <c r="EJ6" s="1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1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1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1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1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1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1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1"/>
      <c r="LQ6" s="3"/>
      <c r="LR6" s="1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1"/>
      <c r="MV6" s="3"/>
      <c r="MW6" s="1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1"/>
      <c r="NW6" s="3"/>
      <c r="NX6" s="1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1"/>
      <c r="OX6" s="3"/>
      <c r="OY6" s="1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1"/>
      <c r="PY6" s="3"/>
      <c r="PZ6" s="1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1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1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1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</row>
    <row r="7" spans="2:542" ht="21.75" customHeight="1" x14ac:dyDescent="0.4">
      <c r="B7" s="1" t="s">
        <v>0</v>
      </c>
      <c r="E7" s="4"/>
      <c r="F7" s="4"/>
      <c r="G7" s="3"/>
      <c r="P7" s="1" t="s">
        <v>0</v>
      </c>
      <c r="S7" s="4"/>
      <c r="T7" s="4"/>
      <c r="U7" s="3"/>
      <c r="AD7" s="1" t="s">
        <v>0</v>
      </c>
      <c r="AG7" s="4"/>
      <c r="AH7" s="4"/>
      <c r="AI7" s="3"/>
      <c r="AR7" s="1" t="s">
        <v>0</v>
      </c>
      <c r="AU7" s="4"/>
      <c r="AV7" s="4"/>
      <c r="AW7" s="3"/>
      <c r="BF7" s="1" t="s">
        <v>0</v>
      </c>
      <c r="BI7" s="4"/>
      <c r="BJ7" s="4"/>
      <c r="BK7" s="3"/>
      <c r="BT7" s="1" t="s">
        <v>0</v>
      </c>
      <c r="BW7" s="4"/>
      <c r="BX7" s="4"/>
      <c r="BY7" s="3"/>
      <c r="CH7" s="1" t="s">
        <v>0</v>
      </c>
      <c r="CK7" s="4"/>
      <c r="CL7" s="4"/>
      <c r="CM7" s="3"/>
      <c r="CV7" s="1" t="s">
        <v>0</v>
      </c>
      <c r="CY7" s="4"/>
      <c r="CZ7" s="4"/>
      <c r="DA7" s="3"/>
      <c r="DJ7" s="1" t="s">
        <v>0</v>
      </c>
      <c r="DM7" s="4"/>
      <c r="DN7" s="4"/>
      <c r="DO7" s="3"/>
      <c r="EJ7" s="1" t="s">
        <v>0</v>
      </c>
      <c r="EK7" s="1"/>
      <c r="EM7" s="4"/>
      <c r="EN7" s="4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1" t="s">
        <v>0</v>
      </c>
      <c r="FL7" s="1"/>
      <c r="FN7" s="4"/>
      <c r="FO7" s="4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1" t="s">
        <v>0</v>
      </c>
      <c r="GL7" s="1"/>
      <c r="GN7" s="4"/>
      <c r="GO7" s="4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1" t="s">
        <v>0</v>
      </c>
      <c r="HL7" s="1"/>
      <c r="HN7" s="4"/>
      <c r="HO7" s="4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1" t="s">
        <v>0</v>
      </c>
      <c r="IL7" s="1"/>
      <c r="IN7" s="4"/>
      <c r="IO7" s="4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1" t="s">
        <v>0</v>
      </c>
      <c r="JL7" s="1"/>
      <c r="JN7" s="4"/>
      <c r="JO7" s="4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1" t="s">
        <v>0</v>
      </c>
      <c r="KM7" s="1"/>
      <c r="KO7" s="4"/>
      <c r="KP7" s="4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1" t="s">
        <v>0</v>
      </c>
      <c r="LM7" s="1"/>
      <c r="LO7" s="4"/>
      <c r="LP7" s="4"/>
      <c r="LQ7" s="3"/>
      <c r="LR7" s="1"/>
      <c r="LS7" s="1"/>
      <c r="LU7" s="4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1" t="s">
        <v>0</v>
      </c>
      <c r="MR7" s="1"/>
      <c r="MT7" s="4"/>
      <c r="MU7" s="4"/>
      <c r="MV7" s="3"/>
      <c r="MW7" s="1"/>
      <c r="MX7" s="1"/>
      <c r="MZ7" s="4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1" t="s">
        <v>0</v>
      </c>
      <c r="NS7" s="1"/>
      <c r="NU7" s="4"/>
      <c r="NV7" s="4"/>
      <c r="NW7" s="3"/>
      <c r="NX7" s="1"/>
      <c r="NY7" s="1"/>
      <c r="OA7" s="4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1" t="s">
        <v>0</v>
      </c>
      <c r="OT7" s="1"/>
      <c r="OV7" s="4"/>
      <c r="OW7" s="4"/>
      <c r="OX7" s="3"/>
      <c r="OY7" s="1"/>
      <c r="OZ7" s="1"/>
      <c r="PB7" s="4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1" t="s">
        <v>0</v>
      </c>
      <c r="PU7" s="1"/>
      <c r="PW7" s="4"/>
      <c r="PX7" s="4"/>
      <c r="PY7" s="3"/>
      <c r="PZ7" s="1"/>
      <c r="QA7" s="1"/>
      <c r="QC7" s="4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1" t="s">
        <v>0</v>
      </c>
      <c r="QU7" s="1"/>
      <c r="QW7" s="4"/>
      <c r="QX7" s="4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1" t="s">
        <v>0</v>
      </c>
      <c r="RV7" s="1"/>
      <c r="RX7" s="4"/>
      <c r="RY7" s="4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1" t="s">
        <v>0</v>
      </c>
      <c r="SV7" s="1"/>
      <c r="SX7" s="4"/>
      <c r="SY7" s="4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</row>
    <row r="8" spans="2:542" ht="29.25" customHeight="1" x14ac:dyDescent="0.4">
      <c r="B8" s="1" t="s">
        <v>147</v>
      </c>
      <c r="G8" s="3"/>
      <c r="P8" s="1" t="s">
        <v>147</v>
      </c>
      <c r="U8" s="3"/>
      <c r="AD8" s="1" t="s">
        <v>147</v>
      </c>
      <c r="AI8" s="3"/>
      <c r="AR8" s="1" t="s">
        <v>147</v>
      </c>
      <c r="AW8" s="3"/>
      <c r="BF8" s="1" t="s">
        <v>147</v>
      </c>
      <c r="BK8" s="3"/>
      <c r="BT8" s="1" t="s">
        <v>147</v>
      </c>
      <c r="BY8" s="3"/>
      <c r="CH8" s="1" t="s">
        <v>147</v>
      </c>
      <c r="CM8" s="3"/>
      <c r="CV8" s="1" t="s">
        <v>147</v>
      </c>
      <c r="DA8" s="3"/>
      <c r="DH8" s="68"/>
      <c r="DI8" s="68"/>
      <c r="DJ8" s="1" t="s">
        <v>147</v>
      </c>
      <c r="DO8" s="3"/>
      <c r="EJ8" s="1" t="s">
        <v>147</v>
      </c>
      <c r="EK8" s="1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1" t="s">
        <v>147</v>
      </c>
      <c r="FL8" s="1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1" t="s">
        <v>147</v>
      </c>
      <c r="GL8" s="1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1" t="s">
        <v>147</v>
      </c>
      <c r="HL8" s="1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1" t="s">
        <v>147</v>
      </c>
      <c r="IL8" s="1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1" t="s">
        <v>147</v>
      </c>
      <c r="JL8" s="1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1" t="s">
        <v>147</v>
      </c>
      <c r="KM8" s="1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1" t="s">
        <v>147</v>
      </c>
      <c r="LM8" s="1"/>
      <c r="LQ8" s="3"/>
      <c r="LR8" s="1"/>
      <c r="LS8" s="1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1" t="s">
        <v>147</v>
      </c>
      <c r="MR8" s="1"/>
      <c r="MV8" s="3"/>
      <c r="MW8" s="1"/>
      <c r="MX8" s="1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1" t="s">
        <v>147</v>
      </c>
      <c r="NS8" s="1"/>
      <c r="NW8" s="3"/>
      <c r="NX8" s="1"/>
      <c r="NY8" s="1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1" t="s">
        <v>147</v>
      </c>
      <c r="OT8" s="1"/>
      <c r="OX8" s="3"/>
      <c r="OY8" s="1"/>
      <c r="OZ8" s="1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1" t="s">
        <v>147</v>
      </c>
      <c r="PU8" s="1"/>
      <c r="PY8" s="3"/>
      <c r="PZ8" s="1"/>
      <c r="QA8" s="1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1" t="s">
        <v>147</v>
      </c>
      <c r="QU8" s="1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1" t="s">
        <v>147</v>
      </c>
      <c r="RV8" s="1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1" t="s">
        <v>147</v>
      </c>
      <c r="SV8" s="1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</row>
    <row r="9" spans="2:542" ht="30" customHeight="1" x14ac:dyDescent="0.4">
      <c r="B9" s="455"/>
      <c r="C9" s="455"/>
      <c r="D9" s="455"/>
      <c r="E9" s="455"/>
      <c r="F9" s="5"/>
      <c r="G9" s="6"/>
      <c r="H9" s="6"/>
      <c r="I9" s="6"/>
      <c r="J9" s="6"/>
      <c r="K9" s="6"/>
      <c r="L9" s="6"/>
      <c r="M9" s="6"/>
      <c r="N9" s="6"/>
      <c r="O9" s="6" t="s">
        <v>12</v>
      </c>
      <c r="P9" s="455"/>
      <c r="Q9" s="455"/>
      <c r="R9" s="455"/>
      <c r="S9" s="455"/>
      <c r="T9" s="5"/>
      <c r="U9" s="6"/>
      <c r="V9" s="6"/>
      <c r="W9" s="6"/>
      <c r="X9" s="6"/>
      <c r="Y9" s="6"/>
      <c r="Z9" s="6"/>
      <c r="AA9" s="6"/>
      <c r="AB9" s="6"/>
      <c r="AC9" s="6" t="s">
        <v>12</v>
      </c>
      <c r="AD9" s="455"/>
      <c r="AE9" s="455"/>
      <c r="AF9" s="455"/>
      <c r="AG9" s="455"/>
      <c r="AH9" s="5"/>
      <c r="AI9" s="6"/>
      <c r="AJ9" s="6"/>
      <c r="AK9" s="6"/>
      <c r="AL9" s="6"/>
      <c r="AM9" s="6"/>
      <c r="AN9" s="6"/>
      <c r="AO9" s="6"/>
      <c r="AP9" s="6"/>
      <c r="AQ9" s="6" t="s">
        <v>12</v>
      </c>
      <c r="AR9" s="455"/>
      <c r="AS9" s="455"/>
      <c r="AT9" s="455"/>
      <c r="AU9" s="455"/>
      <c r="AV9" s="5"/>
      <c r="AW9" s="6"/>
      <c r="AX9" s="6"/>
      <c r="AY9" s="6"/>
      <c r="AZ9" s="6"/>
      <c r="BA9" s="6"/>
      <c r="BB9" s="6"/>
      <c r="BC9" s="6"/>
      <c r="BD9" s="6"/>
      <c r="BE9" s="6" t="s">
        <v>12</v>
      </c>
      <c r="BF9" s="455"/>
      <c r="BG9" s="455"/>
      <c r="BH9" s="455"/>
      <c r="BI9" s="455"/>
      <c r="BJ9" s="5"/>
      <c r="BK9" s="6"/>
      <c r="BL9" s="6"/>
      <c r="BM9" s="6"/>
      <c r="BN9" s="6"/>
      <c r="BO9" s="6"/>
      <c r="BP9" s="6"/>
      <c r="BQ9" s="6"/>
      <c r="BR9" s="6"/>
      <c r="BS9" s="6" t="s">
        <v>12</v>
      </c>
      <c r="BT9" s="455"/>
      <c r="BU9" s="455"/>
      <c r="BV9" s="455"/>
      <c r="BW9" s="455"/>
      <c r="BX9" s="5"/>
      <c r="BY9" s="6"/>
      <c r="BZ9" s="6"/>
      <c r="CA9" s="6"/>
      <c r="CB9" s="6"/>
      <c r="CC9" s="6"/>
      <c r="CD9" s="6"/>
      <c r="CE9" s="6"/>
      <c r="CF9" s="6"/>
      <c r="CG9" s="6" t="s">
        <v>12</v>
      </c>
      <c r="CH9" s="455"/>
      <c r="CI9" s="455"/>
      <c r="CJ9" s="455"/>
      <c r="CK9" s="455"/>
      <c r="CL9" s="5"/>
      <c r="CM9" s="6"/>
      <c r="CN9" s="6"/>
      <c r="CO9" s="6"/>
      <c r="CP9" s="6"/>
      <c r="CQ9" s="6"/>
      <c r="CR9" s="6"/>
      <c r="CS9" s="6"/>
      <c r="CT9" s="6"/>
      <c r="CU9" s="6" t="s">
        <v>12</v>
      </c>
      <c r="CV9" s="455"/>
      <c r="CW9" s="455"/>
      <c r="CX9" s="455"/>
      <c r="CY9" s="455"/>
      <c r="CZ9" s="5"/>
      <c r="DA9" s="6"/>
      <c r="DB9" s="6"/>
      <c r="DC9" s="6"/>
      <c r="DD9" s="6"/>
      <c r="DE9" s="6" t="s">
        <v>291</v>
      </c>
      <c r="DF9" s="6"/>
      <c r="DG9" s="6"/>
      <c r="DH9" s="69"/>
      <c r="DI9" s="69"/>
      <c r="DJ9" s="455"/>
      <c r="DK9" s="455"/>
      <c r="DL9" s="455"/>
      <c r="DM9" s="455"/>
      <c r="DN9" s="5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I9" s="79" t="s">
        <v>12</v>
      </c>
      <c r="EJ9" s="455"/>
      <c r="EK9" s="455"/>
      <c r="EL9" s="455"/>
      <c r="EM9" s="455"/>
      <c r="EN9" s="5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 t="s">
        <v>291</v>
      </c>
      <c r="FJ9" s="6" t="s">
        <v>12</v>
      </c>
      <c r="FK9" s="455"/>
      <c r="FL9" s="455"/>
      <c r="FM9" s="455"/>
      <c r="FN9" s="455"/>
      <c r="FO9" s="5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 t="s">
        <v>291</v>
      </c>
      <c r="GK9" s="455"/>
      <c r="GL9" s="455"/>
      <c r="GM9" s="455"/>
      <c r="GN9" s="455"/>
      <c r="GO9" s="5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 t="s">
        <v>12</v>
      </c>
      <c r="HK9" s="455"/>
      <c r="HL9" s="455"/>
      <c r="HM9" s="455"/>
      <c r="HN9" s="455"/>
      <c r="HO9" s="5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 t="s">
        <v>12</v>
      </c>
      <c r="IK9" s="455"/>
      <c r="IL9" s="455"/>
      <c r="IM9" s="455"/>
      <c r="IN9" s="455"/>
      <c r="IO9" s="5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 t="s">
        <v>12</v>
      </c>
      <c r="JK9" s="455"/>
      <c r="JL9" s="455"/>
      <c r="JM9" s="455"/>
      <c r="JN9" s="455"/>
      <c r="JO9" s="5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 t="s">
        <v>12</v>
      </c>
      <c r="KL9" s="455"/>
      <c r="KM9" s="455"/>
      <c r="KN9" s="455"/>
      <c r="KO9" s="455"/>
      <c r="KP9" s="5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 t="s">
        <v>12</v>
      </c>
      <c r="LL9" s="455"/>
      <c r="LM9" s="455"/>
      <c r="LN9" s="455"/>
      <c r="LO9" s="455"/>
      <c r="LP9" s="5"/>
      <c r="LQ9" s="6"/>
      <c r="LR9" s="455"/>
      <c r="LS9" s="455"/>
      <c r="LT9" s="455"/>
      <c r="LU9" s="455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 t="s">
        <v>12</v>
      </c>
      <c r="MQ9" s="455"/>
      <c r="MR9" s="455"/>
      <c r="MS9" s="455"/>
      <c r="MT9" s="455"/>
      <c r="MU9" s="5"/>
      <c r="MV9" s="6"/>
      <c r="MW9" s="455"/>
      <c r="MX9" s="455"/>
      <c r="MY9" s="455"/>
      <c r="MZ9" s="455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 t="s">
        <v>12</v>
      </c>
      <c r="NQ9" s="6" t="s">
        <v>12</v>
      </c>
      <c r="NR9" s="455"/>
      <c r="NS9" s="455"/>
      <c r="NT9" s="455"/>
      <c r="NU9" s="455"/>
      <c r="NV9" s="5"/>
      <c r="NW9" s="6"/>
      <c r="NX9" s="455"/>
      <c r="NY9" s="455"/>
      <c r="NZ9" s="455"/>
      <c r="OA9" s="455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 t="s">
        <v>12</v>
      </c>
      <c r="OR9" s="6" t="s">
        <v>12</v>
      </c>
      <c r="OS9" s="455"/>
      <c r="OT9" s="455"/>
      <c r="OU9" s="455"/>
      <c r="OV9" s="455"/>
      <c r="OW9" s="5"/>
      <c r="OX9" s="6"/>
      <c r="OY9" s="455"/>
      <c r="OZ9" s="455"/>
      <c r="PA9" s="455"/>
      <c r="PB9" s="455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 t="s">
        <v>12</v>
      </c>
      <c r="PS9" s="6"/>
      <c r="PT9" s="455"/>
      <c r="PU9" s="455"/>
      <c r="PV9" s="455"/>
      <c r="PW9" s="455"/>
      <c r="PX9" s="5"/>
      <c r="PY9" s="6"/>
      <c r="PZ9" s="455"/>
      <c r="QA9" s="455"/>
      <c r="QB9" s="455"/>
      <c r="QC9" s="455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 t="s">
        <v>12</v>
      </c>
      <c r="QT9" s="455"/>
      <c r="QU9" s="455"/>
      <c r="QV9" s="455"/>
      <c r="QW9" s="455"/>
      <c r="QX9" s="5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 t="s">
        <v>12</v>
      </c>
      <c r="RT9" s="6" t="s">
        <v>12</v>
      </c>
      <c r="RU9" s="455"/>
      <c r="RV9" s="455"/>
      <c r="RW9" s="455"/>
      <c r="RX9" s="455"/>
      <c r="RY9" s="5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 t="s">
        <v>291</v>
      </c>
      <c r="SU9" s="455"/>
      <c r="SV9" s="455"/>
      <c r="SW9" s="455"/>
      <c r="SX9" s="455"/>
      <c r="SY9" s="5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 t="s">
        <v>291</v>
      </c>
    </row>
    <row r="10" spans="2:542" ht="30" customHeight="1" x14ac:dyDescent="0.4">
      <c r="B10" s="461" t="s">
        <v>9</v>
      </c>
      <c r="C10" s="648"/>
      <c r="D10" s="648"/>
      <c r="E10" s="648"/>
      <c r="F10" s="648"/>
      <c r="G10" s="648"/>
      <c r="H10" s="457">
        <v>1</v>
      </c>
      <c r="I10" s="460"/>
      <c r="J10" s="457">
        <v>2</v>
      </c>
      <c r="K10" s="460"/>
      <c r="L10" s="457">
        <v>3</v>
      </c>
      <c r="M10" s="460"/>
      <c r="N10" s="457">
        <v>4</v>
      </c>
      <c r="O10" s="460"/>
      <c r="P10" s="461" t="s">
        <v>9</v>
      </c>
      <c r="Q10" s="648"/>
      <c r="R10" s="648"/>
      <c r="S10" s="648"/>
      <c r="T10" s="648"/>
      <c r="U10" s="648"/>
      <c r="V10" s="457">
        <v>5</v>
      </c>
      <c r="W10" s="460"/>
      <c r="X10" s="457">
        <v>6</v>
      </c>
      <c r="Y10" s="460"/>
      <c r="Z10" s="457">
        <v>7</v>
      </c>
      <c r="AA10" s="460"/>
      <c r="AB10" s="457">
        <v>8</v>
      </c>
      <c r="AC10" s="460"/>
      <c r="AD10" s="461" t="s">
        <v>9</v>
      </c>
      <c r="AE10" s="648"/>
      <c r="AF10" s="648"/>
      <c r="AG10" s="648"/>
      <c r="AH10" s="648"/>
      <c r="AI10" s="648"/>
      <c r="AJ10" s="457">
        <v>9</v>
      </c>
      <c r="AK10" s="460"/>
      <c r="AL10" s="457">
        <v>10</v>
      </c>
      <c r="AM10" s="460"/>
      <c r="AN10" s="457">
        <v>11</v>
      </c>
      <c r="AO10" s="460"/>
      <c r="AP10" s="457">
        <v>12</v>
      </c>
      <c r="AQ10" s="460"/>
      <c r="AR10" s="461" t="s">
        <v>9</v>
      </c>
      <c r="AS10" s="648"/>
      <c r="AT10" s="648"/>
      <c r="AU10" s="648"/>
      <c r="AV10" s="648"/>
      <c r="AW10" s="648"/>
      <c r="AX10" s="457">
        <v>13</v>
      </c>
      <c r="AY10" s="460"/>
      <c r="AZ10" s="457">
        <v>14</v>
      </c>
      <c r="BA10" s="460"/>
      <c r="BB10" s="457">
        <v>15</v>
      </c>
      <c r="BC10" s="460"/>
      <c r="BD10" s="457">
        <v>16</v>
      </c>
      <c r="BE10" s="460"/>
      <c r="BF10" s="461" t="s">
        <v>9</v>
      </c>
      <c r="BG10" s="648"/>
      <c r="BH10" s="648"/>
      <c r="BI10" s="648"/>
      <c r="BJ10" s="648"/>
      <c r="BK10" s="648"/>
      <c r="BL10" s="457">
        <v>17</v>
      </c>
      <c r="BM10" s="460"/>
      <c r="BN10" s="457">
        <v>18</v>
      </c>
      <c r="BO10" s="460"/>
      <c r="BP10" s="457">
        <v>19</v>
      </c>
      <c r="BQ10" s="460"/>
      <c r="BR10" s="457">
        <v>20</v>
      </c>
      <c r="BS10" s="460"/>
      <c r="BT10" s="461" t="s">
        <v>9</v>
      </c>
      <c r="BU10" s="648"/>
      <c r="BV10" s="648"/>
      <c r="BW10" s="648"/>
      <c r="BX10" s="648"/>
      <c r="BY10" s="648"/>
      <c r="BZ10" s="457">
        <v>21</v>
      </c>
      <c r="CA10" s="460"/>
      <c r="CB10" s="457">
        <v>22</v>
      </c>
      <c r="CC10" s="460"/>
      <c r="CD10" s="457">
        <v>23</v>
      </c>
      <c r="CE10" s="460"/>
      <c r="CF10" s="457">
        <v>24</v>
      </c>
      <c r="CG10" s="460"/>
      <c r="CH10" s="461" t="s">
        <v>9</v>
      </c>
      <c r="CI10" s="648"/>
      <c r="CJ10" s="648"/>
      <c r="CK10" s="648"/>
      <c r="CL10" s="648"/>
      <c r="CM10" s="648"/>
      <c r="CN10" s="457">
        <v>25</v>
      </c>
      <c r="CO10" s="460"/>
      <c r="CP10" s="457">
        <v>26</v>
      </c>
      <c r="CQ10" s="460"/>
      <c r="CR10" s="457">
        <v>27</v>
      </c>
      <c r="CS10" s="460"/>
      <c r="CT10" s="457">
        <v>28</v>
      </c>
      <c r="CU10" s="460"/>
      <c r="CV10" s="461" t="s">
        <v>9</v>
      </c>
      <c r="CW10" s="648"/>
      <c r="CX10" s="648"/>
      <c r="CY10" s="648"/>
      <c r="CZ10" s="648"/>
      <c r="DA10" s="648"/>
      <c r="DB10" s="457">
        <v>29</v>
      </c>
      <c r="DC10" s="460"/>
      <c r="DD10" s="457">
        <v>30</v>
      </c>
      <c r="DE10" s="460"/>
      <c r="DF10" s="650"/>
      <c r="DG10" s="649"/>
      <c r="DH10" s="649"/>
      <c r="DI10" s="649"/>
      <c r="DJ10" s="461" t="s">
        <v>9</v>
      </c>
      <c r="DK10" s="648"/>
      <c r="DL10" s="648"/>
      <c r="DM10" s="648"/>
      <c r="DN10" s="648"/>
      <c r="DO10" s="648"/>
      <c r="DP10" s="457">
        <v>31</v>
      </c>
      <c r="DQ10" s="459"/>
      <c r="DR10" s="459"/>
      <c r="DS10" s="459"/>
      <c r="DT10" s="459"/>
      <c r="DU10" s="457">
        <v>32</v>
      </c>
      <c r="DV10" s="459"/>
      <c r="DW10" s="459"/>
      <c r="DX10" s="459"/>
      <c r="DY10" s="459"/>
      <c r="DZ10" s="457">
        <v>33</v>
      </c>
      <c r="EA10" s="459"/>
      <c r="EB10" s="459"/>
      <c r="EC10" s="459"/>
      <c r="ED10" s="459"/>
      <c r="EE10" s="457">
        <v>34</v>
      </c>
      <c r="EF10" s="459"/>
      <c r="EG10" s="459"/>
      <c r="EH10" s="459"/>
      <c r="EI10" s="460"/>
      <c r="EJ10" s="457" t="s">
        <v>9</v>
      </c>
      <c r="EK10" s="459"/>
      <c r="EL10" s="459"/>
      <c r="EM10" s="459"/>
      <c r="EN10" s="459"/>
      <c r="EO10" s="460"/>
      <c r="EP10" s="457">
        <v>35</v>
      </c>
      <c r="EQ10" s="459"/>
      <c r="ER10" s="459"/>
      <c r="ES10" s="459"/>
      <c r="ET10" s="459"/>
      <c r="EU10" s="457">
        <v>36</v>
      </c>
      <c r="EV10" s="459"/>
      <c r="EW10" s="459"/>
      <c r="EX10" s="459"/>
      <c r="EY10" s="459"/>
      <c r="EZ10" s="457">
        <v>37</v>
      </c>
      <c r="FA10" s="459"/>
      <c r="FB10" s="459"/>
      <c r="FC10" s="459"/>
      <c r="FD10" s="459"/>
      <c r="FE10" s="457">
        <v>38</v>
      </c>
      <c r="FF10" s="459"/>
      <c r="FG10" s="459"/>
      <c r="FH10" s="459"/>
      <c r="FI10" s="460"/>
      <c r="FJ10" s="73"/>
      <c r="FK10" s="457" t="s">
        <v>9</v>
      </c>
      <c r="FL10" s="459"/>
      <c r="FM10" s="459"/>
      <c r="FN10" s="459"/>
      <c r="FO10" s="459"/>
      <c r="FP10" s="460"/>
      <c r="FQ10" s="457">
        <v>39</v>
      </c>
      <c r="FR10" s="459"/>
      <c r="FS10" s="459"/>
      <c r="FT10" s="459"/>
      <c r="FU10" s="459"/>
      <c r="FV10" s="457">
        <v>40</v>
      </c>
      <c r="FW10" s="459"/>
      <c r="FX10" s="459"/>
      <c r="FY10" s="459"/>
      <c r="FZ10" s="459"/>
      <c r="GA10" s="457">
        <v>41</v>
      </c>
      <c r="GB10" s="459"/>
      <c r="GC10" s="459"/>
      <c r="GD10" s="459"/>
      <c r="GE10" s="460"/>
      <c r="GF10" s="457">
        <v>42</v>
      </c>
      <c r="GG10" s="459"/>
      <c r="GH10" s="459"/>
      <c r="GI10" s="459"/>
      <c r="GJ10" s="460"/>
      <c r="GK10" s="457" t="s">
        <v>9</v>
      </c>
      <c r="GL10" s="459"/>
      <c r="GM10" s="459"/>
      <c r="GN10" s="459"/>
      <c r="GO10" s="459"/>
      <c r="GP10" s="460"/>
      <c r="GQ10" s="457">
        <v>43</v>
      </c>
      <c r="GR10" s="459"/>
      <c r="GS10" s="459"/>
      <c r="GT10" s="459"/>
      <c r="GU10" s="460"/>
      <c r="GV10" s="457">
        <v>44</v>
      </c>
      <c r="GW10" s="459"/>
      <c r="GX10" s="459"/>
      <c r="GY10" s="459"/>
      <c r="GZ10" s="460"/>
      <c r="HA10" s="457">
        <v>45</v>
      </c>
      <c r="HB10" s="459"/>
      <c r="HC10" s="459"/>
      <c r="HD10" s="459"/>
      <c r="HE10" s="460"/>
      <c r="HF10" s="457">
        <v>46</v>
      </c>
      <c r="HG10" s="459"/>
      <c r="HH10" s="459"/>
      <c r="HI10" s="459"/>
      <c r="HJ10" s="460"/>
      <c r="HK10" s="457" t="s">
        <v>9</v>
      </c>
      <c r="HL10" s="459"/>
      <c r="HM10" s="459"/>
      <c r="HN10" s="459"/>
      <c r="HO10" s="459"/>
      <c r="HP10" s="460"/>
      <c r="HQ10" s="457">
        <v>47</v>
      </c>
      <c r="HR10" s="459"/>
      <c r="HS10" s="459"/>
      <c r="HT10" s="459"/>
      <c r="HU10" s="460"/>
      <c r="HV10" s="457">
        <v>48</v>
      </c>
      <c r="HW10" s="459"/>
      <c r="HX10" s="459"/>
      <c r="HY10" s="459"/>
      <c r="HZ10" s="460"/>
      <c r="IA10" s="457">
        <v>49</v>
      </c>
      <c r="IB10" s="459"/>
      <c r="IC10" s="459"/>
      <c r="ID10" s="459"/>
      <c r="IE10" s="460"/>
      <c r="IF10" s="457">
        <v>50</v>
      </c>
      <c r="IG10" s="459"/>
      <c r="IH10" s="459"/>
      <c r="II10" s="459"/>
      <c r="IJ10" s="460"/>
      <c r="IK10" s="457" t="s">
        <v>9</v>
      </c>
      <c r="IL10" s="459"/>
      <c r="IM10" s="459"/>
      <c r="IN10" s="459"/>
      <c r="IO10" s="459"/>
      <c r="IP10" s="460"/>
      <c r="IQ10" s="457">
        <v>51</v>
      </c>
      <c r="IR10" s="459"/>
      <c r="IS10" s="459"/>
      <c r="IT10" s="459"/>
      <c r="IU10" s="460"/>
      <c r="IV10" s="457">
        <v>52</v>
      </c>
      <c r="IW10" s="459"/>
      <c r="IX10" s="459"/>
      <c r="IY10" s="459"/>
      <c r="IZ10" s="460"/>
      <c r="JA10" s="457">
        <v>53</v>
      </c>
      <c r="JB10" s="459"/>
      <c r="JC10" s="459"/>
      <c r="JD10" s="459"/>
      <c r="JE10" s="460"/>
      <c r="JF10" s="457">
        <v>54</v>
      </c>
      <c r="JG10" s="459"/>
      <c r="JH10" s="459"/>
      <c r="JI10" s="459"/>
      <c r="JJ10" s="460"/>
      <c r="JK10" s="457" t="s">
        <v>9</v>
      </c>
      <c r="JL10" s="459"/>
      <c r="JM10" s="459"/>
      <c r="JN10" s="459"/>
      <c r="JO10" s="459"/>
      <c r="JP10" s="460"/>
      <c r="JQ10" s="457">
        <v>55</v>
      </c>
      <c r="JR10" s="459"/>
      <c r="JS10" s="459"/>
      <c r="JT10" s="459"/>
      <c r="JU10" s="460"/>
      <c r="JV10" s="457">
        <v>56</v>
      </c>
      <c r="JW10" s="459"/>
      <c r="JX10" s="459"/>
      <c r="JY10" s="459"/>
      <c r="JZ10" s="460"/>
      <c r="KA10" s="457">
        <v>57</v>
      </c>
      <c r="KB10" s="459"/>
      <c r="KC10" s="459"/>
      <c r="KD10" s="459"/>
      <c r="KE10" s="459"/>
      <c r="KF10" s="108"/>
      <c r="KG10" s="457">
        <v>58</v>
      </c>
      <c r="KH10" s="459"/>
      <c r="KI10" s="459"/>
      <c r="KJ10" s="459"/>
      <c r="KK10" s="460"/>
      <c r="KL10" s="457" t="s">
        <v>9</v>
      </c>
      <c r="KM10" s="459"/>
      <c r="KN10" s="459"/>
      <c r="KO10" s="459"/>
      <c r="KP10" s="459"/>
      <c r="KQ10" s="460"/>
      <c r="KR10" s="457">
        <v>59</v>
      </c>
      <c r="KS10" s="459"/>
      <c r="KT10" s="459"/>
      <c r="KU10" s="459"/>
      <c r="KV10" s="460"/>
      <c r="KW10" s="457">
        <v>60</v>
      </c>
      <c r="KX10" s="459"/>
      <c r="KY10" s="459"/>
      <c r="KZ10" s="459"/>
      <c r="LA10" s="460"/>
      <c r="LB10" s="457">
        <v>61</v>
      </c>
      <c r="LC10" s="459"/>
      <c r="LD10" s="459"/>
      <c r="LE10" s="459"/>
      <c r="LF10" s="460"/>
      <c r="LG10" s="457">
        <v>62</v>
      </c>
      <c r="LH10" s="459"/>
      <c r="LI10" s="459"/>
      <c r="LJ10" s="459"/>
      <c r="LK10" s="460"/>
      <c r="LL10" s="457" t="s">
        <v>9</v>
      </c>
      <c r="LM10" s="459"/>
      <c r="LN10" s="459"/>
      <c r="LO10" s="459"/>
      <c r="LP10" s="459"/>
      <c r="LQ10" s="460"/>
      <c r="LR10" s="457">
        <v>63</v>
      </c>
      <c r="LS10" s="459"/>
      <c r="LT10" s="459"/>
      <c r="LU10" s="459"/>
      <c r="LV10" s="460"/>
      <c r="LW10" s="457">
        <v>64</v>
      </c>
      <c r="LX10" s="459"/>
      <c r="LY10" s="459"/>
      <c r="LZ10" s="459"/>
      <c r="MA10" s="460"/>
      <c r="MB10" s="457">
        <v>65</v>
      </c>
      <c r="MC10" s="459"/>
      <c r="MD10" s="459"/>
      <c r="ME10" s="459"/>
      <c r="MF10" s="460"/>
      <c r="MG10" s="457">
        <v>66</v>
      </c>
      <c r="MH10" s="459"/>
      <c r="MI10" s="459"/>
      <c r="MJ10" s="459"/>
      <c r="MK10" s="459"/>
      <c r="ML10" s="459"/>
      <c r="MM10" s="459"/>
      <c r="MN10" s="459"/>
      <c r="MO10" s="459"/>
      <c r="MP10" s="460"/>
      <c r="MQ10" s="457" t="s">
        <v>9</v>
      </c>
      <c r="MR10" s="459"/>
      <c r="MS10" s="459"/>
      <c r="MT10" s="459"/>
      <c r="MU10" s="459"/>
      <c r="MV10" s="460"/>
      <c r="MW10" s="457">
        <v>67</v>
      </c>
      <c r="MX10" s="459"/>
      <c r="MY10" s="459"/>
      <c r="MZ10" s="459"/>
      <c r="NA10" s="460"/>
      <c r="NB10" s="457">
        <v>68</v>
      </c>
      <c r="NC10" s="459"/>
      <c r="ND10" s="459"/>
      <c r="NE10" s="459"/>
      <c r="NF10" s="460"/>
      <c r="NG10" s="457">
        <v>69</v>
      </c>
      <c r="NH10" s="459"/>
      <c r="NI10" s="459"/>
      <c r="NJ10" s="459"/>
      <c r="NK10" s="460"/>
      <c r="NL10" s="457">
        <v>70</v>
      </c>
      <c r="NM10" s="459"/>
      <c r="NN10" s="459"/>
      <c r="NO10" s="459"/>
      <c r="NP10" s="460"/>
      <c r="NQ10" s="73"/>
      <c r="NR10" s="457" t="s">
        <v>9</v>
      </c>
      <c r="NS10" s="459"/>
      <c r="NT10" s="459"/>
      <c r="NU10" s="459"/>
      <c r="NV10" s="459"/>
      <c r="NW10" s="460"/>
      <c r="NX10" s="457">
        <v>71</v>
      </c>
      <c r="NY10" s="459"/>
      <c r="NZ10" s="459"/>
      <c r="OA10" s="459"/>
      <c r="OB10" s="460"/>
      <c r="OC10" s="457">
        <v>72</v>
      </c>
      <c r="OD10" s="459"/>
      <c r="OE10" s="459"/>
      <c r="OF10" s="459"/>
      <c r="OG10" s="460"/>
      <c r="OH10" s="457">
        <v>73</v>
      </c>
      <c r="OI10" s="459"/>
      <c r="OJ10" s="459"/>
      <c r="OK10" s="459"/>
      <c r="OL10" s="460"/>
      <c r="OM10" s="457">
        <v>74</v>
      </c>
      <c r="ON10" s="459"/>
      <c r="OO10" s="459"/>
      <c r="OP10" s="459"/>
      <c r="OQ10" s="460"/>
      <c r="OR10" s="73"/>
      <c r="OS10" s="457" t="s">
        <v>9</v>
      </c>
      <c r="OT10" s="459"/>
      <c r="OU10" s="459"/>
      <c r="OV10" s="459"/>
      <c r="OW10" s="459"/>
      <c r="OX10" s="460"/>
      <c r="OY10" s="457">
        <v>75</v>
      </c>
      <c r="OZ10" s="459"/>
      <c r="PA10" s="459"/>
      <c r="PB10" s="459"/>
      <c r="PC10" s="460"/>
      <c r="PD10" s="457">
        <v>76</v>
      </c>
      <c r="PE10" s="459"/>
      <c r="PF10" s="459"/>
      <c r="PG10" s="459"/>
      <c r="PH10" s="460"/>
      <c r="PI10" s="457">
        <v>77</v>
      </c>
      <c r="PJ10" s="459"/>
      <c r="PK10" s="459"/>
      <c r="PL10" s="459"/>
      <c r="PM10" s="460"/>
      <c r="PN10" s="457">
        <v>78</v>
      </c>
      <c r="PO10" s="459"/>
      <c r="PP10" s="459"/>
      <c r="PQ10" s="459"/>
      <c r="PR10" s="460"/>
      <c r="PS10" s="186"/>
      <c r="PT10" s="457" t="s">
        <v>9</v>
      </c>
      <c r="PU10" s="459"/>
      <c r="PV10" s="459"/>
      <c r="PW10" s="459"/>
      <c r="PX10" s="459"/>
      <c r="PY10" s="460"/>
      <c r="PZ10" s="457">
        <v>79</v>
      </c>
      <c r="QA10" s="459"/>
      <c r="QB10" s="459"/>
      <c r="QC10" s="459"/>
      <c r="QD10" s="460"/>
      <c r="QE10" s="457">
        <v>80</v>
      </c>
      <c r="QF10" s="459"/>
      <c r="QG10" s="459"/>
      <c r="QH10" s="459"/>
      <c r="QI10" s="460"/>
      <c r="QJ10" s="457">
        <v>81</v>
      </c>
      <c r="QK10" s="459"/>
      <c r="QL10" s="459"/>
      <c r="QM10" s="459"/>
      <c r="QN10" s="460"/>
      <c r="QO10" s="457">
        <v>82</v>
      </c>
      <c r="QP10" s="459"/>
      <c r="QQ10" s="459"/>
      <c r="QR10" s="459"/>
      <c r="QS10" s="460"/>
      <c r="QT10" s="457" t="s">
        <v>9</v>
      </c>
      <c r="QU10" s="459"/>
      <c r="QV10" s="459"/>
      <c r="QW10" s="459"/>
      <c r="QX10" s="459"/>
      <c r="QY10" s="460"/>
      <c r="QZ10" s="457">
        <v>83</v>
      </c>
      <c r="RA10" s="459"/>
      <c r="RB10" s="459"/>
      <c r="RC10" s="459"/>
      <c r="RD10" s="460"/>
      <c r="RE10" s="457">
        <v>84</v>
      </c>
      <c r="RF10" s="459"/>
      <c r="RG10" s="459"/>
      <c r="RH10" s="459"/>
      <c r="RI10" s="460"/>
      <c r="RJ10" s="457">
        <v>85</v>
      </c>
      <c r="RK10" s="459"/>
      <c r="RL10" s="459"/>
      <c r="RM10" s="459"/>
      <c r="RN10" s="460"/>
      <c r="RO10" s="457">
        <v>86</v>
      </c>
      <c r="RP10" s="459"/>
      <c r="RQ10" s="459"/>
      <c r="RR10" s="459"/>
      <c r="RS10" s="460"/>
      <c r="RT10" s="73"/>
      <c r="RU10" s="457" t="s">
        <v>9</v>
      </c>
      <c r="RV10" s="459"/>
      <c r="RW10" s="459"/>
      <c r="RX10" s="459"/>
      <c r="RY10" s="459"/>
      <c r="RZ10" s="460"/>
      <c r="SA10" s="457">
        <v>87</v>
      </c>
      <c r="SB10" s="459"/>
      <c r="SC10" s="459"/>
      <c r="SD10" s="459"/>
      <c r="SE10" s="460"/>
      <c r="SF10" s="457">
        <v>88</v>
      </c>
      <c r="SG10" s="459"/>
      <c r="SH10" s="459"/>
      <c r="SI10" s="459"/>
      <c r="SJ10" s="460"/>
      <c r="SK10" s="457">
        <v>89</v>
      </c>
      <c r="SL10" s="459"/>
      <c r="SM10" s="459"/>
      <c r="SN10" s="459"/>
      <c r="SO10" s="460"/>
      <c r="SP10" s="457">
        <v>90</v>
      </c>
      <c r="SQ10" s="459"/>
      <c r="SR10" s="459"/>
      <c r="SS10" s="459"/>
      <c r="ST10" s="460"/>
      <c r="SU10" s="457" t="s">
        <v>9</v>
      </c>
      <c r="SV10" s="459"/>
      <c r="SW10" s="459"/>
      <c r="SX10" s="459"/>
      <c r="SY10" s="459"/>
      <c r="SZ10" s="460"/>
      <c r="TA10" s="457">
        <v>91</v>
      </c>
      <c r="TB10" s="459"/>
      <c r="TC10" s="459"/>
      <c r="TD10" s="459"/>
      <c r="TE10" s="460"/>
      <c r="TF10" s="457">
        <v>92</v>
      </c>
      <c r="TG10" s="459"/>
      <c r="TH10" s="459"/>
      <c r="TI10" s="459"/>
      <c r="TJ10" s="460"/>
      <c r="TK10" s="457">
        <v>93</v>
      </c>
      <c r="TL10" s="459"/>
      <c r="TM10" s="459"/>
      <c r="TN10" s="459"/>
      <c r="TO10" s="460"/>
      <c r="TP10" s="461"/>
      <c r="TQ10" s="461"/>
      <c r="TR10" s="461"/>
      <c r="TS10" s="461"/>
      <c r="TT10" s="73"/>
    </row>
    <row r="11" spans="2:542" ht="45" customHeight="1" x14ac:dyDescent="0.4">
      <c r="B11" s="646" t="s">
        <v>14</v>
      </c>
      <c r="C11" s="461" t="s">
        <v>13</v>
      </c>
      <c r="D11" s="461"/>
      <c r="E11" s="461"/>
      <c r="F11" s="461"/>
      <c r="G11" s="461"/>
      <c r="H11" s="34" t="s">
        <v>148</v>
      </c>
      <c r="I11" s="34" t="s">
        <v>157</v>
      </c>
      <c r="J11" s="34" t="s">
        <v>152</v>
      </c>
      <c r="K11" s="34" t="s">
        <v>163</v>
      </c>
      <c r="L11" s="34" t="s">
        <v>154</v>
      </c>
      <c r="M11" s="34" t="s">
        <v>165</v>
      </c>
      <c r="N11" s="34" t="s">
        <v>161</v>
      </c>
      <c r="O11" s="10" t="s">
        <v>166</v>
      </c>
      <c r="P11" s="646" t="s">
        <v>14</v>
      </c>
      <c r="Q11" s="461" t="s">
        <v>13</v>
      </c>
      <c r="R11" s="461"/>
      <c r="S11" s="461"/>
      <c r="T11" s="461"/>
      <c r="U11" s="461"/>
      <c r="V11" s="34" t="s">
        <v>168</v>
      </c>
      <c r="W11" s="34" t="s">
        <v>174</v>
      </c>
      <c r="X11" s="34" t="s">
        <v>170</v>
      </c>
      <c r="Y11" s="34" t="s">
        <v>175</v>
      </c>
      <c r="Z11" s="34" t="s">
        <v>172</v>
      </c>
      <c r="AA11" s="34" t="s">
        <v>179</v>
      </c>
      <c r="AB11" s="34" t="s">
        <v>177</v>
      </c>
      <c r="AC11" s="10" t="s">
        <v>180</v>
      </c>
      <c r="AD11" s="646" t="s">
        <v>14</v>
      </c>
      <c r="AE11" s="461" t="s">
        <v>13</v>
      </c>
      <c r="AF11" s="461"/>
      <c r="AG11" s="461"/>
      <c r="AH11" s="461"/>
      <c r="AI11" s="461"/>
      <c r="AJ11" s="34" t="s">
        <v>181</v>
      </c>
      <c r="AK11" s="10" t="s">
        <v>200</v>
      </c>
      <c r="AL11" s="34" t="s">
        <v>183</v>
      </c>
      <c r="AM11" s="34" t="s">
        <v>201</v>
      </c>
      <c r="AN11" s="34" t="s">
        <v>197</v>
      </c>
      <c r="AO11" s="34" t="s">
        <v>206</v>
      </c>
      <c r="AP11" s="34" t="s">
        <v>203</v>
      </c>
      <c r="AQ11" s="10" t="s">
        <v>207</v>
      </c>
      <c r="AR11" s="646" t="s">
        <v>14</v>
      </c>
      <c r="AS11" s="461" t="s">
        <v>13</v>
      </c>
      <c r="AT11" s="461"/>
      <c r="AU11" s="461"/>
      <c r="AV11" s="461"/>
      <c r="AW11" s="461"/>
      <c r="AX11" s="34" t="s">
        <v>209</v>
      </c>
      <c r="AY11" s="34" t="s">
        <v>215</v>
      </c>
      <c r="AZ11" s="34" t="s">
        <v>212</v>
      </c>
      <c r="BA11" s="34" t="s">
        <v>223</v>
      </c>
      <c r="BB11" s="34" t="s">
        <v>217</v>
      </c>
      <c r="BC11" s="34" t="s">
        <v>225</v>
      </c>
      <c r="BD11" s="34" t="s">
        <v>219</v>
      </c>
      <c r="BE11" s="10" t="s">
        <v>226</v>
      </c>
      <c r="BF11" s="646" t="s">
        <v>14</v>
      </c>
      <c r="BG11" s="461" t="s">
        <v>13</v>
      </c>
      <c r="BH11" s="461"/>
      <c r="BI11" s="461"/>
      <c r="BJ11" s="461"/>
      <c r="BK11" s="461"/>
      <c r="BL11" s="34" t="s">
        <v>221</v>
      </c>
      <c r="BM11" s="34" t="s">
        <v>228</v>
      </c>
      <c r="BN11" s="34" t="s">
        <v>230</v>
      </c>
      <c r="BO11" s="34" t="s">
        <v>257</v>
      </c>
      <c r="BP11" s="34" t="s">
        <v>233</v>
      </c>
      <c r="BQ11" s="34" t="s">
        <v>259</v>
      </c>
      <c r="BR11" s="34" t="s">
        <v>236</v>
      </c>
      <c r="BS11" s="8" t="s">
        <v>260</v>
      </c>
      <c r="BT11" s="646" t="s">
        <v>14</v>
      </c>
      <c r="BU11" s="461" t="s">
        <v>13</v>
      </c>
      <c r="BV11" s="461"/>
      <c r="BW11" s="461"/>
      <c r="BX11" s="461"/>
      <c r="BY11" s="461"/>
      <c r="BZ11" s="8" t="s">
        <v>238</v>
      </c>
      <c r="CA11" s="8" t="s">
        <v>261</v>
      </c>
      <c r="CB11" s="8" t="s">
        <v>240</v>
      </c>
      <c r="CC11" s="34" t="s">
        <v>262</v>
      </c>
      <c r="CD11" s="34" t="s">
        <v>242</v>
      </c>
      <c r="CE11" s="34" t="s">
        <v>263</v>
      </c>
      <c r="CF11" s="34" t="s">
        <v>244</v>
      </c>
      <c r="CG11" s="8" t="s">
        <v>264</v>
      </c>
      <c r="CH11" s="646" t="s">
        <v>14</v>
      </c>
      <c r="CI11" s="461" t="s">
        <v>13</v>
      </c>
      <c r="CJ11" s="461"/>
      <c r="CK11" s="461"/>
      <c r="CL11" s="461"/>
      <c r="CM11" s="461"/>
      <c r="CN11" s="8" t="s">
        <v>246</v>
      </c>
      <c r="CO11" s="8" t="s">
        <v>265</v>
      </c>
      <c r="CP11" s="8" t="s">
        <v>248</v>
      </c>
      <c r="CQ11" s="8" t="s">
        <v>270</v>
      </c>
      <c r="CR11" s="34" t="s">
        <v>267</v>
      </c>
      <c r="CS11" s="34" t="s">
        <v>271</v>
      </c>
      <c r="CT11" s="34" t="s">
        <v>273</v>
      </c>
      <c r="CU11" s="8" t="s">
        <v>280</v>
      </c>
      <c r="CV11" s="646" t="s">
        <v>14</v>
      </c>
      <c r="CW11" s="461" t="s">
        <v>13</v>
      </c>
      <c r="CX11" s="461"/>
      <c r="CY11" s="461"/>
      <c r="CZ11" s="461"/>
      <c r="DA11" s="461"/>
      <c r="DB11" s="8" t="s">
        <v>275</v>
      </c>
      <c r="DC11" s="8" t="s">
        <v>281</v>
      </c>
      <c r="DD11" s="8" t="s">
        <v>277</v>
      </c>
      <c r="DE11" s="8" t="s">
        <v>282</v>
      </c>
      <c r="DF11" s="100"/>
      <c r="DG11" s="56"/>
      <c r="DH11" s="56"/>
      <c r="DI11" s="56"/>
      <c r="DJ11" s="646" t="s">
        <v>14</v>
      </c>
      <c r="DK11" s="461" t="s">
        <v>13</v>
      </c>
      <c r="DL11" s="461"/>
      <c r="DM11" s="461"/>
      <c r="DN11" s="461"/>
      <c r="DO11" s="461"/>
      <c r="DP11" s="614" t="s">
        <v>293</v>
      </c>
      <c r="DQ11" s="615"/>
      <c r="DR11" s="615"/>
      <c r="DS11" s="616"/>
      <c r="DT11" s="34" t="s">
        <v>295</v>
      </c>
      <c r="DU11" s="614" t="s">
        <v>294</v>
      </c>
      <c r="DV11" s="615"/>
      <c r="DW11" s="615"/>
      <c r="DX11" s="616"/>
      <c r="DY11" s="34" t="s">
        <v>296</v>
      </c>
      <c r="DZ11" s="614" t="s">
        <v>299</v>
      </c>
      <c r="EA11" s="615"/>
      <c r="EB11" s="615"/>
      <c r="EC11" s="616"/>
      <c r="ED11" s="34" t="s">
        <v>301</v>
      </c>
      <c r="EE11" s="614" t="s">
        <v>300</v>
      </c>
      <c r="EF11" s="615"/>
      <c r="EG11" s="615"/>
      <c r="EH11" s="616"/>
      <c r="EI11" s="8" t="s">
        <v>304</v>
      </c>
      <c r="EJ11" s="554" t="s">
        <v>14</v>
      </c>
      <c r="EK11" s="512" t="s">
        <v>13</v>
      </c>
      <c r="EL11" s="458"/>
      <c r="EM11" s="458"/>
      <c r="EN11" s="458"/>
      <c r="EO11" s="465"/>
      <c r="EP11" s="614" t="s">
        <v>305</v>
      </c>
      <c r="EQ11" s="615"/>
      <c r="ER11" s="615"/>
      <c r="ES11" s="616"/>
      <c r="ET11" s="34" t="s">
        <v>309</v>
      </c>
      <c r="EU11" s="614" t="s">
        <v>307</v>
      </c>
      <c r="EV11" s="615"/>
      <c r="EW11" s="615"/>
      <c r="EX11" s="616"/>
      <c r="EY11" s="34" t="s">
        <v>311</v>
      </c>
      <c r="EZ11" s="614" t="s">
        <v>310</v>
      </c>
      <c r="FA11" s="615"/>
      <c r="FB11" s="615"/>
      <c r="FC11" s="616"/>
      <c r="FD11" s="34" t="s">
        <v>315</v>
      </c>
      <c r="FE11" s="614" t="s">
        <v>312</v>
      </c>
      <c r="FF11" s="615"/>
      <c r="FG11" s="615"/>
      <c r="FH11" s="616"/>
      <c r="FI11" s="78" t="s">
        <v>316</v>
      </c>
      <c r="FJ11" s="8"/>
      <c r="FK11" s="554" t="s">
        <v>14</v>
      </c>
      <c r="FL11" s="512" t="s">
        <v>13</v>
      </c>
      <c r="FM11" s="458"/>
      <c r="FN11" s="458"/>
      <c r="FO11" s="458"/>
      <c r="FP11" s="465"/>
      <c r="FQ11" s="614" t="s">
        <v>313</v>
      </c>
      <c r="FR11" s="615"/>
      <c r="FS11" s="615"/>
      <c r="FT11" s="616"/>
      <c r="FU11" s="34" t="s">
        <v>317</v>
      </c>
      <c r="FV11" s="614" t="s">
        <v>314</v>
      </c>
      <c r="FW11" s="615"/>
      <c r="FX11" s="615"/>
      <c r="FY11" s="616"/>
      <c r="FZ11" s="34" t="s">
        <v>320</v>
      </c>
      <c r="GA11" s="614" t="s">
        <v>319</v>
      </c>
      <c r="GB11" s="615"/>
      <c r="GC11" s="615"/>
      <c r="GD11" s="616"/>
      <c r="GE11" s="34" t="s">
        <v>321</v>
      </c>
      <c r="GF11" s="614" t="s">
        <v>323</v>
      </c>
      <c r="GG11" s="615"/>
      <c r="GH11" s="615"/>
      <c r="GI11" s="616"/>
      <c r="GJ11" s="8" t="s">
        <v>326</v>
      </c>
      <c r="GK11" s="554" t="s">
        <v>14</v>
      </c>
      <c r="GL11" s="512" t="s">
        <v>13</v>
      </c>
      <c r="GM11" s="458"/>
      <c r="GN11" s="458"/>
      <c r="GO11" s="458"/>
      <c r="GP11" s="465"/>
      <c r="GQ11" s="614" t="s">
        <v>324</v>
      </c>
      <c r="GR11" s="615"/>
      <c r="GS11" s="615"/>
      <c r="GT11" s="616"/>
      <c r="GU11" s="8" t="s">
        <v>328</v>
      </c>
      <c r="GV11" s="614" t="s">
        <v>325</v>
      </c>
      <c r="GW11" s="615"/>
      <c r="GX11" s="615"/>
      <c r="GY11" s="616"/>
      <c r="GZ11" s="8" t="s">
        <v>330</v>
      </c>
      <c r="HA11" s="614" t="s">
        <v>332</v>
      </c>
      <c r="HB11" s="615"/>
      <c r="HC11" s="615"/>
      <c r="HD11" s="616"/>
      <c r="HE11" s="8" t="s">
        <v>335</v>
      </c>
      <c r="HF11" s="614" t="s">
        <v>333</v>
      </c>
      <c r="HG11" s="615"/>
      <c r="HH11" s="615"/>
      <c r="HI11" s="616"/>
      <c r="HJ11" s="8" t="s">
        <v>336</v>
      </c>
      <c r="HK11" s="554" t="s">
        <v>14</v>
      </c>
      <c r="HL11" s="512" t="s">
        <v>13</v>
      </c>
      <c r="HM11" s="458"/>
      <c r="HN11" s="458"/>
      <c r="HO11" s="458"/>
      <c r="HP11" s="465"/>
      <c r="HQ11" s="614" t="s">
        <v>334</v>
      </c>
      <c r="HR11" s="615"/>
      <c r="HS11" s="615"/>
      <c r="HT11" s="616"/>
      <c r="HU11" s="8" t="s">
        <v>337</v>
      </c>
      <c r="HV11" s="614" t="s">
        <v>341</v>
      </c>
      <c r="HW11" s="615"/>
      <c r="HX11" s="615"/>
      <c r="HY11" s="616"/>
      <c r="HZ11" s="8" t="s">
        <v>342</v>
      </c>
      <c r="IA11" s="614" t="s">
        <v>343</v>
      </c>
      <c r="IB11" s="615"/>
      <c r="IC11" s="615"/>
      <c r="ID11" s="616"/>
      <c r="IE11" s="8" t="s">
        <v>344</v>
      </c>
      <c r="IF11" s="614" t="s">
        <v>345</v>
      </c>
      <c r="IG11" s="615"/>
      <c r="IH11" s="615"/>
      <c r="II11" s="616"/>
      <c r="IJ11" s="8" t="s">
        <v>347</v>
      </c>
      <c r="IK11" s="554" t="s">
        <v>14</v>
      </c>
      <c r="IL11" s="512" t="s">
        <v>13</v>
      </c>
      <c r="IM11" s="458"/>
      <c r="IN11" s="458"/>
      <c r="IO11" s="458"/>
      <c r="IP11" s="465"/>
      <c r="IQ11" s="614" t="s">
        <v>351</v>
      </c>
      <c r="IR11" s="615"/>
      <c r="IS11" s="615"/>
      <c r="IT11" s="616"/>
      <c r="IU11" s="8" t="s">
        <v>352</v>
      </c>
      <c r="IV11" s="614" t="s">
        <v>356</v>
      </c>
      <c r="IW11" s="615"/>
      <c r="IX11" s="615"/>
      <c r="IY11" s="616"/>
      <c r="IZ11" s="8" t="s">
        <v>361</v>
      </c>
      <c r="JA11" s="614" t="s">
        <v>357</v>
      </c>
      <c r="JB11" s="615"/>
      <c r="JC11" s="615"/>
      <c r="JD11" s="616"/>
      <c r="JE11" s="8" t="s">
        <v>363</v>
      </c>
      <c r="JF11" s="614" t="s">
        <v>358</v>
      </c>
      <c r="JG11" s="615"/>
      <c r="JH11" s="615"/>
      <c r="JI11" s="616"/>
      <c r="JJ11" s="8" t="s">
        <v>365</v>
      </c>
      <c r="JK11" s="554" t="s">
        <v>14</v>
      </c>
      <c r="JL11" s="512" t="s">
        <v>13</v>
      </c>
      <c r="JM11" s="458"/>
      <c r="JN11" s="458"/>
      <c r="JO11" s="458"/>
      <c r="JP11" s="465"/>
      <c r="JQ11" s="614" t="s">
        <v>359</v>
      </c>
      <c r="JR11" s="615"/>
      <c r="JS11" s="615"/>
      <c r="JT11" s="616"/>
      <c r="JU11" s="8" t="s">
        <v>367</v>
      </c>
      <c r="JV11" s="614" t="s">
        <v>360</v>
      </c>
      <c r="JW11" s="615"/>
      <c r="JX11" s="615"/>
      <c r="JY11" s="616"/>
      <c r="JZ11" s="8" t="s">
        <v>368</v>
      </c>
      <c r="KA11" s="614" t="s">
        <v>373</v>
      </c>
      <c r="KB11" s="615"/>
      <c r="KC11" s="615"/>
      <c r="KD11" s="616"/>
      <c r="KE11" s="8" t="s">
        <v>375</v>
      </c>
      <c r="KF11" s="117"/>
      <c r="KG11" s="614" t="s">
        <v>374</v>
      </c>
      <c r="KH11" s="615"/>
      <c r="KI11" s="615"/>
      <c r="KJ11" s="616"/>
      <c r="KK11" s="8" t="s">
        <v>379</v>
      </c>
      <c r="KL11" s="554" t="s">
        <v>14</v>
      </c>
      <c r="KM11" s="512" t="s">
        <v>13</v>
      </c>
      <c r="KN11" s="458"/>
      <c r="KO11" s="458"/>
      <c r="KP11" s="458"/>
      <c r="KQ11" s="465"/>
      <c r="KR11" s="614" t="s">
        <v>388</v>
      </c>
      <c r="KS11" s="615"/>
      <c r="KT11" s="615"/>
      <c r="KU11" s="616"/>
      <c r="KV11" s="8" t="s">
        <v>382</v>
      </c>
      <c r="KW11" s="614" t="s">
        <v>385</v>
      </c>
      <c r="KX11" s="615"/>
      <c r="KY11" s="615"/>
      <c r="KZ11" s="616"/>
      <c r="LA11" s="8" t="s">
        <v>389</v>
      </c>
      <c r="LB11" s="614" t="s">
        <v>387</v>
      </c>
      <c r="LC11" s="615"/>
      <c r="LD11" s="615"/>
      <c r="LE11" s="616"/>
      <c r="LF11" s="8" t="s">
        <v>391</v>
      </c>
      <c r="LG11" s="614" t="s">
        <v>394</v>
      </c>
      <c r="LH11" s="615"/>
      <c r="LI11" s="615"/>
      <c r="LJ11" s="616"/>
      <c r="LK11" s="8" t="s">
        <v>395</v>
      </c>
      <c r="LL11" s="554" t="s">
        <v>14</v>
      </c>
      <c r="LM11" s="512" t="s">
        <v>13</v>
      </c>
      <c r="LN11" s="458"/>
      <c r="LO11" s="458"/>
      <c r="LP11" s="458"/>
      <c r="LQ11" s="465"/>
      <c r="LR11" s="614" t="s">
        <v>397</v>
      </c>
      <c r="LS11" s="615"/>
      <c r="LT11" s="615"/>
      <c r="LU11" s="616"/>
      <c r="LV11" s="8" t="s">
        <v>399</v>
      </c>
      <c r="LW11" s="614" t="s">
        <v>398</v>
      </c>
      <c r="LX11" s="615"/>
      <c r="LY11" s="615"/>
      <c r="LZ11" s="616"/>
      <c r="MA11" s="8" t="s">
        <v>401</v>
      </c>
      <c r="MB11" s="614" t="s">
        <v>405</v>
      </c>
      <c r="MC11" s="615"/>
      <c r="MD11" s="615"/>
      <c r="ME11" s="616"/>
      <c r="MF11" s="8" t="s">
        <v>406</v>
      </c>
      <c r="MG11" s="614" t="s">
        <v>412</v>
      </c>
      <c r="MH11" s="615"/>
      <c r="MI11" s="615"/>
      <c r="MJ11" s="616"/>
      <c r="MK11" s="144"/>
      <c r="ML11" s="614"/>
      <c r="MM11" s="615"/>
      <c r="MN11" s="615"/>
      <c r="MO11" s="616"/>
      <c r="MP11" s="8" t="s">
        <v>409</v>
      </c>
      <c r="MQ11" s="554" t="s">
        <v>14</v>
      </c>
      <c r="MR11" s="512" t="s">
        <v>13</v>
      </c>
      <c r="MS11" s="458"/>
      <c r="MT11" s="458"/>
      <c r="MU11" s="458"/>
      <c r="MV11" s="465"/>
      <c r="MW11" s="614" t="s">
        <v>414</v>
      </c>
      <c r="MX11" s="615"/>
      <c r="MY11" s="615"/>
      <c r="MZ11" s="616"/>
      <c r="NA11" s="8" t="s">
        <v>416</v>
      </c>
      <c r="NB11" s="614" t="s">
        <v>415</v>
      </c>
      <c r="NC11" s="615"/>
      <c r="ND11" s="615"/>
      <c r="NE11" s="616"/>
      <c r="NF11" s="8" t="s">
        <v>421</v>
      </c>
      <c r="NG11" s="614" t="s">
        <v>419</v>
      </c>
      <c r="NH11" s="615"/>
      <c r="NI11" s="615"/>
      <c r="NJ11" s="616"/>
      <c r="NK11" s="8" t="s">
        <v>425</v>
      </c>
      <c r="NL11" s="614" t="s">
        <v>420</v>
      </c>
      <c r="NM11" s="615"/>
      <c r="NN11" s="615"/>
      <c r="NO11" s="616"/>
      <c r="NP11" s="8" t="s">
        <v>426</v>
      </c>
      <c r="NQ11" s="8"/>
      <c r="NR11" s="554" t="s">
        <v>14</v>
      </c>
      <c r="NS11" s="512" t="s">
        <v>13</v>
      </c>
      <c r="NT11" s="458"/>
      <c r="NU11" s="458"/>
      <c r="NV11" s="458"/>
      <c r="NW11" s="465"/>
      <c r="NX11" s="614" t="s">
        <v>423</v>
      </c>
      <c r="NY11" s="615"/>
      <c r="NZ11" s="615"/>
      <c r="OA11" s="616"/>
      <c r="OB11" s="8" t="s">
        <v>427</v>
      </c>
      <c r="OC11" s="614" t="s">
        <v>424</v>
      </c>
      <c r="OD11" s="615"/>
      <c r="OE11" s="615"/>
      <c r="OF11" s="616"/>
      <c r="OG11" s="8" t="s">
        <v>428</v>
      </c>
      <c r="OH11" s="614" t="s">
        <v>433</v>
      </c>
      <c r="OI11" s="615"/>
      <c r="OJ11" s="615"/>
      <c r="OK11" s="616"/>
      <c r="OL11" s="8" t="s">
        <v>435</v>
      </c>
      <c r="OM11" s="614" t="s">
        <v>434</v>
      </c>
      <c r="ON11" s="615"/>
      <c r="OO11" s="615"/>
      <c r="OP11" s="616"/>
      <c r="OQ11" s="8" t="s">
        <v>439</v>
      </c>
      <c r="OR11" s="8"/>
      <c r="OS11" s="554" t="s">
        <v>14</v>
      </c>
      <c r="OT11" s="512" t="s">
        <v>13</v>
      </c>
      <c r="OU11" s="458"/>
      <c r="OV11" s="458"/>
      <c r="OW11" s="458"/>
      <c r="OX11" s="465"/>
      <c r="OY11" s="614" t="s">
        <v>440</v>
      </c>
      <c r="OZ11" s="615"/>
      <c r="PA11" s="615"/>
      <c r="PB11" s="616"/>
      <c r="PC11" s="8" t="s">
        <v>443</v>
      </c>
      <c r="PD11" s="614" t="s">
        <v>442</v>
      </c>
      <c r="PE11" s="615"/>
      <c r="PF11" s="615"/>
      <c r="PG11" s="616"/>
      <c r="PH11" s="8" t="s">
        <v>446</v>
      </c>
      <c r="PI11" s="614" t="s">
        <v>449</v>
      </c>
      <c r="PJ11" s="615"/>
      <c r="PK11" s="615"/>
      <c r="PL11" s="616"/>
      <c r="PM11" s="8" t="s">
        <v>451</v>
      </c>
      <c r="PN11" s="614" t="s">
        <v>450</v>
      </c>
      <c r="PO11" s="615"/>
      <c r="PP11" s="615"/>
      <c r="PQ11" s="616"/>
      <c r="PR11" s="8" t="s">
        <v>456</v>
      </c>
      <c r="PS11" s="8"/>
      <c r="PT11" s="554" t="s">
        <v>14</v>
      </c>
      <c r="PU11" s="512" t="s">
        <v>13</v>
      </c>
      <c r="PV11" s="458"/>
      <c r="PW11" s="458"/>
      <c r="PX11" s="458"/>
      <c r="PY11" s="465"/>
      <c r="PZ11" s="614" t="s">
        <v>455</v>
      </c>
      <c r="QA11" s="615"/>
      <c r="QB11" s="615"/>
      <c r="QC11" s="616"/>
      <c r="QD11" s="8" t="s">
        <v>458</v>
      </c>
      <c r="QE11" s="614" t="s">
        <v>454</v>
      </c>
      <c r="QF11" s="615"/>
      <c r="QG11" s="615"/>
      <c r="QH11" s="616"/>
      <c r="QI11" s="8" t="s">
        <v>462</v>
      </c>
      <c r="QJ11" s="614" t="s">
        <v>463</v>
      </c>
      <c r="QK11" s="615"/>
      <c r="QL11" s="615"/>
      <c r="QM11" s="616"/>
      <c r="QN11" s="8" t="s">
        <v>465</v>
      </c>
      <c r="QO11" s="614" t="s">
        <v>464</v>
      </c>
      <c r="QP11" s="615"/>
      <c r="QQ11" s="615"/>
      <c r="QR11" s="616"/>
      <c r="QS11" s="8" t="s">
        <v>469</v>
      </c>
      <c r="QT11" s="554" t="s">
        <v>14</v>
      </c>
      <c r="QU11" s="512" t="s">
        <v>13</v>
      </c>
      <c r="QV11" s="458"/>
      <c r="QW11" s="458"/>
      <c r="QX11" s="458"/>
      <c r="QY11" s="465"/>
      <c r="QZ11" s="614" t="s">
        <v>473</v>
      </c>
      <c r="RA11" s="615"/>
      <c r="RB11" s="615"/>
      <c r="RC11" s="616"/>
      <c r="RD11" s="8" t="s">
        <v>476</v>
      </c>
      <c r="RE11" s="614" t="s">
        <v>474</v>
      </c>
      <c r="RF11" s="615"/>
      <c r="RG11" s="615"/>
      <c r="RH11" s="616"/>
      <c r="RI11" s="8" t="s">
        <v>477</v>
      </c>
      <c r="RJ11" s="614" t="s">
        <v>475</v>
      </c>
      <c r="RK11" s="615"/>
      <c r="RL11" s="615"/>
      <c r="RM11" s="616"/>
      <c r="RN11" s="8" t="s">
        <v>484</v>
      </c>
      <c r="RO11" s="614" t="s">
        <v>482</v>
      </c>
      <c r="RP11" s="615"/>
      <c r="RQ11" s="615"/>
      <c r="RR11" s="616"/>
      <c r="RS11" s="8" t="s">
        <v>485</v>
      </c>
      <c r="RT11" s="8"/>
      <c r="RU11" s="554" t="s">
        <v>14</v>
      </c>
      <c r="RV11" s="512" t="s">
        <v>13</v>
      </c>
      <c r="RW11" s="458"/>
      <c r="RX11" s="458"/>
      <c r="RY11" s="458"/>
      <c r="RZ11" s="465"/>
      <c r="SA11" s="614" t="s">
        <v>483</v>
      </c>
      <c r="SB11" s="615"/>
      <c r="SC11" s="615"/>
      <c r="SD11" s="616"/>
      <c r="SE11" s="8" t="s">
        <v>491</v>
      </c>
      <c r="SF11" s="614" t="s">
        <v>488</v>
      </c>
      <c r="SG11" s="615"/>
      <c r="SH11" s="615"/>
      <c r="SI11" s="616"/>
      <c r="SJ11" s="8" t="s">
        <v>494</v>
      </c>
      <c r="SK11" s="614" t="s">
        <v>489</v>
      </c>
      <c r="SL11" s="615"/>
      <c r="SM11" s="615"/>
      <c r="SN11" s="616"/>
      <c r="SO11" s="8" t="s">
        <v>495</v>
      </c>
      <c r="SP11" s="614" t="s">
        <v>490</v>
      </c>
      <c r="SQ11" s="615"/>
      <c r="SR11" s="615"/>
      <c r="SS11" s="616"/>
      <c r="ST11" s="8" t="s">
        <v>497</v>
      </c>
      <c r="SU11" s="554" t="s">
        <v>14</v>
      </c>
      <c r="SV11" s="512" t="s">
        <v>13</v>
      </c>
      <c r="SW11" s="458"/>
      <c r="SX11" s="458"/>
      <c r="SY11" s="458"/>
      <c r="SZ11" s="465"/>
      <c r="TA11" s="614" t="s">
        <v>496</v>
      </c>
      <c r="TB11" s="615"/>
      <c r="TC11" s="615"/>
      <c r="TD11" s="616"/>
      <c r="TE11" s="8" t="s">
        <v>502</v>
      </c>
      <c r="TF11" s="614" t="s">
        <v>501</v>
      </c>
      <c r="TG11" s="615"/>
      <c r="TH11" s="615"/>
      <c r="TI11" s="616"/>
      <c r="TJ11" s="8" t="s">
        <v>505</v>
      </c>
      <c r="TK11" s="614" t="s">
        <v>509</v>
      </c>
      <c r="TL11" s="615"/>
      <c r="TM11" s="615"/>
      <c r="TN11" s="616"/>
      <c r="TO11" s="8" t="s">
        <v>510</v>
      </c>
      <c r="TP11" s="614"/>
      <c r="TQ11" s="615"/>
      <c r="TR11" s="615"/>
      <c r="TS11" s="616"/>
      <c r="TT11" s="8"/>
    </row>
    <row r="12" spans="2:542" ht="45" customHeight="1" x14ac:dyDescent="0.4">
      <c r="B12" s="647"/>
      <c r="C12" s="461"/>
      <c r="D12" s="461"/>
      <c r="E12" s="461"/>
      <c r="F12" s="461"/>
      <c r="G12" s="461"/>
      <c r="H12" s="35" t="s">
        <v>10</v>
      </c>
      <c r="I12" s="35" t="s">
        <v>158</v>
      </c>
      <c r="J12" s="35" t="s">
        <v>10</v>
      </c>
      <c r="K12" s="35" t="s">
        <v>158</v>
      </c>
      <c r="L12" s="35" t="s">
        <v>10</v>
      </c>
      <c r="M12" s="35" t="s">
        <v>158</v>
      </c>
      <c r="N12" s="35" t="s">
        <v>10</v>
      </c>
      <c r="O12" s="12" t="s">
        <v>158</v>
      </c>
      <c r="P12" s="647"/>
      <c r="Q12" s="461"/>
      <c r="R12" s="461"/>
      <c r="S12" s="461"/>
      <c r="T12" s="461"/>
      <c r="U12" s="461"/>
      <c r="V12" s="35" t="s">
        <v>10</v>
      </c>
      <c r="W12" s="35" t="s">
        <v>158</v>
      </c>
      <c r="X12" s="35" t="s">
        <v>10</v>
      </c>
      <c r="Y12" s="35" t="s">
        <v>158</v>
      </c>
      <c r="Z12" s="35" t="s">
        <v>10</v>
      </c>
      <c r="AA12" s="35" t="s">
        <v>158</v>
      </c>
      <c r="AB12" s="35" t="s">
        <v>10</v>
      </c>
      <c r="AC12" s="12" t="s">
        <v>158</v>
      </c>
      <c r="AD12" s="647"/>
      <c r="AE12" s="461"/>
      <c r="AF12" s="461"/>
      <c r="AG12" s="461"/>
      <c r="AH12" s="461"/>
      <c r="AI12" s="461"/>
      <c r="AJ12" s="35" t="s">
        <v>10</v>
      </c>
      <c r="AK12" s="12" t="s">
        <v>158</v>
      </c>
      <c r="AL12" s="35" t="s">
        <v>10</v>
      </c>
      <c r="AM12" s="35" t="s">
        <v>202</v>
      </c>
      <c r="AN12" s="35" t="s">
        <v>10</v>
      </c>
      <c r="AO12" s="35" t="s">
        <v>158</v>
      </c>
      <c r="AP12" s="35" t="s">
        <v>10</v>
      </c>
      <c r="AQ12" s="12" t="s">
        <v>158</v>
      </c>
      <c r="AR12" s="647"/>
      <c r="AS12" s="461"/>
      <c r="AT12" s="461"/>
      <c r="AU12" s="461"/>
      <c r="AV12" s="461"/>
      <c r="AW12" s="461"/>
      <c r="AX12" s="35" t="s">
        <v>10</v>
      </c>
      <c r="AY12" s="35" t="s">
        <v>158</v>
      </c>
      <c r="AZ12" s="35" t="s">
        <v>10</v>
      </c>
      <c r="BA12" s="35" t="s">
        <v>158</v>
      </c>
      <c r="BB12" s="35" t="s">
        <v>10</v>
      </c>
      <c r="BC12" s="35" t="s">
        <v>158</v>
      </c>
      <c r="BD12" s="35" t="s">
        <v>10</v>
      </c>
      <c r="BE12" s="12" t="s">
        <v>158</v>
      </c>
      <c r="BF12" s="647"/>
      <c r="BG12" s="461"/>
      <c r="BH12" s="461"/>
      <c r="BI12" s="461"/>
      <c r="BJ12" s="461"/>
      <c r="BK12" s="461"/>
      <c r="BL12" s="35" t="s">
        <v>10</v>
      </c>
      <c r="BM12" s="35" t="s">
        <v>158</v>
      </c>
      <c r="BN12" s="35" t="s">
        <v>10</v>
      </c>
      <c r="BO12" s="35" t="s">
        <v>158</v>
      </c>
      <c r="BP12" s="35" t="s">
        <v>10</v>
      </c>
      <c r="BQ12" s="35" t="s">
        <v>158</v>
      </c>
      <c r="BR12" s="35" t="s">
        <v>10</v>
      </c>
      <c r="BS12" s="11" t="s">
        <v>158</v>
      </c>
      <c r="BT12" s="647"/>
      <c r="BU12" s="461"/>
      <c r="BV12" s="461"/>
      <c r="BW12" s="461"/>
      <c r="BX12" s="461"/>
      <c r="BY12" s="461"/>
      <c r="BZ12" s="11" t="s">
        <v>10</v>
      </c>
      <c r="CA12" s="11" t="s">
        <v>158</v>
      </c>
      <c r="CB12" s="11" t="s">
        <v>10</v>
      </c>
      <c r="CC12" s="35" t="s">
        <v>158</v>
      </c>
      <c r="CD12" s="35" t="s">
        <v>10</v>
      </c>
      <c r="CE12" s="35" t="s">
        <v>158</v>
      </c>
      <c r="CF12" s="35" t="s">
        <v>10</v>
      </c>
      <c r="CG12" s="11" t="s">
        <v>158</v>
      </c>
      <c r="CH12" s="647"/>
      <c r="CI12" s="461"/>
      <c r="CJ12" s="461"/>
      <c r="CK12" s="461"/>
      <c r="CL12" s="461"/>
      <c r="CM12" s="461"/>
      <c r="CN12" s="11" t="s">
        <v>10</v>
      </c>
      <c r="CO12" s="11" t="s">
        <v>158</v>
      </c>
      <c r="CP12" s="11" t="s">
        <v>10</v>
      </c>
      <c r="CQ12" s="11" t="s">
        <v>158</v>
      </c>
      <c r="CR12" s="35" t="s">
        <v>10</v>
      </c>
      <c r="CS12" s="35" t="s">
        <v>158</v>
      </c>
      <c r="CT12" s="35" t="s">
        <v>10</v>
      </c>
      <c r="CU12" s="11" t="s">
        <v>158</v>
      </c>
      <c r="CV12" s="647"/>
      <c r="CW12" s="461"/>
      <c r="CX12" s="461"/>
      <c r="CY12" s="461"/>
      <c r="CZ12" s="461"/>
      <c r="DA12" s="461"/>
      <c r="DB12" s="11" t="s">
        <v>10</v>
      </c>
      <c r="DC12" s="11" t="s">
        <v>158</v>
      </c>
      <c r="DD12" s="11" t="s">
        <v>10</v>
      </c>
      <c r="DE12" s="11" t="s">
        <v>158</v>
      </c>
      <c r="DF12" s="35"/>
      <c r="DG12" s="57"/>
      <c r="DH12" s="57"/>
      <c r="DI12" s="57"/>
      <c r="DJ12" s="647"/>
      <c r="DK12" s="461"/>
      <c r="DL12" s="461"/>
      <c r="DM12" s="461"/>
      <c r="DN12" s="461"/>
      <c r="DO12" s="461"/>
      <c r="DP12" s="471" t="s">
        <v>10</v>
      </c>
      <c r="DQ12" s="472"/>
      <c r="DR12" s="472"/>
      <c r="DS12" s="473"/>
      <c r="DT12" s="72" t="s">
        <v>158</v>
      </c>
      <c r="DU12" s="471" t="s">
        <v>10</v>
      </c>
      <c r="DV12" s="472"/>
      <c r="DW12" s="472"/>
      <c r="DX12" s="473"/>
      <c r="DY12" s="72" t="s">
        <v>158</v>
      </c>
      <c r="DZ12" s="471" t="s">
        <v>10</v>
      </c>
      <c r="EA12" s="472"/>
      <c r="EB12" s="472"/>
      <c r="EC12" s="473"/>
      <c r="ED12" s="72" t="s">
        <v>158</v>
      </c>
      <c r="EE12" s="471" t="s">
        <v>10</v>
      </c>
      <c r="EF12" s="472"/>
      <c r="EG12" s="472"/>
      <c r="EH12" s="473"/>
      <c r="EI12" s="80" t="s">
        <v>158</v>
      </c>
      <c r="EJ12" s="479"/>
      <c r="EK12" s="528"/>
      <c r="EL12" s="466"/>
      <c r="EM12" s="466"/>
      <c r="EN12" s="466"/>
      <c r="EO12" s="467"/>
      <c r="EP12" s="471" t="s">
        <v>10</v>
      </c>
      <c r="EQ12" s="472"/>
      <c r="ER12" s="472"/>
      <c r="ES12" s="473"/>
      <c r="ET12" s="72" t="s">
        <v>158</v>
      </c>
      <c r="EU12" s="471" t="s">
        <v>10</v>
      </c>
      <c r="EV12" s="472"/>
      <c r="EW12" s="472"/>
      <c r="EX12" s="473"/>
      <c r="EY12" s="72" t="s">
        <v>158</v>
      </c>
      <c r="EZ12" s="471" t="s">
        <v>10</v>
      </c>
      <c r="FA12" s="472"/>
      <c r="FB12" s="472"/>
      <c r="FC12" s="473"/>
      <c r="FD12" s="72" t="s">
        <v>158</v>
      </c>
      <c r="FE12" s="471" t="s">
        <v>10</v>
      </c>
      <c r="FF12" s="472"/>
      <c r="FG12" s="472"/>
      <c r="FH12" s="473"/>
      <c r="FI12" s="80" t="s">
        <v>158</v>
      </c>
      <c r="FJ12" s="11"/>
      <c r="FK12" s="479"/>
      <c r="FL12" s="528"/>
      <c r="FM12" s="466"/>
      <c r="FN12" s="466"/>
      <c r="FO12" s="466"/>
      <c r="FP12" s="467"/>
      <c r="FQ12" s="471" t="s">
        <v>10</v>
      </c>
      <c r="FR12" s="472"/>
      <c r="FS12" s="472"/>
      <c r="FT12" s="473"/>
      <c r="FU12" s="72" t="s">
        <v>158</v>
      </c>
      <c r="FV12" s="471" t="s">
        <v>10</v>
      </c>
      <c r="FW12" s="472"/>
      <c r="FX12" s="472"/>
      <c r="FY12" s="473"/>
      <c r="FZ12" s="72" t="s">
        <v>158</v>
      </c>
      <c r="GA12" s="471" t="s">
        <v>10</v>
      </c>
      <c r="GB12" s="472"/>
      <c r="GC12" s="472"/>
      <c r="GD12" s="473"/>
      <c r="GE12" s="72" t="s">
        <v>158</v>
      </c>
      <c r="GF12" s="471" t="s">
        <v>10</v>
      </c>
      <c r="GG12" s="472"/>
      <c r="GH12" s="472"/>
      <c r="GI12" s="473"/>
      <c r="GJ12" s="11" t="s">
        <v>158</v>
      </c>
      <c r="GK12" s="479"/>
      <c r="GL12" s="528"/>
      <c r="GM12" s="466"/>
      <c r="GN12" s="466"/>
      <c r="GO12" s="466"/>
      <c r="GP12" s="467"/>
      <c r="GQ12" s="471" t="s">
        <v>10</v>
      </c>
      <c r="GR12" s="472"/>
      <c r="GS12" s="472"/>
      <c r="GT12" s="473"/>
      <c r="GU12" s="11" t="s">
        <v>158</v>
      </c>
      <c r="GV12" s="471" t="s">
        <v>10</v>
      </c>
      <c r="GW12" s="472"/>
      <c r="GX12" s="472"/>
      <c r="GY12" s="473"/>
      <c r="GZ12" s="11" t="s">
        <v>158</v>
      </c>
      <c r="HA12" s="471" t="s">
        <v>10</v>
      </c>
      <c r="HB12" s="472"/>
      <c r="HC12" s="472"/>
      <c r="HD12" s="473"/>
      <c r="HE12" s="11" t="s">
        <v>158</v>
      </c>
      <c r="HF12" s="471" t="s">
        <v>10</v>
      </c>
      <c r="HG12" s="472"/>
      <c r="HH12" s="472"/>
      <c r="HI12" s="473"/>
      <c r="HJ12" s="11" t="s">
        <v>158</v>
      </c>
      <c r="HK12" s="479"/>
      <c r="HL12" s="528"/>
      <c r="HM12" s="466"/>
      <c r="HN12" s="466"/>
      <c r="HO12" s="466"/>
      <c r="HP12" s="467"/>
      <c r="HQ12" s="471" t="s">
        <v>10</v>
      </c>
      <c r="HR12" s="472"/>
      <c r="HS12" s="472"/>
      <c r="HT12" s="473"/>
      <c r="HU12" s="11" t="s">
        <v>158</v>
      </c>
      <c r="HV12" s="471" t="s">
        <v>10</v>
      </c>
      <c r="HW12" s="472"/>
      <c r="HX12" s="472"/>
      <c r="HY12" s="473"/>
      <c r="HZ12" s="11" t="s">
        <v>158</v>
      </c>
      <c r="IA12" s="471" t="s">
        <v>10</v>
      </c>
      <c r="IB12" s="472"/>
      <c r="IC12" s="472"/>
      <c r="ID12" s="473"/>
      <c r="IE12" s="11" t="s">
        <v>158</v>
      </c>
      <c r="IF12" s="471" t="s">
        <v>10</v>
      </c>
      <c r="IG12" s="472"/>
      <c r="IH12" s="472"/>
      <c r="II12" s="473"/>
      <c r="IJ12" s="11" t="s">
        <v>158</v>
      </c>
      <c r="IK12" s="479"/>
      <c r="IL12" s="528"/>
      <c r="IM12" s="466"/>
      <c r="IN12" s="466"/>
      <c r="IO12" s="466"/>
      <c r="IP12" s="467"/>
      <c r="IQ12" s="471" t="s">
        <v>10</v>
      </c>
      <c r="IR12" s="472"/>
      <c r="IS12" s="472"/>
      <c r="IT12" s="473"/>
      <c r="IU12" s="11" t="s">
        <v>158</v>
      </c>
      <c r="IV12" s="471" t="s">
        <v>10</v>
      </c>
      <c r="IW12" s="472"/>
      <c r="IX12" s="472"/>
      <c r="IY12" s="473"/>
      <c r="IZ12" s="11" t="s">
        <v>158</v>
      </c>
      <c r="JA12" s="471" t="s">
        <v>10</v>
      </c>
      <c r="JB12" s="472"/>
      <c r="JC12" s="472"/>
      <c r="JD12" s="473"/>
      <c r="JE12" s="11" t="s">
        <v>158</v>
      </c>
      <c r="JF12" s="471" t="s">
        <v>10</v>
      </c>
      <c r="JG12" s="472"/>
      <c r="JH12" s="472"/>
      <c r="JI12" s="473"/>
      <c r="JJ12" s="11" t="s">
        <v>366</v>
      </c>
      <c r="JK12" s="479"/>
      <c r="JL12" s="528"/>
      <c r="JM12" s="466"/>
      <c r="JN12" s="466"/>
      <c r="JO12" s="466"/>
      <c r="JP12" s="467"/>
      <c r="JQ12" s="471" t="s">
        <v>10</v>
      </c>
      <c r="JR12" s="472"/>
      <c r="JS12" s="472"/>
      <c r="JT12" s="473"/>
      <c r="JU12" s="11" t="s">
        <v>366</v>
      </c>
      <c r="JV12" s="471" t="s">
        <v>10</v>
      </c>
      <c r="JW12" s="472"/>
      <c r="JX12" s="472"/>
      <c r="JY12" s="473"/>
      <c r="JZ12" s="11" t="s">
        <v>366</v>
      </c>
      <c r="KA12" s="471" t="s">
        <v>10</v>
      </c>
      <c r="KB12" s="472"/>
      <c r="KC12" s="472"/>
      <c r="KD12" s="473"/>
      <c r="KE12" s="80" t="s">
        <v>158</v>
      </c>
      <c r="KF12" s="124"/>
      <c r="KG12" s="471" t="s">
        <v>10</v>
      </c>
      <c r="KH12" s="472"/>
      <c r="KI12" s="472"/>
      <c r="KJ12" s="473"/>
      <c r="KK12" s="11" t="s">
        <v>380</v>
      </c>
      <c r="KL12" s="479"/>
      <c r="KM12" s="528"/>
      <c r="KN12" s="466"/>
      <c r="KO12" s="466"/>
      <c r="KP12" s="466"/>
      <c r="KQ12" s="467"/>
      <c r="KR12" s="471" t="s">
        <v>377</v>
      </c>
      <c r="KS12" s="472"/>
      <c r="KT12" s="472"/>
      <c r="KU12" s="473"/>
      <c r="KV12" s="11" t="s">
        <v>383</v>
      </c>
      <c r="KW12" s="471" t="s">
        <v>377</v>
      </c>
      <c r="KX12" s="472"/>
      <c r="KY12" s="472"/>
      <c r="KZ12" s="473"/>
      <c r="LA12" s="11" t="s">
        <v>390</v>
      </c>
      <c r="LB12" s="471" t="s">
        <v>10</v>
      </c>
      <c r="LC12" s="472"/>
      <c r="LD12" s="472"/>
      <c r="LE12" s="473"/>
      <c r="LF12" s="11" t="s">
        <v>396</v>
      </c>
      <c r="LG12" s="471" t="s">
        <v>10</v>
      </c>
      <c r="LH12" s="472"/>
      <c r="LI12" s="472"/>
      <c r="LJ12" s="473"/>
      <c r="LK12" s="80" t="s">
        <v>383</v>
      </c>
      <c r="LL12" s="479"/>
      <c r="LM12" s="528"/>
      <c r="LN12" s="466"/>
      <c r="LO12" s="466"/>
      <c r="LP12" s="466"/>
      <c r="LQ12" s="467"/>
      <c r="LR12" s="471" t="s">
        <v>10</v>
      </c>
      <c r="LS12" s="472"/>
      <c r="LT12" s="472"/>
      <c r="LU12" s="473"/>
      <c r="LV12" s="11" t="s">
        <v>383</v>
      </c>
      <c r="LW12" s="471" t="s">
        <v>10</v>
      </c>
      <c r="LX12" s="472"/>
      <c r="LY12" s="472"/>
      <c r="LZ12" s="473"/>
      <c r="MA12" s="80" t="s">
        <v>402</v>
      </c>
      <c r="MB12" s="471" t="s">
        <v>10</v>
      </c>
      <c r="MC12" s="472"/>
      <c r="MD12" s="472"/>
      <c r="ME12" s="473"/>
      <c r="MF12" s="80" t="s">
        <v>383</v>
      </c>
      <c r="MG12" s="471" t="s">
        <v>413</v>
      </c>
      <c r="MH12" s="472"/>
      <c r="MI12" s="472"/>
      <c r="MJ12" s="473"/>
      <c r="MK12" s="35"/>
      <c r="ML12" s="471"/>
      <c r="MM12" s="472"/>
      <c r="MN12" s="472"/>
      <c r="MO12" s="473"/>
      <c r="MP12" s="80" t="s">
        <v>383</v>
      </c>
      <c r="MQ12" s="479"/>
      <c r="MR12" s="528"/>
      <c r="MS12" s="466"/>
      <c r="MT12" s="466"/>
      <c r="MU12" s="466"/>
      <c r="MV12" s="467"/>
      <c r="MW12" s="471" t="s">
        <v>10</v>
      </c>
      <c r="MX12" s="472"/>
      <c r="MY12" s="472"/>
      <c r="MZ12" s="473"/>
      <c r="NA12" s="80" t="s">
        <v>390</v>
      </c>
      <c r="NB12" s="471" t="s">
        <v>10</v>
      </c>
      <c r="NC12" s="472"/>
      <c r="ND12" s="472"/>
      <c r="NE12" s="473"/>
      <c r="NF12" s="80" t="s">
        <v>390</v>
      </c>
      <c r="NG12" s="471" t="s">
        <v>10</v>
      </c>
      <c r="NH12" s="472"/>
      <c r="NI12" s="472"/>
      <c r="NJ12" s="473"/>
      <c r="NK12" s="80" t="s">
        <v>390</v>
      </c>
      <c r="NL12" s="471" t="s">
        <v>10</v>
      </c>
      <c r="NM12" s="472"/>
      <c r="NN12" s="472"/>
      <c r="NO12" s="473"/>
      <c r="NP12" s="80" t="s">
        <v>390</v>
      </c>
      <c r="NQ12" s="80"/>
      <c r="NR12" s="479"/>
      <c r="NS12" s="528"/>
      <c r="NT12" s="466"/>
      <c r="NU12" s="466"/>
      <c r="NV12" s="466"/>
      <c r="NW12" s="467"/>
      <c r="NX12" s="471" t="s">
        <v>10</v>
      </c>
      <c r="NY12" s="472"/>
      <c r="NZ12" s="472"/>
      <c r="OA12" s="473"/>
      <c r="OB12" s="80" t="s">
        <v>390</v>
      </c>
      <c r="OC12" s="471" t="s">
        <v>10</v>
      </c>
      <c r="OD12" s="472"/>
      <c r="OE12" s="472"/>
      <c r="OF12" s="473"/>
      <c r="OG12" s="80" t="s">
        <v>436</v>
      </c>
      <c r="OH12" s="471" t="s">
        <v>10</v>
      </c>
      <c r="OI12" s="472"/>
      <c r="OJ12" s="472"/>
      <c r="OK12" s="473"/>
      <c r="OL12" s="80" t="s">
        <v>436</v>
      </c>
      <c r="OM12" s="471" t="s">
        <v>10</v>
      </c>
      <c r="ON12" s="472"/>
      <c r="OO12" s="472"/>
      <c r="OP12" s="473"/>
      <c r="OQ12" s="80" t="s">
        <v>390</v>
      </c>
      <c r="OR12" s="80"/>
      <c r="OS12" s="479"/>
      <c r="OT12" s="528"/>
      <c r="OU12" s="466"/>
      <c r="OV12" s="466"/>
      <c r="OW12" s="466"/>
      <c r="OX12" s="467"/>
      <c r="OY12" s="471" t="s">
        <v>10</v>
      </c>
      <c r="OZ12" s="472"/>
      <c r="PA12" s="472"/>
      <c r="PB12" s="473"/>
      <c r="PC12" s="80" t="s">
        <v>390</v>
      </c>
      <c r="PD12" s="471" t="s">
        <v>10</v>
      </c>
      <c r="PE12" s="472"/>
      <c r="PF12" s="472"/>
      <c r="PG12" s="473"/>
      <c r="PH12" s="80" t="s">
        <v>390</v>
      </c>
      <c r="PI12" s="471" t="s">
        <v>10</v>
      </c>
      <c r="PJ12" s="472"/>
      <c r="PK12" s="472"/>
      <c r="PL12" s="473"/>
      <c r="PM12" s="80" t="s">
        <v>390</v>
      </c>
      <c r="PN12" s="471" t="s">
        <v>10</v>
      </c>
      <c r="PO12" s="472"/>
      <c r="PP12" s="472"/>
      <c r="PQ12" s="473"/>
      <c r="PR12" s="80" t="s">
        <v>390</v>
      </c>
      <c r="PS12" s="11"/>
      <c r="PT12" s="479"/>
      <c r="PU12" s="528"/>
      <c r="PV12" s="466"/>
      <c r="PW12" s="466"/>
      <c r="PX12" s="466"/>
      <c r="PY12" s="467"/>
      <c r="PZ12" s="471" t="s">
        <v>377</v>
      </c>
      <c r="QA12" s="472"/>
      <c r="QB12" s="472"/>
      <c r="QC12" s="473"/>
      <c r="QD12" s="80" t="s">
        <v>390</v>
      </c>
      <c r="QE12" s="471" t="s">
        <v>377</v>
      </c>
      <c r="QF12" s="472"/>
      <c r="QG12" s="472"/>
      <c r="QH12" s="473"/>
      <c r="QI12" s="80" t="s">
        <v>390</v>
      </c>
      <c r="QJ12" s="471" t="s">
        <v>377</v>
      </c>
      <c r="QK12" s="472"/>
      <c r="QL12" s="472"/>
      <c r="QM12" s="473"/>
      <c r="QN12" s="80" t="s">
        <v>390</v>
      </c>
      <c r="QO12" s="471" t="s">
        <v>377</v>
      </c>
      <c r="QP12" s="472"/>
      <c r="QQ12" s="472"/>
      <c r="QR12" s="473"/>
      <c r="QS12" s="80" t="s">
        <v>390</v>
      </c>
      <c r="QT12" s="479"/>
      <c r="QU12" s="528"/>
      <c r="QV12" s="466"/>
      <c r="QW12" s="466"/>
      <c r="QX12" s="466"/>
      <c r="QY12" s="467"/>
      <c r="QZ12" s="471" t="s">
        <v>377</v>
      </c>
      <c r="RA12" s="472"/>
      <c r="RB12" s="472"/>
      <c r="RC12" s="473"/>
      <c r="RD12" s="80" t="s">
        <v>390</v>
      </c>
      <c r="RE12" s="471" t="s">
        <v>377</v>
      </c>
      <c r="RF12" s="472"/>
      <c r="RG12" s="472"/>
      <c r="RH12" s="473"/>
      <c r="RI12" s="80" t="s">
        <v>390</v>
      </c>
      <c r="RJ12" s="471" t="s">
        <v>377</v>
      </c>
      <c r="RK12" s="472"/>
      <c r="RL12" s="472"/>
      <c r="RM12" s="473"/>
      <c r="RN12" s="80" t="s">
        <v>390</v>
      </c>
      <c r="RO12" s="471" t="s">
        <v>377</v>
      </c>
      <c r="RP12" s="472"/>
      <c r="RQ12" s="472"/>
      <c r="RR12" s="473"/>
      <c r="RS12" s="80" t="s">
        <v>486</v>
      </c>
      <c r="RT12" s="80"/>
      <c r="RU12" s="479"/>
      <c r="RV12" s="528"/>
      <c r="RW12" s="466"/>
      <c r="RX12" s="466"/>
      <c r="RY12" s="466"/>
      <c r="RZ12" s="467"/>
      <c r="SA12" s="471" t="s">
        <v>377</v>
      </c>
      <c r="SB12" s="472"/>
      <c r="SC12" s="472"/>
      <c r="SD12" s="473"/>
      <c r="SE12" s="80" t="s">
        <v>158</v>
      </c>
      <c r="SF12" s="471" t="s">
        <v>377</v>
      </c>
      <c r="SG12" s="472"/>
      <c r="SH12" s="472"/>
      <c r="SI12" s="473"/>
      <c r="SJ12" s="80" t="s">
        <v>158</v>
      </c>
      <c r="SK12" s="471" t="s">
        <v>377</v>
      </c>
      <c r="SL12" s="472"/>
      <c r="SM12" s="472"/>
      <c r="SN12" s="473"/>
      <c r="SO12" s="80" t="s">
        <v>158</v>
      </c>
      <c r="SP12" s="471" t="s">
        <v>377</v>
      </c>
      <c r="SQ12" s="472"/>
      <c r="SR12" s="472"/>
      <c r="SS12" s="473"/>
      <c r="ST12" s="80" t="s">
        <v>158</v>
      </c>
      <c r="SU12" s="479"/>
      <c r="SV12" s="528"/>
      <c r="SW12" s="466"/>
      <c r="SX12" s="466"/>
      <c r="SY12" s="466"/>
      <c r="SZ12" s="467"/>
      <c r="TA12" s="471" t="s">
        <v>377</v>
      </c>
      <c r="TB12" s="472"/>
      <c r="TC12" s="472"/>
      <c r="TD12" s="473"/>
      <c r="TE12" s="80" t="s">
        <v>158</v>
      </c>
      <c r="TF12" s="471" t="s">
        <v>377</v>
      </c>
      <c r="TG12" s="472"/>
      <c r="TH12" s="472"/>
      <c r="TI12" s="473"/>
      <c r="TJ12" s="80" t="s">
        <v>158</v>
      </c>
      <c r="TK12" s="471" t="s">
        <v>377</v>
      </c>
      <c r="TL12" s="472"/>
      <c r="TM12" s="472"/>
      <c r="TN12" s="473"/>
      <c r="TO12" s="80" t="s">
        <v>511</v>
      </c>
      <c r="TP12" s="471"/>
      <c r="TQ12" s="472"/>
      <c r="TR12" s="472"/>
      <c r="TS12" s="473"/>
      <c r="TT12" s="80"/>
    </row>
    <row r="13" spans="2:542" ht="45" customHeight="1" x14ac:dyDescent="0.4">
      <c r="B13" s="647"/>
      <c r="C13" s="507" t="s">
        <v>3</v>
      </c>
      <c r="D13" s="485"/>
      <c r="E13" s="485"/>
      <c r="F13" s="485"/>
      <c r="G13" s="486"/>
      <c r="H13" s="29" t="s">
        <v>149</v>
      </c>
      <c r="I13" s="13" t="s">
        <v>149</v>
      </c>
      <c r="J13" s="29" t="s">
        <v>153</v>
      </c>
      <c r="K13" s="13" t="s">
        <v>164</v>
      </c>
      <c r="L13" s="29" t="s">
        <v>155</v>
      </c>
      <c r="M13" s="13" t="s">
        <v>155</v>
      </c>
      <c r="N13" s="29" t="s">
        <v>162</v>
      </c>
      <c r="O13" s="13" t="s">
        <v>167</v>
      </c>
      <c r="P13" s="647"/>
      <c r="Q13" s="507" t="s">
        <v>3</v>
      </c>
      <c r="R13" s="485"/>
      <c r="S13" s="485"/>
      <c r="T13" s="485"/>
      <c r="U13" s="486"/>
      <c r="V13" s="29" t="s">
        <v>169</v>
      </c>
      <c r="W13" s="29" t="s">
        <v>169</v>
      </c>
      <c r="X13" s="29" t="s">
        <v>171</v>
      </c>
      <c r="Y13" s="29" t="s">
        <v>171</v>
      </c>
      <c r="Z13" s="29" t="s">
        <v>173</v>
      </c>
      <c r="AA13" s="29" t="s">
        <v>173</v>
      </c>
      <c r="AB13" s="29" t="s">
        <v>178</v>
      </c>
      <c r="AC13" s="13" t="s">
        <v>178</v>
      </c>
      <c r="AD13" s="647"/>
      <c r="AE13" s="507" t="s">
        <v>3</v>
      </c>
      <c r="AF13" s="485"/>
      <c r="AG13" s="485"/>
      <c r="AH13" s="485"/>
      <c r="AI13" s="486"/>
      <c r="AJ13" s="29" t="s">
        <v>182</v>
      </c>
      <c r="AK13" s="13" t="s">
        <v>182</v>
      </c>
      <c r="AL13" s="29" t="s">
        <v>184</v>
      </c>
      <c r="AM13" s="29" t="s">
        <v>184</v>
      </c>
      <c r="AN13" s="29" t="s">
        <v>198</v>
      </c>
      <c r="AO13" s="29" t="s">
        <v>198</v>
      </c>
      <c r="AP13" s="29" t="s">
        <v>204</v>
      </c>
      <c r="AQ13" s="13" t="s">
        <v>204</v>
      </c>
      <c r="AR13" s="647"/>
      <c r="AS13" s="507" t="s">
        <v>3</v>
      </c>
      <c r="AT13" s="485"/>
      <c r="AU13" s="485"/>
      <c r="AV13" s="485"/>
      <c r="AW13" s="486"/>
      <c r="AX13" s="29" t="s">
        <v>210</v>
      </c>
      <c r="AY13" s="29" t="s">
        <v>210</v>
      </c>
      <c r="AZ13" s="29" t="s">
        <v>213</v>
      </c>
      <c r="BA13" s="29" t="s">
        <v>213</v>
      </c>
      <c r="BB13" s="29" t="s">
        <v>218</v>
      </c>
      <c r="BC13" s="29" t="s">
        <v>218</v>
      </c>
      <c r="BD13" s="29" t="s">
        <v>220</v>
      </c>
      <c r="BE13" s="13" t="s">
        <v>220</v>
      </c>
      <c r="BF13" s="647"/>
      <c r="BG13" s="507" t="s">
        <v>3</v>
      </c>
      <c r="BH13" s="485"/>
      <c r="BI13" s="485"/>
      <c r="BJ13" s="485"/>
      <c r="BK13" s="486"/>
      <c r="BL13" s="29" t="s">
        <v>222</v>
      </c>
      <c r="BM13" s="29" t="s">
        <v>222</v>
      </c>
      <c r="BN13" s="29" t="s">
        <v>232</v>
      </c>
      <c r="BO13" s="29" t="s">
        <v>232</v>
      </c>
      <c r="BP13" s="29" t="s">
        <v>234</v>
      </c>
      <c r="BQ13" s="29" t="s">
        <v>234</v>
      </c>
      <c r="BR13" s="29" t="s">
        <v>237</v>
      </c>
      <c r="BS13" s="13" t="s">
        <v>237</v>
      </c>
      <c r="BT13" s="647"/>
      <c r="BU13" s="507" t="s">
        <v>3</v>
      </c>
      <c r="BV13" s="485"/>
      <c r="BW13" s="485"/>
      <c r="BX13" s="485"/>
      <c r="BY13" s="486"/>
      <c r="BZ13" s="13" t="s">
        <v>239</v>
      </c>
      <c r="CA13" s="13" t="s">
        <v>239</v>
      </c>
      <c r="CB13" s="13" t="s">
        <v>241</v>
      </c>
      <c r="CC13" s="29" t="s">
        <v>241</v>
      </c>
      <c r="CD13" s="29" t="s">
        <v>243</v>
      </c>
      <c r="CE13" s="29" t="s">
        <v>243</v>
      </c>
      <c r="CF13" s="29" t="s">
        <v>245</v>
      </c>
      <c r="CG13" s="13" t="s">
        <v>245</v>
      </c>
      <c r="CH13" s="647"/>
      <c r="CI13" s="507" t="s">
        <v>3</v>
      </c>
      <c r="CJ13" s="485"/>
      <c r="CK13" s="485"/>
      <c r="CL13" s="485"/>
      <c r="CM13" s="486"/>
      <c r="CN13" s="13" t="s">
        <v>247</v>
      </c>
      <c r="CO13" s="13" t="s">
        <v>247</v>
      </c>
      <c r="CP13" s="13" t="s">
        <v>249</v>
      </c>
      <c r="CQ13" s="13" t="s">
        <v>249</v>
      </c>
      <c r="CR13" s="29" t="s">
        <v>268</v>
      </c>
      <c r="CS13" s="29" t="s">
        <v>268</v>
      </c>
      <c r="CT13" s="29" t="s">
        <v>274</v>
      </c>
      <c r="CU13" s="13" t="s">
        <v>274</v>
      </c>
      <c r="CV13" s="647"/>
      <c r="CW13" s="507" t="s">
        <v>3</v>
      </c>
      <c r="CX13" s="485"/>
      <c r="CY13" s="485"/>
      <c r="CZ13" s="485"/>
      <c r="DA13" s="486"/>
      <c r="DB13" s="13" t="s">
        <v>276</v>
      </c>
      <c r="DC13" s="13" t="s">
        <v>276</v>
      </c>
      <c r="DD13" s="13" t="s">
        <v>278</v>
      </c>
      <c r="DE13" s="13" t="s">
        <v>278</v>
      </c>
      <c r="DF13" s="96"/>
      <c r="DG13" s="58"/>
      <c r="DH13" s="99"/>
      <c r="DI13" s="58"/>
      <c r="DJ13" s="647"/>
      <c r="DK13" s="507" t="s">
        <v>3</v>
      </c>
      <c r="DL13" s="485"/>
      <c r="DM13" s="485"/>
      <c r="DN13" s="485"/>
      <c r="DO13" s="486"/>
      <c r="DP13" s="611">
        <v>43751</v>
      </c>
      <c r="DQ13" s="612"/>
      <c r="DR13" s="612"/>
      <c r="DS13" s="613"/>
      <c r="DT13" s="76">
        <v>43751</v>
      </c>
      <c r="DU13" s="611">
        <v>43752</v>
      </c>
      <c r="DV13" s="612"/>
      <c r="DW13" s="612"/>
      <c r="DX13" s="613"/>
      <c r="DY13" s="76">
        <v>43752</v>
      </c>
      <c r="DZ13" s="611">
        <v>43765</v>
      </c>
      <c r="EA13" s="612"/>
      <c r="EB13" s="612"/>
      <c r="EC13" s="613"/>
      <c r="ED13" s="608" t="s">
        <v>302</v>
      </c>
      <c r="EE13" s="611">
        <v>43766</v>
      </c>
      <c r="EF13" s="612"/>
      <c r="EG13" s="612"/>
      <c r="EH13" s="613"/>
      <c r="EI13" s="608" t="s">
        <v>302</v>
      </c>
      <c r="EJ13" s="479"/>
      <c r="EK13" s="507" t="s">
        <v>3</v>
      </c>
      <c r="EL13" s="485"/>
      <c r="EM13" s="485"/>
      <c r="EN13" s="485"/>
      <c r="EO13" s="486"/>
      <c r="EP13" s="611">
        <v>43768</v>
      </c>
      <c r="EQ13" s="612"/>
      <c r="ER13" s="612"/>
      <c r="ES13" s="613"/>
      <c r="ET13" s="611" t="s">
        <v>302</v>
      </c>
      <c r="EU13" s="611">
        <v>43769</v>
      </c>
      <c r="EV13" s="612"/>
      <c r="EW13" s="612"/>
      <c r="EX13" s="613"/>
      <c r="EY13" s="611" t="s">
        <v>302</v>
      </c>
      <c r="EZ13" s="611">
        <v>43770</v>
      </c>
      <c r="FA13" s="612"/>
      <c r="FB13" s="612"/>
      <c r="FC13" s="613"/>
      <c r="FD13" s="599" t="s">
        <v>302</v>
      </c>
      <c r="FE13" s="611">
        <v>43771</v>
      </c>
      <c r="FF13" s="612"/>
      <c r="FG13" s="612"/>
      <c r="FH13" s="613"/>
      <c r="FI13" s="78">
        <v>43771</v>
      </c>
      <c r="FJ13" s="13"/>
      <c r="FK13" s="479"/>
      <c r="FL13" s="507" t="s">
        <v>3</v>
      </c>
      <c r="FM13" s="485"/>
      <c r="FN13" s="485"/>
      <c r="FO13" s="485"/>
      <c r="FP13" s="486"/>
      <c r="FQ13" s="611">
        <v>43773</v>
      </c>
      <c r="FR13" s="612"/>
      <c r="FS13" s="612"/>
      <c r="FT13" s="613"/>
      <c r="FU13" s="76">
        <v>43773</v>
      </c>
      <c r="FV13" s="611">
        <v>43774</v>
      </c>
      <c r="FW13" s="612"/>
      <c r="FX13" s="612"/>
      <c r="FY13" s="613"/>
      <c r="FZ13" s="611" t="s">
        <v>302</v>
      </c>
      <c r="GA13" s="611">
        <v>43775</v>
      </c>
      <c r="GB13" s="612"/>
      <c r="GC13" s="612"/>
      <c r="GD13" s="613"/>
      <c r="GE13" s="87" t="s">
        <v>322</v>
      </c>
      <c r="GF13" s="611">
        <v>43778</v>
      </c>
      <c r="GG13" s="612"/>
      <c r="GH13" s="612"/>
      <c r="GI13" s="613"/>
      <c r="GJ13" s="88">
        <v>43778</v>
      </c>
      <c r="GK13" s="479"/>
      <c r="GL13" s="507" t="s">
        <v>3</v>
      </c>
      <c r="GM13" s="485"/>
      <c r="GN13" s="485"/>
      <c r="GO13" s="485"/>
      <c r="GP13" s="486"/>
      <c r="GQ13" s="611">
        <v>43779</v>
      </c>
      <c r="GR13" s="612"/>
      <c r="GS13" s="612"/>
      <c r="GT13" s="613"/>
      <c r="GU13" s="10">
        <v>43779</v>
      </c>
      <c r="GV13" s="611">
        <v>43781</v>
      </c>
      <c r="GW13" s="612"/>
      <c r="GX13" s="612"/>
      <c r="GY13" s="613"/>
      <c r="GZ13" s="78">
        <v>43781</v>
      </c>
      <c r="HA13" s="611">
        <v>43784</v>
      </c>
      <c r="HB13" s="612"/>
      <c r="HC13" s="612"/>
      <c r="HD13" s="613"/>
      <c r="HE13" s="78">
        <v>43784</v>
      </c>
      <c r="HF13" s="611">
        <v>43785</v>
      </c>
      <c r="HG13" s="612"/>
      <c r="HH13" s="612"/>
      <c r="HI13" s="613"/>
      <c r="HJ13" s="78">
        <v>43785</v>
      </c>
      <c r="HK13" s="479"/>
      <c r="HL13" s="507" t="s">
        <v>3</v>
      </c>
      <c r="HM13" s="485"/>
      <c r="HN13" s="485"/>
      <c r="HO13" s="485"/>
      <c r="HP13" s="486"/>
      <c r="HQ13" s="611">
        <v>43786</v>
      </c>
      <c r="HR13" s="612"/>
      <c r="HS13" s="612"/>
      <c r="HT13" s="613"/>
      <c r="HU13" s="78">
        <v>43786</v>
      </c>
      <c r="HV13" s="611">
        <v>43790</v>
      </c>
      <c r="HW13" s="612"/>
      <c r="HX13" s="612"/>
      <c r="HY13" s="613"/>
      <c r="HZ13" s="611" t="s">
        <v>302</v>
      </c>
      <c r="IA13" s="611">
        <v>43792</v>
      </c>
      <c r="IB13" s="612"/>
      <c r="IC13" s="612"/>
      <c r="ID13" s="613"/>
      <c r="IE13" s="611" t="s">
        <v>302</v>
      </c>
      <c r="IF13" s="611">
        <v>43799</v>
      </c>
      <c r="IG13" s="612"/>
      <c r="IH13" s="612"/>
      <c r="II13" s="613"/>
      <c r="IJ13" s="87" t="s">
        <v>348</v>
      </c>
      <c r="IK13" s="479"/>
      <c r="IL13" s="507" t="s">
        <v>3</v>
      </c>
      <c r="IM13" s="485"/>
      <c r="IN13" s="485"/>
      <c r="IO13" s="485"/>
      <c r="IP13" s="486"/>
      <c r="IQ13" s="611">
        <v>43814</v>
      </c>
      <c r="IR13" s="612"/>
      <c r="IS13" s="612"/>
      <c r="IT13" s="613"/>
      <c r="IU13" s="107">
        <v>43814</v>
      </c>
      <c r="IV13" s="611">
        <v>43831</v>
      </c>
      <c r="IW13" s="612"/>
      <c r="IX13" s="612"/>
      <c r="IY13" s="613"/>
      <c r="IZ13" s="113">
        <v>43831</v>
      </c>
      <c r="JA13" s="611">
        <v>43832</v>
      </c>
      <c r="JB13" s="612"/>
      <c r="JC13" s="612"/>
      <c r="JD13" s="613"/>
      <c r="JE13" s="105">
        <v>43832</v>
      </c>
      <c r="JF13" s="611">
        <v>43833</v>
      </c>
      <c r="JG13" s="612"/>
      <c r="JH13" s="612"/>
      <c r="JI13" s="613"/>
      <c r="JJ13" s="608" t="s">
        <v>302</v>
      </c>
      <c r="JK13" s="479"/>
      <c r="JL13" s="507" t="s">
        <v>3</v>
      </c>
      <c r="JM13" s="485"/>
      <c r="JN13" s="485"/>
      <c r="JO13" s="485"/>
      <c r="JP13" s="486"/>
      <c r="JQ13" s="611">
        <v>43834</v>
      </c>
      <c r="JR13" s="612"/>
      <c r="JS13" s="612"/>
      <c r="JT13" s="613"/>
      <c r="JU13" s="112">
        <v>43834</v>
      </c>
      <c r="JV13" s="611">
        <v>43835</v>
      </c>
      <c r="JW13" s="612"/>
      <c r="JX13" s="612"/>
      <c r="JY13" s="613"/>
      <c r="JZ13" s="112">
        <v>43835</v>
      </c>
      <c r="KA13" s="611">
        <v>43839</v>
      </c>
      <c r="KB13" s="612"/>
      <c r="KC13" s="612"/>
      <c r="KD13" s="613"/>
      <c r="KE13" s="123">
        <v>43839</v>
      </c>
      <c r="KF13" s="121"/>
      <c r="KG13" s="611">
        <v>43840</v>
      </c>
      <c r="KH13" s="612"/>
      <c r="KI13" s="612"/>
      <c r="KJ13" s="613"/>
      <c r="KK13" s="608" t="s">
        <v>381</v>
      </c>
      <c r="KL13" s="479"/>
      <c r="KM13" s="507" t="s">
        <v>3</v>
      </c>
      <c r="KN13" s="485"/>
      <c r="KO13" s="485"/>
      <c r="KP13" s="485"/>
      <c r="KQ13" s="486"/>
      <c r="KR13" s="611">
        <v>43843</v>
      </c>
      <c r="KS13" s="612"/>
      <c r="KT13" s="612"/>
      <c r="KU13" s="613"/>
      <c r="KV13" s="608" t="s">
        <v>384</v>
      </c>
      <c r="KW13" s="611">
        <v>43862</v>
      </c>
      <c r="KX13" s="612"/>
      <c r="KY13" s="612"/>
      <c r="KZ13" s="613"/>
      <c r="LA13" s="608" t="s">
        <v>302</v>
      </c>
      <c r="LB13" s="611">
        <v>43863</v>
      </c>
      <c r="LC13" s="612"/>
      <c r="LD13" s="612"/>
      <c r="LE13" s="613"/>
      <c r="LF13" s="115">
        <v>43863</v>
      </c>
      <c r="LG13" s="611">
        <v>43866</v>
      </c>
      <c r="LH13" s="612"/>
      <c r="LI13" s="612"/>
      <c r="LJ13" s="613"/>
      <c r="LK13" s="608" t="s">
        <v>381</v>
      </c>
      <c r="LL13" s="479"/>
      <c r="LM13" s="507" t="s">
        <v>3</v>
      </c>
      <c r="LN13" s="485"/>
      <c r="LO13" s="485"/>
      <c r="LP13" s="485"/>
      <c r="LQ13" s="486"/>
      <c r="LR13" s="611">
        <v>43869</v>
      </c>
      <c r="LS13" s="612"/>
      <c r="LT13" s="612"/>
      <c r="LU13" s="613"/>
      <c r="LV13" s="608" t="s">
        <v>400</v>
      </c>
      <c r="LW13" s="611">
        <v>43872</v>
      </c>
      <c r="LX13" s="612"/>
      <c r="LY13" s="612"/>
      <c r="LZ13" s="613"/>
      <c r="MA13" s="140">
        <v>43872</v>
      </c>
      <c r="MB13" s="611">
        <v>43874</v>
      </c>
      <c r="MC13" s="612"/>
      <c r="MD13" s="612"/>
      <c r="ME13" s="613"/>
      <c r="MF13" s="143">
        <v>43874</v>
      </c>
      <c r="MG13" s="611">
        <v>43875</v>
      </c>
      <c r="MH13" s="612"/>
      <c r="MI13" s="612"/>
      <c r="MJ13" s="613"/>
      <c r="MK13" s="149"/>
      <c r="ML13" s="611"/>
      <c r="MM13" s="612"/>
      <c r="MN13" s="612"/>
      <c r="MO13" s="613"/>
      <c r="MP13" s="154">
        <v>43875</v>
      </c>
      <c r="MQ13" s="479"/>
      <c r="MR13" s="507" t="s">
        <v>3</v>
      </c>
      <c r="MS13" s="485"/>
      <c r="MT13" s="485"/>
      <c r="MU13" s="485"/>
      <c r="MV13" s="486"/>
      <c r="MW13" s="611">
        <v>43880</v>
      </c>
      <c r="MX13" s="612"/>
      <c r="MY13" s="612"/>
      <c r="MZ13" s="613"/>
      <c r="NA13" s="161">
        <v>43880</v>
      </c>
      <c r="NB13" s="611">
        <v>43881</v>
      </c>
      <c r="NC13" s="612"/>
      <c r="ND13" s="612"/>
      <c r="NE13" s="613"/>
      <c r="NF13" s="165">
        <v>43881</v>
      </c>
      <c r="NG13" s="611">
        <v>43882</v>
      </c>
      <c r="NH13" s="612"/>
      <c r="NI13" s="612"/>
      <c r="NJ13" s="613"/>
      <c r="NK13" s="162">
        <v>43882</v>
      </c>
      <c r="NL13" s="611">
        <v>43883</v>
      </c>
      <c r="NM13" s="612"/>
      <c r="NN13" s="612"/>
      <c r="NO13" s="613"/>
      <c r="NP13" s="171">
        <v>43883</v>
      </c>
      <c r="NQ13" s="156"/>
      <c r="NR13" s="479"/>
      <c r="NS13" s="507" t="s">
        <v>3</v>
      </c>
      <c r="NT13" s="485"/>
      <c r="NU13" s="485"/>
      <c r="NV13" s="485"/>
      <c r="NW13" s="486"/>
      <c r="NX13" s="611">
        <v>43884</v>
      </c>
      <c r="NY13" s="612"/>
      <c r="NZ13" s="612"/>
      <c r="OA13" s="613"/>
      <c r="OB13" s="168">
        <v>43884</v>
      </c>
      <c r="OC13" s="611">
        <v>43885</v>
      </c>
      <c r="OD13" s="612"/>
      <c r="OE13" s="612"/>
      <c r="OF13" s="613"/>
      <c r="OG13" s="168">
        <v>43885</v>
      </c>
      <c r="OH13" s="611">
        <v>43887</v>
      </c>
      <c r="OI13" s="612"/>
      <c r="OJ13" s="612"/>
      <c r="OK13" s="613"/>
      <c r="OL13" s="178">
        <v>43887</v>
      </c>
      <c r="OM13" s="611">
        <v>43888</v>
      </c>
      <c r="ON13" s="612"/>
      <c r="OO13" s="612"/>
      <c r="OP13" s="613"/>
      <c r="OQ13" s="608" t="s">
        <v>302</v>
      </c>
      <c r="OR13" s="177"/>
      <c r="OS13" s="479"/>
      <c r="OT13" s="507" t="s">
        <v>3</v>
      </c>
      <c r="OU13" s="485"/>
      <c r="OV13" s="485"/>
      <c r="OW13" s="485"/>
      <c r="OX13" s="486"/>
      <c r="OY13" s="611">
        <v>43892</v>
      </c>
      <c r="OZ13" s="612"/>
      <c r="PA13" s="612"/>
      <c r="PB13" s="613"/>
      <c r="PC13" s="181">
        <v>43892</v>
      </c>
      <c r="PD13" s="611">
        <v>43893</v>
      </c>
      <c r="PE13" s="612"/>
      <c r="PF13" s="612"/>
      <c r="PG13" s="613"/>
      <c r="PH13" s="177">
        <v>43893</v>
      </c>
      <c r="PI13" s="611">
        <v>43895</v>
      </c>
      <c r="PJ13" s="612"/>
      <c r="PK13" s="612"/>
      <c r="PL13" s="613"/>
      <c r="PM13" s="177">
        <v>43895</v>
      </c>
      <c r="PN13" s="611">
        <v>43896</v>
      </c>
      <c r="PO13" s="612"/>
      <c r="PP13" s="612"/>
      <c r="PQ13" s="613"/>
      <c r="PR13" s="187">
        <v>43896</v>
      </c>
      <c r="PS13" s="188"/>
      <c r="PT13" s="479"/>
      <c r="PU13" s="507" t="s">
        <v>3</v>
      </c>
      <c r="PV13" s="485"/>
      <c r="PW13" s="485"/>
      <c r="PX13" s="485"/>
      <c r="PY13" s="486"/>
      <c r="PZ13" s="611">
        <v>43898</v>
      </c>
      <c r="QA13" s="612"/>
      <c r="QB13" s="612"/>
      <c r="QC13" s="613"/>
      <c r="QD13" s="184">
        <v>43898</v>
      </c>
      <c r="QE13" s="611">
        <v>43899</v>
      </c>
      <c r="QF13" s="612"/>
      <c r="QG13" s="612"/>
      <c r="QH13" s="613"/>
      <c r="QI13" s="608" t="s">
        <v>302</v>
      </c>
      <c r="QJ13" s="611">
        <v>43901</v>
      </c>
      <c r="QK13" s="612"/>
      <c r="QL13" s="612"/>
      <c r="QM13" s="613"/>
      <c r="QN13" s="184">
        <v>43901</v>
      </c>
      <c r="QO13" s="611">
        <v>43902</v>
      </c>
      <c r="QP13" s="612"/>
      <c r="QQ13" s="612"/>
      <c r="QR13" s="613"/>
      <c r="QS13" s="184">
        <v>43902</v>
      </c>
      <c r="QT13" s="479"/>
      <c r="QU13" s="507" t="s">
        <v>3</v>
      </c>
      <c r="QV13" s="485"/>
      <c r="QW13" s="485"/>
      <c r="QX13" s="485"/>
      <c r="QY13" s="486"/>
      <c r="QZ13" s="611">
        <v>43904</v>
      </c>
      <c r="RA13" s="612"/>
      <c r="RB13" s="612"/>
      <c r="RC13" s="613"/>
      <c r="RD13" s="197">
        <v>43904</v>
      </c>
      <c r="RE13" s="611">
        <v>43905</v>
      </c>
      <c r="RF13" s="612"/>
      <c r="RG13" s="612"/>
      <c r="RH13" s="613"/>
      <c r="RI13" s="197">
        <v>43905</v>
      </c>
      <c r="RJ13" s="611">
        <v>43907</v>
      </c>
      <c r="RK13" s="612"/>
      <c r="RL13" s="612"/>
      <c r="RM13" s="613"/>
      <c r="RN13" s="608" t="s">
        <v>302</v>
      </c>
      <c r="RO13" s="611">
        <v>43908</v>
      </c>
      <c r="RP13" s="612"/>
      <c r="RQ13" s="612"/>
      <c r="RR13" s="613"/>
      <c r="RS13" s="608" t="s">
        <v>487</v>
      </c>
      <c r="RT13" s="197"/>
      <c r="RU13" s="479"/>
      <c r="RV13" s="507" t="s">
        <v>3</v>
      </c>
      <c r="RW13" s="485"/>
      <c r="RX13" s="485"/>
      <c r="RY13" s="485"/>
      <c r="RZ13" s="486"/>
      <c r="SA13" s="611">
        <v>43909</v>
      </c>
      <c r="SB13" s="612"/>
      <c r="SC13" s="612"/>
      <c r="SD13" s="613"/>
      <c r="SE13" s="608" t="s">
        <v>302</v>
      </c>
      <c r="SF13" s="611">
        <v>43910</v>
      </c>
      <c r="SG13" s="612"/>
      <c r="SH13" s="612"/>
      <c r="SI13" s="613"/>
      <c r="SJ13" s="213">
        <v>43910</v>
      </c>
      <c r="SK13" s="611">
        <v>43911</v>
      </c>
      <c r="SL13" s="612"/>
      <c r="SM13" s="612"/>
      <c r="SN13" s="613"/>
      <c r="SO13" s="213">
        <v>43911</v>
      </c>
      <c r="SP13" s="611">
        <v>43913</v>
      </c>
      <c r="SQ13" s="612"/>
      <c r="SR13" s="612"/>
      <c r="SS13" s="613"/>
      <c r="ST13" s="214">
        <v>43913</v>
      </c>
      <c r="SU13" s="479"/>
      <c r="SV13" s="507" t="s">
        <v>3</v>
      </c>
      <c r="SW13" s="485"/>
      <c r="SX13" s="485"/>
      <c r="SY13" s="485"/>
      <c r="SZ13" s="486"/>
      <c r="TA13" s="611">
        <v>43914</v>
      </c>
      <c r="TB13" s="612"/>
      <c r="TC13" s="612"/>
      <c r="TD13" s="613"/>
      <c r="TE13" s="218">
        <v>43914</v>
      </c>
      <c r="TF13" s="611">
        <v>43915</v>
      </c>
      <c r="TG13" s="612"/>
      <c r="TH13" s="612"/>
      <c r="TI13" s="613"/>
      <c r="TJ13" s="215">
        <v>43915</v>
      </c>
      <c r="TK13" s="611">
        <v>43919</v>
      </c>
      <c r="TL13" s="612"/>
      <c r="TM13" s="612"/>
      <c r="TN13" s="613"/>
      <c r="TO13" s="215">
        <v>43919</v>
      </c>
      <c r="TP13" s="611"/>
      <c r="TQ13" s="612"/>
      <c r="TR13" s="612"/>
      <c r="TS13" s="613"/>
      <c r="TT13" s="215"/>
    </row>
    <row r="14" spans="2:542" ht="45" customHeight="1" x14ac:dyDescent="0.4">
      <c r="B14" s="647"/>
      <c r="C14" s="511"/>
      <c r="D14" s="487"/>
      <c r="E14" s="487"/>
      <c r="F14" s="487"/>
      <c r="G14" s="488"/>
      <c r="H14" s="30" t="s">
        <v>150</v>
      </c>
      <c r="I14" s="14" t="s">
        <v>159</v>
      </c>
      <c r="J14" s="30" t="s">
        <v>150</v>
      </c>
      <c r="K14" s="14" t="s">
        <v>159</v>
      </c>
      <c r="L14" s="30" t="s">
        <v>150</v>
      </c>
      <c r="M14" s="14" t="s">
        <v>159</v>
      </c>
      <c r="N14" s="30" t="s">
        <v>150</v>
      </c>
      <c r="O14" s="14" t="s">
        <v>159</v>
      </c>
      <c r="P14" s="647"/>
      <c r="Q14" s="511"/>
      <c r="R14" s="487"/>
      <c r="S14" s="487"/>
      <c r="T14" s="487"/>
      <c r="U14" s="488"/>
      <c r="V14" s="30" t="s">
        <v>150</v>
      </c>
      <c r="W14" s="30" t="s">
        <v>150</v>
      </c>
      <c r="X14" s="30" t="s">
        <v>150</v>
      </c>
      <c r="Y14" s="30" t="s">
        <v>150</v>
      </c>
      <c r="Z14" s="30" t="s">
        <v>150</v>
      </c>
      <c r="AA14" s="30" t="s">
        <v>159</v>
      </c>
      <c r="AB14" s="30" t="s">
        <v>159</v>
      </c>
      <c r="AC14" s="14" t="s">
        <v>159</v>
      </c>
      <c r="AD14" s="647"/>
      <c r="AE14" s="511"/>
      <c r="AF14" s="487"/>
      <c r="AG14" s="487"/>
      <c r="AH14" s="487"/>
      <c r="AI14" s="488"/>
      <c r="AJ14" s="30" t="s">
        <v>159</v>
      </c>
      <c r="AK14" s="14" t="s">
        <v>159</v>
      </c>
      <c r="AL14" s="30" t="s">
        <v>159</v>
      </c>
      <c r="AM14" s="30" t="s">
        <v>159</v>
      </c>
      <c r="AN14" s="30" t="s">
        <v>159</v>
      </c>
      <c r="AO14" s="30" t="s">
        <v>159</v>
      </c>
      <c r="AP14" s="30" t="s">
        <v>159</v>
      </c>
      <c r="AQ14" s="14" t="s">
        <v>159</v>
      </c>
      <c r="AR14" s="647"/>
      <c r="AS14" s="511"/>
      <c r="AT14" s="487"/>
      <c r="AU14" s="487"/>
      <c r="AV14" s="487"/>
      <c r="AW14" s="488"/>
      <c r="AX14" s="30" t="s">
        <v>159</v>
      </c>
      <c r="AY14" s="30" t="s">
        <v>159</v>
      </c>
      <c r="AZ14" s="30" t="s">
        <v>159</v>
      </c>
      <c r="BA14" s="30" t="s">
        <v>159</v>
      </c>
      <c r="BB14" s="30" t="s">
        <v>159</v>
      </c>
      <c r="BC14" s="30" t="s">
        <v>159</v>
      </c>
      <c r="BD14" s="30" t="s">
        <v>159</v>
      </c>
      <c r="BE14" s="14" t="s">
        <v>159</v>
      </c>
      <c r="BF14" s="647"/>
      <c r="BG14" s="511"/>
      <c r="BH14" s="487"/>
      <c r="BI14" s="487"/>
      <c r="BJ14" s="487"/>
      <c r="BK14" s="488"/>
      <c r="BL14" s="30" t="s">
        <v>159</v>
      </c>
      <c r="BM14" s="30" t="s">
        <v>159</v>
      </c>
      <c r="BN14" s="30" t="s">
        <v>159</v>
      </c>
      <c r="BO14" s="30" t="s">
        <v>159</v>
      </c>
      <c r="BP14" s="30" t="s">
        <v>159</v>
      </c>
      <c r="BQ14" s="30" t="s">
        <v>159</v>
      </c>
      <c r="BR14" s="30" t="s">
        <v>159</v>
      </c>
      <c r="BS14" s="14" t="s">
        <v>159</v>
      </c>
      <c r="BT14" s="647"/>
      <c r="BU14" s="511"/>
      <c r="BV14" s="487"/>
      <c r="BW14" s="487"/>
      <c r="BX14" s="487"/>
      <c r="BY14" s="488"/>
      <c r="BZ14" s="14" t="s">
        <v>159</v>
      </c>
      <c r="CA14" s="14" t="s">
        <v>159</v>
      </c>
      <c r="CB14" s="14" t="s">
        <v>159</v>
      </c>
      <c r="CC14" s="30" t="s">
        <v>159</v>
      </c>
      <c r="CD14" s="30" t="s">
        <v>159</v>
      </c>
      <c r="CE14" s="30" t="s">
        <v>159</v>
      </c>
      <c r="CF14" s="30" t="s">
        <v>159</v>
      </c>
      <c r="CG14" s="14" t="s">
        <v>159</v>
      </c>
      <c r="CH14" s="647"/>
      <c r="CI14" s="511"/>
      <c r="CJ14" s="487"/>
      <c r="CK14" s="487"/>
      <c r="CL14" s="487"/>
      <c r="CM14" s="488"/>
      <c r="CN14" s="14" t="s">
        <v>159</v>
      </c>
      <c r="CO14" s="14" t="s">
        <v>159</v>
      </c>
      <c r="CP14" s="14" t="s">
        <v>159</v>
      </c>
      <c r="CQ14" s="14" t="s">
        <v>159</v>
      </c>
      <c r="CR14" s="30" t="s">
        <v>159</v>
      </c>
      <c r="CS14" s="30" t="s">
        <v>159</v>
      </c>
      <c r="CT14" s="30" t="s">
        <v>159</v>
      </c>
      <c r="CU14" s="14" t="s">
        <v>159</v>
      </c>
      <c r="CV14" s="647"/>
      <c r="CW14" s="511"/>
      <c r="CX14" s="487"/>
      <c r="CY14" s="487"/>
      <c r="CZ14" s="487"/>
      <c r="DA14" s="488"/>
      <c r="DB14" s="14" t="s">
        <v>159</v>
      </c>
      <c r="DC14" s="14" t="s">
        <v>159</v>
      </c>
      <c r="DD14" s="14" t="s">
        <v>159</v>
      </c>
      <c r="DE14" s="14" t="s">
        <v>150</v>
      </c>
      <c r="DF14" s="77"/>
      <c r="DG14" s="59"/>
      <c r="DH14" s="95"/>
      <c r="DI14" s="59"/>
      <c r="DJ14" s="647"/>
      <c r="DK14" s="511"/>
      <c r="DL14" s="487"/>
      <c r="DM14" s="487"/>
      <c r="DN14" s="487"/>
      <c r="DO14" s="488"/>
      <c r="DP14" s="496" t="s">
        <v>150</v>
      </c>
      <c r="DQ14" s="497"/>
      <c r="DR14" s="497"/>
      <c r="DS14" s="498"/>
      <c r="DT14" s="75" t="s">
        <v>150</v>
      </c>
      <c r="DU14" s="496" t="s">
        <v>150</v>
      </c>
      <c r="DV14" s="497"/>
      <c r="DW14" s="497"/>
      <c r="DX14" s="498"/>
      <c r="DY14" s="75" t="s">
        <v>150</v>
      </c>
      <c r="DZ14" s="496" t="s">
        <v>150</v>
      </c>
      <c r="EA14" s="497"/>
      <c r="EB14" s="497"/>
      <c r="EC14" s="498"/>
      <c r="ED14" s="609"/>
      <c r="EE14" s="496" t="s">
        <v>150</v>
      </c>
      <c r="EF14" s="497"/>
      <c r="EG14" s="497"/>
      <c r="EH14" s="498"/>
      <c r="EI14" s="609"/>
      <c r="EJ14" s="479"/>
      <c r="EK14" s="511"/>
      <c r="EL14" s="487"/>
      <c r="EM14" s="487"/>
      <c r="EN14" s="487"/>
      <c r="EO14" s="488"/>
      <c r="EP14" s="496" t="s">
        <v>150</v>
      </c>
      <c r="EQ14" s="497"/>
      <c r="ER14" s="497"/>
      <c r="ES14" s="498"/>
      <c r="ET14" s="624"/>
      <c r="EU14" s="496" t="s">
        <v>150</v>
      </c>
      <c r="EV14" s="497"/>
      <c r="EW14" s="497"/>
      <c r="EX14" s="498"/>
      <c r="EY14" s="624"/>
      <c r="EZ14" s="496" t="s">
        <v>150</v>
      </c>
      <c r="FA14" s="497"/>
      <c r="FB14" s="497"/>
      <c r="FC14" s="498"/>
      <c r="FD14" s="652"/>
      <c r="FE14" s="496" t="s">
        <v>150</v>
      </c>
      <c r="FF14" s="497"/>
      <c r="FG14" s="497"/>
      <c r="FH14" s="498"/>
      <c r="FI14" s="81" t="s">
        <v>159</v>
      </c>
      <c r="FJ14" s="14"/>
      <c r="FK14" s="479"/>
      <c r="FL14" s="511"/>
      <c r="FM14" s="487"/>
      <c r="FN14" s="487"/>
      <c r="FO14" s="487"/>
      <c r="FP14" s="488"/>
      <c r="FQ14" s="496" t="s">
        <v>150</v>
      </c>
      <c r="FR14" s="497"/>
      <c r="FS14" s="497"/>
      <c r="FT14" s="498"/>
      <c r="FU14" s="75" t="s">
        <v>150</v>
      </c>
      <c r="FV14" s="496" t="s">
        <v>150</v>
      </c>
      <c r="FW14" s="497"/>
      <c r="FX14" s="497"/>
      <c r="FY14" s="498"/>
      <c r="FZ14" s="624"/>
      <c r="GA14" s="496" t="s">
        <v>150</v>
      </c>
      <c r="GB14" s="497"/>
      <c r="GC14" s="497"/>
      <c r="GD14" s="498"/>
      <c r="GE14" s="14" t="s">
        <v>150</v>
      </c>
      <c r="GF14" s="496" t="s">
        <v>150</v>
      </c>
      <c r="GG14" s="497"/>
      <c r="GH14" s="497"/>
      <c r="GI14" s="498"/>
      <c r="GJ14" s="14" t="s">
        <v>159</v>
      </c>
      <c r="GK14" s="479"/>
      <c r="GL14" s="511"/>
      <c r="GM14" s="487"/>
      <c r="GN14" s="487"/>
      <c r="GO14" s="487"/>
      <c r="GP14" s="488"/>
      <c r="GQ14" s="496" t="s">
        <v>150</v>
      </c>
      <c r="GR14" s="497"/>
      <c r="GS14" s="497"/>
      <c r="GT14" s="498"/>
      <c r="GU14" s="14" t="s">
        <v>150</v>
      </c>
      <c r="GV14" s="496" t="s">
        <v>150</v>
      </c>
      <c r="GW14" s="497"/>
      <c r="GX14" s="497"/>
      <c r="GY14" s="498"/>
      <c r="GZ14" s="14" t="s">
        <v>150</v>
      </c>
      <c r="HA14" s="496" t="s">
        <v>150</v>
      </c>
      <c r="HB14" s="497"/>
      <c r="HC14" s="497"/>
      <c r="HD14" s="498"/>
      <c r="HE14" s="14" t="s">
        <v>150</v>
      </c>
      <c r="HF14" s="496" t="s">
        <v>150</v>
      </c>
      <c r="HG14" s="497"/>
      <c r="HH14" s="497"/>
      <c r="HI14" s="498"/>
      <c r="HJ14" s="14" t="s">
        <v>150</v>
      </c>
      <c r="HK14" s="479"/>
      <c r="HL14" s="511"/>
      <c r="HM14" s="487"/>
      <c r="HN14" s="487"/>
      <c r="HO14" s="487"/>
      <c r="HP14" s="488"/>
      <c r="HQ14" s="496" t="s">
        <v>150</v>
      </c>
      <c r="HR14" s="497"/>
      <c r="HS14" s="497"/>
      <c r="HT14" s="498"/>
      <c r="HU14" s="14" t="s">
        <v>150</v>
      </c>
      <c r="HV14" s="496" t="s">
        <v>150</v>
      </c>
      <c r="HW14" s="497"/>
      <c r="HX14" s="497"/>
      <c r="HY14" s="498"/>
      <c r="HZ14" s="624"/>
      <c r="IA14" s="496" t="s">
        <v>150</v>
      </c>
      <c r="IB14" s="497"/>
      <c r="IC14" s="497"/>
      <c r="ID14" s="498"/>
      <c r="IE14" s="624"/>
      <c r="IF14" s="496" t="s">
        <v>150</v>
      </c>
      <c r="IG14" s="497"/>
      <c r="IH14" s="497"/>
      <c r="II14" s="498"/>
      <c r="IJ14" s="14" t="s">
        <v>159</v>
      </c>
      <c r="IK14" s="479"/>
      <c r="IL14" s="511"/>
      <c r="IM14" s="487"/>
      <c r="IN14" s="487"/>
      <c r="IO14" s="487"/>
      <c r="IP14" s="488"/>
      <c r="IQ14" s="496" t="s">
        <v>150</v>
      </c>
      <c r="IR14" s="497"/>
      <c r="IS14" s="497"/>
      <c r="IT14" s="498"/>
      <c r="IU14" s="14" t="s">
        <v>159</v>
      </c>
      <c r="IV14" s="496" t="s">
        <v>150</v>
      </c>
      <c r="IW14" s="497"/>
      <c r="IX14" s="497"/>
      <c r="IY14" s="498"/>
      <c r="IZ14" s="14" t="s">
        <v>159</v>
      </c>
      <c r="JA14" s="496" t="s">
        <v>150</v>
      </c>
      <c r="JB14" s="497"/>
      <c r="JC14" s="497"/>
      <c r="JD14" s="498"/>
      <c r="JE14" s="14" t="s">
        <v>364</v>
      </c>
      <c r="JF14" s="496" t="s">
        <v>150</v>
      </c>
      <c r="JG14" s="497"/>
      <c r="JH14" s="497"/>
      <c r="JI14" s="498"/>
      <c r="JJ14" s="609"/>
      <c r="JK14" s="479"/>
      <c r="JL14" s="511"/>
      <c r="JM14" s="487"/>
      <c r="JN14" s="487"/>
      <c r="JO14" s="487"/>
      <c r="JP14" s="488"/>
      <c r="JQ14" s="496" t="s">
        <v>150</v>
      </c>
      <c r="JR14" s="497"/>
      <c r="JS14" s="497"/>
      <c r="JT14" s="498"/>
      <c r="JU14" s="14" t="s">
        <v>159</v>
      </c>
      <c r="JV14" s="496" t="s">
        <v>150</v>
      </c>
      <c r="JW14" s="497"/>
      <c r="JX14" s="497"/>
      <c r="JY14" s="498"/>
      <c r="JZ14" s="14" t="s">
        <v>159</v>
      </c>
      <c r="KA14" s="496" t="s">
        <v>150</v>
      </c>
      <c r="KB14" s="497"/>
      <c r="KC14" s="497"/>
      <c r="KD14" s="498"/>
      <c r="KE14" s="81" t="s">
        <v>150</v>
      </c>
      <c r="KF14" s="118"/>
      <c r="KG14" s="496" t="s">
        <v>150</v>
      </c>
      <c r="KH14" s="497"/>
      <c r="KI14" s="497"/>
      <c r="KJ14" s="498"/>
      <c r="KK14" s="609"/>
      <c r="KL14" s="479"/>
      <c r="KM14" s="511"/>
      <c r="KN14" s="487"/>
      <c r="KO14" s="487"/>
      <c r="KP14" s="487"/>
      <c r="KQ14" s="488"/>
      <c r="KR14" s="496" t="s">
        <v>159</v>
      </c>
      <c r="KS14" s="497"/>
      <c r="KT14" s="497"/>
      <c r="KU14" s="498"/>
      <c r="KV14" s="609"/>
      <c r="KW14" s="496" t="s">
        <v>159</v>
      </c>
      <c r="KX14" s="497"/>
      <c r="KY14" s="497"/>
      <c r="KZ14" s="498"/>
      <c r="LA14" s="609"/>
      <c r="LB14" s="496" t="s">
        <v>150</v>
      </c>
      <c r="LC14" s="497"/>
      <c r="LD14" s="497"/>
      <c r="LE14" s="498"/>
      <c r="LF14" s="14" t="s">
        <v>159</v>
      </c>
      <c r="LG14" s="496" t="s">
        <v>150</v>
      </c>
      <c r="LH14" s="497"/>
      <c r="LI14" s="497"/>
      <c r="LJ14" s="498"/>
      <c r="LK14" s="609"/>
      <c r="LL14" s="479"/>
      <c r="LM14" s="511"/>
      <c r="LN14" s="487"/>
      <c r="LO14" s="487"/>
      <c r="LP14" s="487"/>
      <c r="LQ14" s="488"/>
      <c r="LR14" s="496" t="s">
        <v>150</v>
      </c>
      <c r="LS14" s="497"/>
      <c r="LT14" s="497"/>
      <c r="LU14" s="498"/>
      <c r="LV14" s="609"/>
      <c r="LW14" s="496" t="s">
        <v>150</v>
      </c>
      <c r="LX14" s="497"/>
      <c r="LY14" s="497"/>
      <c r="LZ14" s="498"/>
      <c r="MA14" s="81" t="s">
        <v>159</v>
      </c>
      <c r="MB14" s="496" t="s">
        <v>150</v>
      </c>
      <c r="MC14" s="497"/>
      <c r="MD14" s="497"/>
      <c r="ME14" s="498"/>
      <c r="MF14" s="81" t="s">
        <v>159</v>
      </c>
      <c r="MG14" s="496" t="s">
        <v>410</v>
      </c>
      <c r="MH14" s="497"/>
      <c r="MI14" s="497"/>
      <c r="MJ14" s="498"/>
      <c r="MK14" s="145"/>
      <c r="ML14" s="496"/>
      <c r="MM14" s="497"/>
      <c r="MN14" s="497"/>
      <c r="MO14" s="498"/>
      <c r="MP14" s="81" t="s">
        <v>410</v>
      </c>
      <c r="MQ14" s="479"/>
      <c r="MR14" s="511"/>
      <c r="MS14" s="487"/>
      <c r="MT14" s="487"/>
      <c r="MU14" s="487"/>
      <c r="MV14" s="488"/>
      <c r="MW14" s="496" t="s">
        <v>150</v>
      </c>
      <c r="MX14" s="497"/>
      <c r="MY14" s="497"/>
      <c r="MZ14" s="498"/>
      <c r="NA14" s="81" t="s">
        <v>417</v>
      </c>
      <c r="NB14" s="496" t="s">
        <v>150</v>
      </c>
      <c r="NC14" s="497"/>
      <c r="ND14" s="497"/>
      <c r="NE14" s="498"/>
      <c r="NF14" s="81" t="s">
        <v>150</v>
      </c>
      <c r="NG14" s="496" t="s">
        <v>150</v>
      </c>
      <c r="NH14" s="497"/>
      <c r="NI14" s="497"/>
      <c r="NJ14" s="498"/>
      <c r="NK14" s="81" t="s">
        <v>159</v>
      </c>
      <c r="NL14" s="496" t="s">
        <v>150</v>
      </c>
      <c r="NM14" s="497"/>
      <c r="NN14" s="497"/>
      <c r="NO14" s="498"/>
      <c r="NP14" s="14" t="s">
        <v>159</v>
      </c>
      <c r="NQ14" s="81"/>
      <c r="NR14" s="479"/>
      <c r="NS14" s="511"/>
      <c r="NT14" s="487"/>
      <c r="NU14" s="487"/>
      <c r="NV14" s="487"/>
      <c r="NW14" s="488"/>
      <c r="NX14" s="496" t="s">
        <v>150</v>
      </c>
      <c r="NY14" s="497"/>
      <c r="NZ14" s="497"/>
      <c r="OA14" s="498"/>
      <c r="OB14" s="81" t="s">
        <v>159</v>
      </c>
      <c r="OC14" s="496" t="s">
        <v>150</v>
      </c>
      <c r="OD14" s="497"/>
      <c r="OE14" s="497"/>
      <c r="OF14" s="498"/>
      <c r="OG14" s="81" t="s">
        <v>159</v>
      </c>
      <c r="OH14" s="496" t="s">
        <v>150</v>
      </c>
      <c r="OI14" s="497"/>
      <c r="OJ14" s="497"/>
      <c r="OK14" s="498"/>
      <c r="OL14" s="81" t="s">
        <v>159</v>
      </c>
      <c r="OM14" s="496" t="s">
        <v>150</v>
      </c>
      <c r="ON14" s="497"/>
      <c r="OO14" s="497"/>
      <c r="OP14" s="498"/>
      <c r="OQ14" s="609"/>
      <c r="OR14" s="81"/>
      <c r="OS14" s="479"/>
      <c r="OT14" s="511"/>
      <c r="OU14" s="487"/>
      <c r="OV14" s="487"/>
      <c r="OW14" s="487"/>
      <c r="OX14" s="488"/>
      <c r="OY14" s="496" t="s">
        <v>150</v>
      </c>
      <c r="OZ14" s="497"/>
      <c r="PA14" s="497"/>
      <c r="PB14" s="498"/>
      <c r="PC14" s="81" t="s">
        <v>159</v>
      </c>
      <c r="PD14" s="496" t="s">
        <v>150</v>
      </c>
      <c r="PE14" s="497"/>
      <c r="PF14" s="497"/>
      <c r="PG14" s="498"/>
      <c r="PH14" s="81" t="s">
        <v>159</v>
      </c>
      <c r="PI14" s="496" t="s">
        <v>150</v>
      </c>
      <c r="PJ14" s="497"/>
      <c r="PK14" s="497"/>
      <c r="PL14" s="498"/>
      <c r="PM14" s="81" t="s">
        <v>159</v>
      </c>
      <c r="PN14" s="496" t="s">
        <v>150</v>
      </c>
      <c r="PO14" s="497"/>
      <c r="PP14" s="497"/>
      <c r="PQ14" s="498"/>
      <c r="PR14" s="81" t="s">
        <v>159</v>
      </c>
      <c r="PS14" s="83"/>
      <c r="PT14" s="479"/>
      <c r="PU14" s="511"/>
      <c r="PV14" s="487"/>
      <c r="PW14" s="487"/>
      <c r="PX14" s="487"/>
      <c r="PY14" s="488"/>
      <c r="PZ14" s="496" t="s">
        <v>459</v>
      </c>
      <c r="QA14" s="497"/>
      <c r="QB14" s="497"/>
      <c r="QC14" s="498"/>
      <c r="QD14" s="81" t="s">
        <v>159</v>
      </c>
      <c r="QE14" s="496" t="s">
        <v>159</v>
      </c>
      <c r="QF14" s="497"/>
      <c r="QG14" s="497"/>
      <c r="QH14" s="498"/>
      <c r="QI14" s="609"/>
      <c r="QJ14" s="496" t="s">
        <v>466</v>
      </c>
      <c r="QK14" s="497"/>
      <c r="QL14" s="497"/>
      <c r="QM14" s="498"/>
      <c r="QN14" s="81" t="s">
        <v>159</v>
      </c>
      <c r="QO14" s="496" t="s">
        <v>470</v>
      </c>
      <c r="QP14" s="497"/>
      <c r="QQ14" s="497"/>
      <c r="QR14" s="498"/>
      <c r="QS14" s="81" t="s">
        <v>159</v>
      </c>
      <c r="QT14" s="479"/>
      <c r="QU14" s="511"/>
      <c r="QV14" s="487"/>
      <c r="QW14" s="487"/>
      <c r="QX14" s="487"/>
      <c r="QY14" s="488"/>
      <c r="QZ14" s="496" t="s">
        <v>150</v>
      </c>
      <c r="RA14" s="497"/>
      <c r="RB14" s="497"/>
      <c r="RC14" s="498"/>
      <c r="RD14" s="81" t="s">
        <v>478</v>
      </c>
      <c r="RE14" s="496" t="s">
        <v>150</v>
      </c>
      <c r="RF14" s="497"/>
      <c r="RG14" s="497"/>
      <c r="RH14" s="498"/>
      <c r="RI14" s="81" t="s">
        <v>478</v>
      </c>
      <c r="RJ14" s="496" t="s">
        <v>150</v>
      </c>
      <c r="RK14" s="497"/>
      <c r="RL14" s="497"/>
      <c r="RM14" s="498"/>
      <c r="RN14" s="609"/>
      <c r="RO14" s="496" t="s">
        <v>150</v>
      </c>
      <c r="RP14" s="497"/>
      <c r="RQ14" s="497"/>
      <c r="RR14" s="498"/>
      <c r="RS14" s="609"/>
      <c r="RT14" s="81"/>
      <c r="RU14" s="479"/>
      <c r="RV14" s="511"/>
      <c r="RW14" s="487"/>
      <c r="RX14" s="487"/>
      <c r="RY14" s="487"/>
      <c r="RZ14" s="488"/>
      <c r="SA14" s="496" t="s">
        <v>150</v>
      </c>
      <c r="SB14" s="497"/>
      <c r="SC14" s="497"/>
      <c r="SD14" s="498"/>
      <c r="SE14" s="609"/>
      <c r="SF14" s="496" t="s">
        <v>150</v>
      </c>
      <c r="SG14" s="497"/>
      <c r="SH14" s="497"/>
      <c r="SI14" s="498"/>
      <c r="SJ14" s="81" t="s">
        <v>159</v>
      </c>
      <c r="SK14" s="496" t="s">
        <v>150</v>
      </c>
      <c r="SL14" s="497"/>
      <c r="SM14" s="497"/>
      <c r="SN14" s="498"/>
      <c r="SO14" s="81" t="s">
        <v>159</v>
      </c>
      <c r="SP14" s="496" t="s">
        <v>498</v>
      </c>
      <c r="SQ14" s="497"/>
      <c r="SR14" s="497"/>
      <c r="SS14" s="498"/>
      <c r="ST14" s="81" t="s">
        <v>159</v>
      </c>
      <c r="SU14" s="479"/>
      <c r="SV14" s="511"/>
      <c r="SW14" s="487"/>
      <c r="SX14" s="487"/>
      <c r="SY14" s="487"/>
      <c r="SZ14" s="488"/>
      <c r="TA14" s="496" t="s">
        <v>503</v>
      </c>
      <c r="TB14" s="497"/>
      <c r="TC14" s="497"/>
      <c r="TD14" s="498"/>
      <c r="TE14" s="220" t="s">
        <v>159</v>
      </c>
      <c r="TF14" s="496" t="s">
        <v>506</v>
      </c>
      <c r="TG14" s="497"/>
      <c r="TH14" s="497"/>
      <c r="TI14" s="498"/>
      <c r="TJ14" s="81" t="s">
        <v>159</v>
      </c>
      <c r="TK14" s="496" t="s">
        <v>150</v>
      </c>
      <c r="TL14" s="497"/>
      <c r="TM14" s="497"/>
      <c r="TN14" s="498"/>
      <c r="TO14" s="81" t="s">
        <v>159</v>
      </c>
      <c r="TP14" s="496"/>
      <c r="TQ14" s="497"/>
      <c r="TR14" s="497"/>
      <c r="TS14" s="498"/>
      <c r="TT14" s="81"/>
    </row>
    <row r="15" spans="2:542" ht="45" customHeight="1" x14ac:dyDescent="0.4">
      <c r="B15" s="647"/>
      <c r="C15" s="508" t="s">
        <v>1</v>
      </c>
      <c r="D15" s="617"/>
      <c r="E15" s="617"/>
      <c r="F15" s="617"/>
      <c r="G15" s="510"/>
      <c r="H15" s="31">
        <v>0.52083333333333337</v>
      </c>
      <c r="I15" s="41">
        <v>0.52083333333333337</v>
      </c>
      <c r="J15" s="31">
        <v>0.5</v>
      </c>
      <c r="K15" s="41">
        <v>0.54166666666666663</v>
      </c>
      <c r="L15" s="31">
        <v>0.5</v>
      </c>
      <c r="M15" s="31">
        <v>0.5</v>
      </c>
      <c r="N15" s="31">
        <v>0.5</v>
      </c>
      <c r="O15" s="41">
        <v>0.5</v>
      </c>
      <c r="P15" s="647"/>
      <c r="Q15" s="508" t="s">
        <v>1</v>
      </c>
      <c r="R15" s="617"/>
      <c r="S15" s="617"/>
      <c r="T15" s="617"/>
      <c r="U15" s="510"/>
      <c r="V15" s="31">
        <v>0.5</v>
      </c>
      <c r="W15" s="31">
        <v>0.5</v>
      </c>
      <c r="X15" s="31">
        <v>0.5</v>
      </c>
      <c r="Y15" s="31">
        <v>0.5</v>
      </c>
      <c r="Z15" s="31">
        <v>0.5</v>
      </c>
      <c r="AA15" s="31">
        <v>0.52083333333333337</v>
      </c>
      <c r="AB15" s="31">
        <v>0.5</v>
      </c>
      <c r="AC15" s="41">
        <v>0.52083333333333337</v>
      </c>
      <c r="AD15" s="647"/>
      <c r="AE15" s="508" t="s">
        <v>1</v>
      </c>
      <c r="AF15" s="617"/>
      <c r="AG15" s="617"/>
      <c r="AH15" s="617"/>
      <c r="AI15" s="510"/>
      <c r="AJ15" s="31">
        <v>0.5</v>
      </c>
      <c r="AK15" s="31">
        <v>0.5</v>
      </c>
      <c r="AL15" s="31">
        <v>0.52083333333333337</v>
      </c>
      <c r="AM15" s="31">
        <v>0.47916666666666669</v>
      </c>
      <c r="AN15" s="31">
        <v>0.5</v>
      </c>
      <c r="AO15" s="31">
        <v>0.52083333333333337</v>
      </c>
      <c r="AP15" s="31">
        <v>0.5</v>
      </c>
      <c r="AQ15" s="41">
        <v>0.5</v>
      </c>
      <c r="AR15" s="647"/>
      <c r="AS15" s="508" t="s">
        <v>1</v>
      </c>
      <c r="AT15" s="617"/>
      <c r="AU15" s="617"/>
      <c r="AV15" s="617"/>
      <c r="AW15" s="510"/>
      <c r="AX15" s="31">
        <v>0.5</v>
      </c>
      <c r="AY15" s="31">
        <v>0.5</v>
      </c>
      <c r="AZ15" s="31">
        <v>0.5</v>
      </c>
      <c r="BA15" s="31">
        <v>0.5</v>
      </c>
      <c r="BB15" s="31">
        <v>0.5</v>
      </c>
      <c r="BC15" s="31">
        <v>0.5</v>
      </c>
      <c r="BD15" s="31">
        <v>0.5</v>
      </c>
      <c r="BE15" s="41">
        <v>0.52083333333333337</v>
      </c>
      <c r="BF15" s="647"/>
      <c r="BG15" s="508" t="s">
        <v>1</v>
      </c>
      <c r="BH15" s="617"/>
      <c r="BI15" s="617"/>
      <c r="BJ15" s="617"/>
      <c r="BK15" s="510"/>
      <c r="BL15" s="31">
        <v>0.5</v>
      </c>
      <c r="BM15" s="31">
        <v>0.5</v>
      </c>
      <c r="BN15" s="31">
        <v>0.52083333333333337</v>
      </c>
      <c r="BO15" s="31">
        <v>0.41666666666666669</v>
      </c>
      <c r="BP15" s="31">
        <v>0.5</v>
      </c>
      <c r="BQ15" s="31">
        <v>0.52083333333333337</v>
      </c>
      <c r="BR15" s="31">
        <v>0.5</v>
      </c>
      <c r="BS15" s="41">
        <v>0.4375</v>
      </c>
      <c r="BT15" s="647"/>
      <c r="BU15" s="508" t="s">
        <v>1</v>
      </c>
      <c r="BV15" s="617"/>
      <c r="BW15" s="617"/>
      <c r="BX15" s="617"/>
      <c r="BY15" s="510"/>
      <c r="BZ15" s="41">
        <v>0.5</v>
      </c>
      <c r="CA15" s="41">
        <v>0.5</v>
      </c>
      <c r="CB15" s="41">
        <v>0.5</v>
      </c>
      <c r="CC15" s="31">
        <v>0.54166666666666663</v>
      </c>
      <c r="CD15" s="31">
        <v>0.5</v>
      </c>
      <c r="CE15" s="31">
        <v>0.47916666666666669</v>
      </c>
      <c r="CF15" s="31">
        <v>0.5</v>
      </c>
      <c r="CG15" s="41">
        <v>0.52083333333333337</v>
      </c>
      <c r="CH15" s="647"/>
      <c r="CI15" s="508" t="s">
        <v>1</v>
      </c>
      <c r="CJ15" s="617"/>
      <c r="CK15" s="617"/>
      <c r="CL15" s="617"/>
      <c r="CM15" s="510"/>
      <c r="CN15" s="41">
        <v>0.5</v>
      </c>
      <c r="CO15" s="41">
        <v>0.58333333333333337</v>
      </c>
      <c r="CP15" s="41">
        <v>0.5</v>
      </c>
      <c r="CQ15" s="41">
        <v>0.52083333333333337</v>
      </c>
      <c r="CR15" s="31">
        <v>0.5</v>
      </c>
      <c r="CS15" s="31">
        <v>0.5</v>
      </c>
      <c r="CT15" s="31">
        <v>0.52083333333333337</v>
      </c>
      <c r="CU15" s="41">
        <v>0.5</v>
      </c>
      <c r="CV15" s="647"/>
      <c r="CW15" s="508" t="s">
        <v>1</v>
      </c>
      <c r="CX15" s="617"/>
      <c r="CY15" s="617"/>
      <c r="CZ15" s="617"/>
      <c r="DA15" s="510"/>
      <c r="DB15" s="41">
        <v>0.5</v>
      </c>
      <c r="DC15" s="41">
        <v>0.5</v>
      </c>
      <c r="DD15" s="41">
        <v>0.5</v>
      </c>
      <c r="DE15" s="41">
        <v>0.5</v>
      </c>
      <c r="DF15" s="77"/>
      <c r="DG15" s="60"/>
      <c r="DH15" s="95"/>
      <c r="DI15" s="60"/>
      <c r="DJ15" s="647"/>
      <c r="DK15" s="508" t="s">
        <v>1</v>
      </c>
      <c r="DL15" s="617"/>
      <c r="DM15" s="617"/>
      <c r="DN15" s="617"/>
      <c r="DO15" s="510"/>
      <c r="DP15" s="584">
        <v>0.5</v>
      </c>
      <c r="DQ15" s="585"/>
      <c r="DR15" s="585"/>
      <c r="DS15" s="586"/>
      <c r="DT15" s="74">
        <v>0.45833333333333331</v>
      </c>
      <c r="DU15" s="584">
        <v>0.5</v>
      </c>
      <c r="DV15" s="585"/>
      <c r="DW15" s="585"/>
      <c r="DX15" s="586"/>
      <c r="DY15" s="74">
        <v>0.52083333333333337</v>
      </c>
      <c r="DZ15" s="584">
        <v>0.5</v>
      </c>
      <c r="EA15" s="585"/>
      <c r="EB15" s="585"/>
      <c r="EC15" s="586"/>
      <c r="ED15" s="609"/>
      <c r="EE15" s="584">
        <v>0.5</v>
      </c>
      <c r="EF15" s="585"/>
      <c r="EG15" s="585"/>
      <c r="EH15" s="586"/>
      <c r="EI15" s="609"/>
      <c r="EJ15" s="479"/>
      <c r="EK15" s="507" t="s">
        <v>1</v>
      </c>
      <c r="EL15" s="485"/>
      <c r="EM15" s="485"/>
      <c r="EN15" s="485"/>
      <c r="EO15" s="486"/>
      <c r="EP15" s="584">
        <v>0.5</v>
      </c>
      <c r="EQ15" s="585"/>
      <c r="ER15" s="585"/>
      <c r="ES15" s="586"/>
      <c r="ET15" s="624"/>
      <c r="EU15" s="584">
        <v>0.5</v>
      </c>
      <c r="EV15" s="585"/>
      <c r="EW15" s="585"/>
      <c r="EX15" s="586"/>
      <c r="EY15" s="624"/>
      <c r="EZ15" s="584">
        <v>0.5</v>
      </c>
      <c r="FA15" s="585"/>
      <c r="FB15" s="585"/>
      <c r="FC15" s="586"/>
      <c r="FD15" s="652"/>
      <c r="FE15" s="584">
        <v>0.5</v>
      </c>
      <c r="FF15" s="585"/>
      <c r="FG15" s="585"/>
      <c r="FH15" s="586"/>
      <c r="FI15" s="82">
        <v>0.47916666666666669</v>
      </c>
      <c r="FJ15" s="41"/>
      <c r="FK15" s="479"/>
      <c r="FL15" s="507" t="s">
        <v>1</v>
      </c>
      <c r="FM15" s="485"/>
      <c r="FN15" s="485"/>
      <c r="FO15" s="485"/>
      <c r="FP15" s="486"/>
      <c r="FQ15" s="584">
        <v>0.5</v>
      </c>
      <c r="FR15" s="585"/>
      <c r="FS15" s="585"/>
      <c r="FT15" s="586"/>
      <c r="FU15" s="74">
        <v>0.52083333333333337</v>
      </c>
      <c r="FV15" s="584">
        <v>0.5</v>
      </c>
      <c r="FW15" s="585"/>
      <c r="FX15" s="585"/>
      <c r="FY15" s="586"/>
      <c r="FZ15" s="624"/>
      <c r="GA15" s="584">
        <v>0.5</v>
      </c>
      <c r="GB15" s="585"/>
      <c r="GC15" s="585"/>
      <c r="GD15" s="586"/>
      <c r="GE15" s="41">
        <v>0.5</v>
      </c>
      <c r="GF15" s="584">
        <v>0.5</v>
      </c>
      <c r="GG15" s="585"/>
      <c r="GH15" s="585"/>
      <c r="GI15" s="586"/>
      <c r="GJ15" s="41">
        <v>0.47916666666666669</v>
      </c>
      <c r="GK15" s="479"/>
      <c r="GL15" s="507" t="s">
        <v>1</v>
      </c>
      <c r="GM15" s="485"/>
      <c r="GN15" s="485"/>
      <c r="GO15" s="485"/>
      <c r="GP15" s="486"/>
      <c r="GQ15" s="584">
        <v>0.5</v>
      </c>
      <c r="GR15" s="585"/>
      <c r="GS15" s="585"/>
      <c r="GT15" s="586"/>
      <c r="GU15" s="41">
        <v>0.5</v>
      </c>
      <c r="GV15" s="584">
        <v>0.5</v>
      </c>
      <c r="GW15" s="585"/>
      <c r="GX15" s="585"/>
      <c r="GY15" s="586"/>
      <c r="GZ15" s="41">
        <v>0.52083333333333337</v>
      </c>
      <c r="HA15" s="584">
        <v>0.5</v>
      </c>
      <c r="HB15" s="585"/>
      <c r="HC15" s="585"/>
      <c r="HD15" s="586"/>
      <c r="HE15" s="41">
        <v>0.52083333333333337</v>
      </c>
      <c r="HF15" s="584">
        <v>0.5</v>
      </c>
      <c r="HG15" s="585"/>
      <c r="HH15" s="585"/>
      <c r="HI15" s="586"/>
      <c r="HJ15" s="90">
        <v>0.5</v>
      </c>
      <c r="HK15" s="479"/>
      <c r="HL15" s="507" t="s">
        <v>1</v>
      </c>
      <c r="HM15" s="485"/>
      <c r="HN15" s="485"/>
      <c r="HO15" s="485"/>
      <c r="HP15" s="486"/>
      <c r="HQ15" s="584">
        <v>0.5</v>
      </c>
      <c r="HR15" s="585"/>
      <c r="HS15" s="585"/>
      <c r="HT15" s="586"/>
      <c r="HU15" s="90">
        <v>0.5</v>
      </c>
      <c r="HV15" s="584">
        <v>0.5</v>
      </c>
      <c r="HW15" s="585"/>
      <c r="HX15" s="585"/>
      <c r="HY15" s="586"/>
      <c r="HZ15" s="624"/>
      <c r="IA15" s="584">
        <v>0.5</v>
      </c>
      <c r="IB15" s="585"/>
      <c r="IC15" s="585"/>
      <c r="ID15" s="586"/>
      <c r="IE15" s="624"/>
      <c r="IF15" s="584">
        <v>0.5</v>
      </c>
      <c r="IG15" s="585"/>
      <c r="IH15" s="585"/>
      <c r="II15" s="586"/>
      <c r="IJ15" s="41">
        <v>0.54166666666666663</v>
      </c>
      <c r="IK15" s="479"/>
      <c r="IL15" s="507" t="s">
        <v>1</v>
      </c>
      <c r="IM15" s="485"/>
      <c r="IN15" s="485"/>
      <c r="IO15" s="485"/>
      <c r="IP15" s="486"/>
      <c r="IQ15" s="584">
        <v>0.5</v>
      </c>
      <c r="IR15" s="585"/>
      <c r="IS15" s="585"/>
      <c r="IT15" s="586"/>
      <c r="IU15" s="106">
        <v>0.5</v>
      </c>
      <c r="IV15" s="584">
        <v>0.52083333333333337</v>
      </c>
      <c r="IW15" s="585"/>
      <c r="IX15" s="585"/>
      <c r="IY15" s="586"/>
      <c r="IZ15" s="103">
        <v>0.54166666666666663</v>
      </c>
      <c r="JA15" s="584">
        <v>0.5</v>
      </c>
      <c r="JB15" s="585"/>
      <c r="JC15" s="585"/>
      <c r="JD15" s="586"/>
      <c r="JE15" s="103">
        <v>0.52083333333333337</v>
      </c>
      <c r="JF15" s="584">
        <v>0.5</v>
      </c>
      <c r="JG15" s="585"/>
      <c r="JH15" s="585"/>
      <c r="JI15" s="586"/>
      <c r="JJ15" s="609"/>
      <c r="JK15" s="479"/>
      <c r="JL15" s="507" t="s">
        <v>1</v>
      </c>
      <c r="JM15" s="485"/>
      <c r="JN15" s="485"/>
      <c r="JO15" s="485"/>
      <c r="JP15" s="486"/>
      <c r="JQ15" s="584">
        <v>0.5</v>
      </c>
      <c r="JR15" s="585"/>
      <c r="JS15" s="585"/>
      <c r="JT15" s="586"/>
      <c r="JU15" s="109">
        <v>0.52083333333333337</v>
      </c>
      <c r="JV15" s="584">
        <v>0.5</v>
      </c>
      <c r="JW15" s="585"/>
      <c r="JX15" s="585"/>
      <c r="JY15" s="586"/>
      <c r="JZ15" s="109">
        <v>0.52083333333333337</v>
      </c>
      <c r="KA15" s="584">
        <v>0.52083333333333337</v>
      </c>
      <c r="KB15" s="585"/>
      <c r="KC15" s="585"/>
      <c r="KD15" s="586"/>
      <c r="KE15" s="82">
        <v>0.52083333333333337</v>
      </c>
      <c r="KF15" s="109"/>
      <c r="KG15" s="584">
        <v>0.5</v>
      </c>
      <c r="KH15" s="585"/>
      <c r="KI15" s="585"/>
      <c r="KJ15" s="586"/>
      <c r="KK15" s="609"/>
      <c r="KL15" s="479"/>
      <c r="KM15" s="507" t="s">
        <v>1</v>
      </c>
      <c r="KN15" s="485"/>
      <c r="KO15" s="485"/>
      <c r="KP15" s="485"/>
      <c r="KQ15" s="486"/>
      <c r="KR15" s="584">
        <v>0.5</v>
      </c>
      <c r="KS15" s="585"/>
      <c r="KT15" s="585"/>
      <c r="KU15" s="586"/>
      <c r="KV15" s="609"/>
      <c r="KW15" s="584">
        <v>0.5</v>
      </c>
      <c r="KX15" s="585"/>
      <c r="KY15" s="585"/>
      <c r="KZ15" s="586"/>
      <c r="LA15" s="609"/>
      <c r="LB15" s="584">
        <v>0.52083333333333337</v>
      </c>
      <c r="LC15" s="585"/>
      <c r="LD15" s="585"/>
      <c r="LE15" s="586"/>
      <c r="LF15" s="132">
        <v>0.52083333333333337</v>
      </c>
      <c r="LG15" s="584">
        <v>0.52083333333333337</v>
      </c>
      <c r="LH15" s="585"/>
      <c r="LI15" s="585"/>
      <c r="LJ15" s="586"/>
      <c r="LK15" s="609"/>
      <c r="LL15" s="479"/>
      <c r="LM15" s="507" t="s">
        <v>1</v>
      </c>
      <c r="LN15" s="485"/>
      <c r="LO15" s="485"/>
      <c r="LP15" s="485"/>
      <c r="LQ15" s="486"/>
      <c r="LR15" s="584">
        <v>0.52083333333333337</v>
      </c>
      <c r="LS15" s="585"/>
      <c r="LT15" s="585"/>
      <c r="LU15" s="586"/>
      <c r="LV15" s="609"/>
      <c r="LW15" s="584">
        <v>0.5</v>
      </c>
      <c r="LX15" s="585"/>
      <c r="LY15" s="585"/>
      <c r="LZ15" s="586"/>
      <c r="MA15" s="82">
        <v>0.52083333333333337</v>
      </c>
      <c r="MB15" s="584">
        <v>0.52083333333333337</v>
      </c>
      <c r="MC15" s="585"/>
      <c r="MD15" s="585"/>
      <c r="ME15" s="586"/>
      <c r="MF15" s="137">
        <v>0.52083333333333337</v>
      </c>
      <c r="MG15" s="584">
        <v>0.5</v>
      </c>
      <c r="MH15" s="585"/>
      <c r="MI15" s="585"/>
      <c r="MJ15" s="586"/>
      <c r="MK15" s="150"/>
      <c r="ML15" s="584"/>
      <c r="MM15" s="585"/>
      <c r="MN15" s="585"/>
      <c r="MO15" s="586"/>
      <c r="MP15" s="82">
        <v>0.52083333333333337</v>
      </c>
      <c r="MQ15" s="479"/>
      <c r="MR15" s="507" t="s">
        <v>1</v>
      </c>
      <c r="MS15" s="485"/>
      <c r="MT15" s="485"/>
      <c r="MU15" s="485"/>
      <c r="MV15" s="486"/>
      <c r="MW15" s="584">
        <v>0.52083333333333337</v>
      </c>
      <c r="MX15" s="585"/>
      <c r="MY15" s="585"/>
      <c r="MZ15" s="586"/>
      <c r="NA15" s="82">
        <v>0.52083333333333337</v>
      </c>
      <c r="NB15" s="584">
        <v>0.52083333333333337</v>
      </c>
      <c r="NC15" s="585"/>
      <c r="ND15" s="585"/>
      <c r="NE15" s="586"/>
      <c r="NF15" s="82">
        <v>0.52083333333333337</v>
      </c>
      <c r="NG15" s="584">
        <v>0.5</v>
      </c>
      <c r="NH15" s="585"/>
      <c r="NI15" s="585"/>
      <c r="NJ15" s="586"/>
      <c r="NK15" s="82">
        <v>0.52083333333333337</v>
      </c>
      <c r="NL15" s="584">
        <v>0.52083333333333337</v>
      </c>
      <c r="NM15" s="585"/>
      <c r="NN15" s="585"/>
      <c r="NO15" s="586"/>
      <c r="NP15" s="169">
        <v>0.60416666666666663</v>
      </c>
      <c r="NQ15" s="82"/>
      <c r="NR15" s="479"/>
      <c r="NS15" s="507" t="s">
        <v>1</v>
      </c>
      <c r="NT15" s="485"/>
      <c r="NU15" s="485"/>
      <c r="NV15" s="485"/>
      <c r="NW15" s="486"/>
      <c r="NX15" s="584">
        <v>0.52083333333333337</v>
      </c>
      <c r="NY15" s="585"/>
      <c r="NZ15" s="585"/>
      <c r="OA15" s="586"/>
      <c r="OB15" s="82">
        <v>0.52083333333333337</v>
      </c>
      <c r="OC15" s="584">
        <v>0.5</v>
      </c>
      <c r="OD15" s="585"/>
      <c r="OE15" s="585"/>
      <c r="OF15" s="586"/>
      <c r="OG15" s="82">
        <v>0.52083333333333337</v>
      </c>
      <c r="OH15" s="584">
        <v>0.52083333333333337</v>
      </c>
      <c r="OI15" s="585"/>
      <c r="OJ15" s="585"/>
      <c r="OK15" s="586"/>
      <c r="OL15" s="82">
        <v>0.52083333333333337</v>
      </c>
      <c r="OM15" s="584">
        <v>0.52083333333333337</v>
      </c>
      <c r="ON15" s="585"/>
      <c r="OO15" s="585"/>
      <c r="OP15" s="586"/>
      <c r="OQ15" s="609"/>
      <c r="OR15" s="82"/>
      <c r="OS15" s="479"/>
      <c r="OT15" s="507" t="s">
        <v>1</v>
      </c>
      <c r="OU15" s="485"/>
      <c r="OV15" s="485"/>
      <c r="OW15" s="485"/>
      <c r="OX15" s="486"/>
      <c r="OY15" s="584">
        <v>0.52083333333333337</v>
      </c>
      <c r="OZ15" s="585"/>
      <c r="PA15" s="585"/>
      <c r="PB15" s="586"/>
      <c r="PC15" s="82">
        <v>0.54166666666666663</v>
      </c>
      <c r="PD15" s="584">
        <v>0.52083333333333337</v>
      </c>
      <c r="PE15" s="585"/>
      <c r="PF15" s="585"/>
      <c r="PG15" s="586"/>
      <c r="PH15" s="82">
        <v>0.52083333333333337</v>
      </c>
      <c r="PI15" s="584">
        <v>0.52083333333333337</v>
      </c>
      <c r="PJ15" s="585"/>
      <c r="PK15" s="585"/>
      <c r="PL15" s="586"/>
      <c r="PM15" s="82">
        <v>0.52083333333333337</v>
      </c>
      <c r="PN15" s="584">
        <v>0.5</v>
      </c>
      <c r="PO15" s="585"/>
      <c r="PP15" s="585"/>
      <c r="PQ15" s="586"/>
      <c r="PR15" s="82">
        <v>0.52083333333333337</v>
      </c>
      <c r="PS15" s="83"/>
      <c r="PT15" s="479"/>
      <c r="PU15" s="507" t="s">
        <v>1</v>
      </c>
      <c r="PV15" s="485"/>
      <c r="PW15" s="485"/>
      <c r="PX15" s="485"/>
      <c r="PY15" s="486"/>
      <c r="PZ15" s="584">
        <v>0.5</v>
      </c>
      <c r="QA15" s="585"/>
      <c r="QB15" s="585"/>
      <c r="QC15" s="586"/>
      <c r="QD15" s="82">
        <v>0.5625</v>
      </c>
      <c r="QE15" s="584">
        <v>0.5</v>
      </c>
      <c r="QF15" s="585"/>
      <c r="QG15" s="585"/>
      <c r="QH15" s="586"/>
      <c r="QI15" s="609"/>
      <c r="QJ15" s="584">
        <v>0.52083333333333337</v>
      </c>
      <c r="QK15" s="585"/>
      <c r="QL15" s="585"/>
      <c r="QM15" s="586"/>
      <c r="QN15" s="82">
        <v>0.52083333333333337</v>
      </c>
      <c r="QO15" s="584">
        <v>0.5</v>
      </c>
      <c r="QP15" s="585"/>
      <c r="QQ15" s="585"/>
      <c r="QR15" s="586"/>
      <c r="QS15" s="82">
        <v>0.52083333333333337</v>
      </c>
      <c r="QT15" s="479"/>
      <c r="QU15" s="507" t="s">
        <v>1</v>
      </c>
      <c r="QV15" s="485"/>
      <c r="QW15" s="485"/>
      <c r="QX15" s="485"/>
      <c r="QY15" s="486"/>
      <c r="QZ15" s="584">
        <v>0.52083333333333337</v>
      </c>
      <c r="RA15" s="585"/>
      <c r="RB15" s="585"/>
      <c r="RC15" s="586"/>
      <c r="RD15" s="82">
        <v>0.54166666666666663</v>
      </c>
      <c r="RE15" s="584">
        <v>0.52083333333333337</v>
      </c>
      <c r="RF15" s="585"/>
      <c r="RG15" s="585"/>
      <c r="RH15" s="586"/>
      <c r="RI15" s="82">
        <v>0.52083333333333337</v>
      </c>
      <c r="RJ15" s="584">
        <v>0.52083333333333337</v>
      </c>
      <c r="RK15" s="585"/>
      <c r="RL15" s="585"/>
      <c r="RM15" s="586"/>
      <c r="RN15" s="609"/>
      <c r="RO15" s="584">
        <v>0.52083333333333337</v>
      </c>
      <c r="RP15" s="585"/>
      <c r="RQ15" s="585"/>
      <c r="RR15" s="586"/>
      <c r="RS15" s="609"/>
      <c r="RT15" s="82"/>
      <c r="RU15" s="479"/>
      <c r="RV15" s="507" t="s">
        <v>1</v>
      </c>
      <c r="RW15" s="485"/>
      <c r="RX15" s="485"/>
      <c r="RY15" s="485"/>
      <c r="RZ15" s="486"/>
      <c r="SA15" s="584">
        <v>0.52083333333333337</v>
      </c>
      <c r="SB15" s="585"/>
      <c r="SC15" s="585"/>
      <c r="SD15" s="586"/>
      <c r="SE15" s="609"/>
      <c r="SF15" s="584">
        <v>0.52083333333333337</v>
      </c>
      <c r="SG15" s="585"/>
      <c r="SH15" s="585"/>
      <c r="SI15" s="586"/>
      <c r="SJ15" s="82">
        <v>0.52083333333333337</v>
      </c>
      <c r="SK15" s="584">
        <v>0.5</v>
      </c>
      <c r="SL15" s="585"/>
      <c r="SM15" s="585"/>
      <c r="SN15" s="586"/>
      <c r="SO15" s="82">
        <v>0.52083333333333337</v>
      </c>
      <c r="SP15" s="584">
        <v>0.5</v>
      </c>
      <c r="SQ15" s="585"/>
      <c r="SR15" s="585"/>
      <c r="SS15" s="586"/>
      <c r="ST15" s="82">
        <v>0.52083333333333337</v>
      </c>
      <c r="SU15" s="479"/>
      <c r="SV15" s="507" t="s">
        <v>1</v>
      </c>
      <c r="SW15" s="485"/>
      <c r="SX15" s="485"/>
      <c r="SY15" s="485"/>
      <c r="SZ15" s="486"/>
      <c r="TA15" s="584">
        <v>0.5</v>
      </c>
      <c r="TB15" s="585"/>
      <c r="TC15" s="585"/>
      <c r="TD15" s="586"/>
      <c r="TE15" s="83">
        <v>0.52083333333333337</v>
      </c>
      <c r="TF15" s="584">
        <v>0.5</v>
      </c>
      <c r="TG15" s="585"/>
      <c r="TH15" s="585"/>
      <c r="TI15" s="586"/>
      <c r="TJ15" s="82">
        <v>0.5</v>
      </c>
      <c r="TK15" s="584">
        <v>0.5</v>
      </c>
      <c r="TL15" s="585"/>
      <c r="TM15" s="585"/>
      <c r="TN15" s="586"/>
      <c r="TO15" s="82">
        <v>0.52083333333333337</v>
      </c>
      <c r="TP15" s="584"/>
      <c r="TQ15" s="585"/>
      <c r="TR15" s="585"/>
      <c r="TS15" s="586"/>
      <c r="TT15" s="82"/>
    </row>
    <row r="16" spans="2:542" ht="30" customHeight="1" x14ac:dyDescent="0.4">
      <c r="B16" s="647"/>
      <c r="C16" s="508"/>
      <c r="D16" s="617"/>
      <c r="E16" s="617"/>
      <c r="F16" s="617"/>
      <c r="G16" s="510"/>
      <c r="H16" s="32" t="s">
        <v>2</v>
      </c>
      <c r="I16" s="42" t="s">
        <v>160</v>
      </c>
      <c r="J16" s="32" t="s">
        <v>2</v>
      </c>
      <c r="K16" s="42" t="s">
        <v>160</v>
      </c>
      <c r="L16" s="32" t="s">
        <v>2</v>
      </c>
      <c r="M16" s="32" t="s">
        <v>160</v>
      </c>
      <c r="N16" s="32" t="s">
        <v>2</v>
      </c>
      <c r="O16" s="42" t="s">
        <v>160</v>
      </c>
      <c r="P16" s="647"/>
      <c r="Q16" s="508"/>
      <c r="R16" s="617"/>
      <c r="S16" s="617"/>
      <c r="T16" s="617"/>
      <c r="U16" s="510"/>
      <c r="V16" s="32" t="s">
        <v>2</v>
      </c>
      <c r="W16" s="32" t="s">
        <v>2</v>
      </c>
      <c r="X16" s="32" t="s">
        <v>2</v>
      </c>
      <c r="Y16" s="32" t="s">
        <v>2</v>
      </c>
      <c r="Z16" s="32" t="s">
        <v>2</v>
      </c>
      <c r="AA16" s="32" t="s">
        <v>2</v>
      </c>
      <c r="AB16" s="32" t="s">
        <v>160</v>
      </c>
      <c r="AC16" s="42" t="s">
        <v>160</v>
      </c>
      <c r="AD16" s="647"/>
      <c r="AE16" s="508"/>
      <c r="AF16" s="617"/>
      <c r="AG16" s="617"/>
      <c r="AH16" s="617"/>
      <c r="AI16" s="510"/>
      <c r="AJ16" s="32" t="s">
        <v>160</v>
      </c>
      <c r="AK16" s="32" t="s">
        <v>160</v>
      </c>
      <c r="AL16" s="32" t="s">
        <v>160</v>
      </c>
      <c r="AM16" s="32" t="s">
        <v>160</v>
      </c>
      <c r="AN16" s="32" t="s">
        <v>160</v>
      </c>
      <c r="AO16" s="32" t="s">
        <v>160</v>
      </c>
      <c r="AP16" s="32" t="s">
        <v>160</v>
      </c>
      <c r="AQ16" s="42" t="s">
        <v>160</v>
      </c>
      <c r="AR16" s="647"/>
      <c r="AS16" s="508"/>
      <c r="AT16" s="617"/>
      <c r="AU16" s="617"/>
      <c r="AV16" s="617"/>
      <c r="AW16" s="510"/>
      <c r="AX16" s="32" t="s">
        <v>160</v>
      </c>
      <c r="AY16" s="32" t="s">
        <v>160</v>
      </c>
      <c r="AZ16" s="32" t="s">
        <v>160</v>
      </c>
      <c r="BA16" s="32" t="s">
        <v>160</v>
      </c>
      <c r="BB16" s="32" t="s">
        <v>160</v>
      </c>
      <c r="BC16" s="32" t="s">
        <v>160</v>
      </c>
      <c r="BD16" s="32" t="s">
        <v>160</v>
      </c>
      <c r="BE16" s="42" t="s">
        <v>160</v>
      </c>
      <c r="BF16" s="647"/>
      <c r="BG16" s="508"/>
      <c r="BH16" s="617"/>
      <c r="BI16" s="617"/>
      <c r="BJ16" s="617"/>
      <c r="BK16" s="510"/>
      <c r="BL16" s="32" t="s">
        <v>160</v>
      </c>
      <c r="BM16" s="32" t="s">
        <v>160</v>
      </c>
      <c r="BN16" s="32" t="s">
        <v>160</v>
      </c>
      <c r="BO16" s="32" t="s">
        <v>160</v>
      </c>
      <c r="BP16" s="32" t="s">
        <v>160</v>
      </c>
      <c r="BQ16" s="32" t="s">
        <v>160</v>
      </c>
      <c r="BR16" s="32" t="s">
        <v>160</v>
      </c>
      <c r="BS16" s="42" t="s">
        <v>160</v>
      </c>
      <c r="BT16" s="647"/>
      <c r="BU16" s="508"/>
      <c r="BV16" s="617"/>
      <c r="BW16" s="617"/>
      <c r="BX16" s="617"/>
      <c r="BY16" s="510"/>
      <c r="BZ16" s="42" t="s">
        <v>160</v>
      </c>
      <c r="CA16" s="42" t="s">
        <v>160</v>
      </c>
      <c r="CB16" s="42" t="s">
        <v>160</v>
      </c>
      <c r="CC16" s="32" t="s">
        <v>160</v>
      </c>
      <c r="CD16" s="32" t="s">
        <v>160</v>
      </c>
      <c r="CE16" s="32" t="s">
        <v>160</v>
      </c>
      <c r="CF16" s="32" t="s">
        <v>160</v>
      </c>
      <c r="CG16" s="42" t="s">
        <v>160</v>
      </c>
      <c r="CH16" s="647"/>
      <c r="CI16" s="508"/>
      <c r="CJ16" s="617"/>
      <c r="CK16" s="617"/>
      <c r="CL16" s="617"/>
      <c r="CM16" s="510"/>
      <c r="CN16" s="42" t="s">
        <v>160</v>
      </c>
      <c r="CO16" s="42" t="s">
        <v>160</v>
      </c>
      <c r="CP16" s="42" t="s">
        <v>160</v>
      </c>
      <c r="CQ16" s="42" t="s">
        <v>160</v>
      </c>
      <c r="CR16" s="32" t="s">
        <v>160</v>
      </c>
      <c r="CS16" s="32" t="s">
        <v>160</v>
      </c>
      <c r="CT16" s="32" t="s">
        <v>160</v>
      </c>
      <c r="CU16" s="42" t="s">
        <v>160</v>
      </c>
      <c r="CV16" s="647"/>
      <c r="CW16" s="508"/>
      <c r="CX16" s="617"/>
      <c r="CY16" s="617"/>
      <c r="CZ16" s="617"/>
      <c r="DA16" s="510"/>
      <c r="DB16" s="42" t="s">
        <v>160</v>
      </c>
      <c r="DC16" s="42" t="s">
        <v>160</v>
      </c>
      <c r="DD16" s="42" t="s">
        <v>160</v>
      </c>
      <c r="DE16" s="42" t="s">
        <v>160</v>
      </c>
      <c r="DF16" s="32"/>
      <c r="DG16" s="55"/>
      <c r="DH16" s="55"/>
      <c r="DI16" s="55"/>
      <c r="DJ16" s="647"/>
      <c r="DK16" s="508"/>
      <c r="DL16" s="617"/>
      <c r="DM16" s="617"/>
      <c r="DN16" s="617"/>
      <c r="DO16" s="510"/>
      <c r="DP16" s="513" t="str">
        <f>IF(DP15="","","～")</f>
        <v>～</v>
      </c>
      <c r="DQ16" s="568"/>
      <c r="DR16" s="568"/>
      <c r="DS16" s="515"/>
      <c r="DT16" s="32" t="str">
        <f>IF(DT15="","","～")</f>
        <v>～</v>
      </c>
      <c r="DU16" s="513" t="str">
        <f>IF(DU15="","","～")</f>
        <v>～</v>
      </c>
      <c r="DV16" s="568"/>
      <c r="DW16" s="568"/>
      <c r="DX16" s="515"/>
      <c r="DY16" s="32" t="str">
        <f>IF(DY15="","","～")</f>
        <v>～</v>
      </c>
      <c r="DZ16" s="513" t="str">
        <f>IF(DZ15="","","～")</f>
        <v>～</v>
      </c>
      <c r="EA16" s="568"/>
      <c r="EB16" s="568"/>
      <c r="EC16" s="515"/>
      <c r="ED16" s="609"/>
      <c r="EE16" s="513" t="str">
        <f>IF(EE15="","","～")</f>
        <v>～</v>
      </c>
      <c r="EF16" s="568"/>
      <c r="EG16" s="568"/>
      <c r="EH16" s="515"/>
      <c r="EI16" s="609"/>
      <c r="EJ16" s="479"/>
      <c r="EK16" s="508"/>
      <c r="EL16" s="617"/>
      <c r="EM16" s="617"/>
      <c r="EN16" s="617"/>
      <c r="EO16" s="510"/>
      <c r="EP16" s="513" t="str">
        <f>IF(EP15="","","～")</f>
        <v>～</v>
      </c>
      <c r="EQ16" s="568"/>
      <c r="ER16" s="568"/>
      <c r="ES16" s="515"/>
      <c r="ET16" s="624"/>
      <c r="EU16" s="513" t="str">
        <f>IF(EU15="","","～")</f>
        <v>～</v>
      </c>
      <c r="EV16" s="568"/>
      <c r="EW16" s="568"/>
      <c r="EX16" s="515"/>
      <c r="EY16" s="624"/>
      <c r="EZ16" s="513" t="str">
        <f>IF(EZ15="","","～")</f>
        <v>～</v>
      </c>
      <c r="FA16" s="568"/>
      <c r="FB16" s="568"/>
      <c r="FC16" s="515"/>
      <c r="FD16" s="652"/>
      <c r="FE16" s="513" t="str">
        <f>IF(FE15="","","～")</f>
        <v>～</v>
      </c>
      <c r="FF16" s="568"/>
      <c r="FG16" s="568"/>
      <c r="FH16" s="515"/>
      <c r="FI16" s="42" t="s">
        <v>2</v>
      </c>
      <c r="FJ16" s="42"/>
      <c r="FK16" s="479"/>
      <c r="FL16" s="508"/>
      <c r="FM16" s="617"/>
      <c r="FN16" s="617"/>
      <c r="FO16" s="617"/>
      <c r="FP16" s="510"/>
      <c r="FQ16" s="513" t="str">
        <f>IF(FQ15="","","～")</f>
        <v>～</v>
      </c>
      <c r="FR16" s="568"/>
      <c r="FS16" s="568"/>
      <c r="FT16" s="515"/>
      <c r="FU16" s="32" t="s">
        <v>2</v>
      </c>
      <c r="FV16" s="513" t="str">
        <f>IF(FV15="","","～")</f>
        <v>～</v>
      </c>
      <c r="FW16" s="568"/>
      <c r="FX16" s="568"/>
      <c r="FY16" s="515"/>
      <c r="FZ16" s="624"/>
      <c r="GA16" s="513" t="str">
        <f>IF(GA15="","","～")</f>
        <v>～</v>
      </c>
      <c r="GB16" s="568"/>
      <c r="GC16" s="568"/>
      <c r="GD16" s="515"/>
      <c r="GE16" s="42" t="s">
        <v>2</v>
      </c>
      <c r="GF16" s="513" t="str">
        <f>IF(GF15="","","～")</f>
        <v>～</v>
      </c>
      <c r="GG16" s="568"/>
      <c r="GH16" s="568"/>
      <c r="GI16" s="515"/>
      <c r="GJ16" s="42" t="s">
        <v>2</v>
      </c>
      <c r="GK16" s="479"/>
      <c r="GL16" s="508"/>
      <c r="GM16" s="617"/>
      <c r="GN16" s="617"/>
      <c r="GO16" s="617"/>
      <c r="GP16" s="510"/>
      <c r="GQ16" s="513" t="str">
        <f>IF(GQ15="","","～")</f>
        <v>～</v>
      </c>
      <c r="GR16" s="568"/>
      <c r="GS16" s="568"/>
      <c r="GT16" s="515"/>
      <c r="GU16" s="42" t="s">
        <v>2</v>
      </c>
      <c r="GV16" s="513" t="str">
        <f>IF(GV15="","","～")</f>
        <v>～</v>
      </c>
      <c r="GW16" s="568"/>
      <c r="GX16" s="568"/>
      <c r="GY16" s="515"/>
      <c r="GZ16" s="42" t="s">
        <v>2</v>
      </c>
      <c r="HA16" s="513" t="str">
        <f>IF(HA15="","","～")</f>
        <v>～</v>
      </c>
      <c r="HB16" s="568"/>
      <c r="HC16" s="568"/>
      <c r="HD16" s="515"/>
      <c r="HE16" s="42" t="s">
        <v>2</v>
      </c>
      <c r="HF16" s="513" t="str">
        <f>IF(HF15="","","～")</f>
        <v>～</v>
      </c>
      <c r="HG16" s="568"/>
      <c r="HH16" s="568"/>
      <c r="HI16" s="515"/>
      <c r="HJ16" s="89" t="s">
        <v>160</v>
      </c>
      <c r="HK16" s="479"/>
      <c r="HL16" s="508"/>
      <c r="HM16" s="617"/>
      <c r="HN16" s="617"/>
      <c r="HO16" s="617"/>
      <c r="HP16" s="510"/>
      <c r="HQ16" s="513" t="str">
        <f>IF(HQ15="","","～")</f>
        <v>～</v>
      </c>
      <c r="HR16" s="568"/>
      <c r="HS16" s="568"/>
      <c r="HT16" s="515"/>
      <c r="HU16" s="89" t="s">
        <v>160</v>
      </c>
      <c r="HV16" s="513" t="str">
        <f>IF(HV15="","","～")</f>
        <v>～</v>
      </c>
      <c r="HW16" s="568"/>
      <c r="HX16" s="568"/>
      <c r="HY16" s="515"/>
      <c r="HZ16" s="624"/>
      <c r="IA16" s="513" t="str">
        <f>IF(IA15="","","～")</f>
        <v>～</v>
      </c>
      <c r="IB16" s="568"/>
      <c r="IC16" s="568"/>
      <c r="ID16" s="515"/>
      <c r="IE16" s="624"/>
      <c r="IF16" s="513" t="str">
        <f>IF(IF15="","","～")</f>
        <v>～</v>
      </c>
      <c r="IG16" s="568"/>
      <c r="IH16" s="568"/>
      <c r="II16" s="515"/>
      <c r="IJ16" s="42" t="s">
        <v>349</v>
      </c>
      <c r="IK16" s="479"/>
      <c r="IL16" s="508"/>
      <c r="IM16" s="617"/>
      <c r="IN16" s="617"/>
      <c r="IO16" s="617"/>
      <c r="IP16" s="510"/>
      <c r="IQ16" s="513" t="str">
        <f>IF(IQ15="","","～")</f>
        <v>～</v>
      </c>
      <c r="IR16" s="568"/>
      <c r="IS16" s="568"/>
      <c r="IT16" s="515"/>
      <c r="IU16" s="102" t="s">
        <v>353</v>
      </c>
      <c r="IV16" s="513" t="str">
        <f>IF(IV15="","","～")</f>
        <v>～</v>
      </c>
      <c r="IW16" s="568"/>
      <c r="IX16" s="568"/>
      <c r="IY16" s="515"/>
      <c r="IZ16" s="102" t="s">
        <v>362</v>
      </c>
      <c r="JA16" s="513" t="str">
        <f>IF(JA15="","","～")</f>
        <v>～</v>
      </c>
      <c r="JB16" s="568"/>
      <c r="JC16" s="568"/>
      <c r="JD16" s="515"/>
      <c r="JE16" s="102" t="s">
        <v>362</v>
      </c>
      <c r="JF16" s="513" t="str">
        <f>IF(JF15="","","～")</f>
        <v>～</v>
      </c>
      <c r="JG16" s="568"/>
      <c r="JH16" s="568"/>
      <c r="JI16" s="515"/>
      <c r="JJ16" s="609"/>
      <c r="JK16" s="479"/>
      <c r="JL16" s="508"/>
      <c r="JM16" s="617"/>
      <c r="JN16" s="617"/>
      <c r="JO16" s="617"/>
      <c r="JP16" s="510"/>
      <c r="JQ16" s="513" t="str">
        <f>IF(JQ15="","","～")</f>
        <v>～</v>
      </c>
      <c r="JR16" s="568"/>
      <c r="JS16" s="568"/>
      <c r="JT16" s="515"/>
      <c r="JU16" s="110" t="s">
        <v>2</v>
      </c>
      <c r="JV16" s="513" t="str">
        <f>IF(JV15="","","～")</f>
        <v>～</v>
      </c>
      <c r="JW16" s="568"/>
      <c r="JX16" s="568"/>
      <c r="JY16" s="515"/>
      <c r="JZ16" s="110" t="s">
        <v>362</v>
      </c>
      <c r="KA16" s="513" t="str">
        <f>IF(KA15="","","～")</f>
        <v>～</v>
      </c>
      <c r="KB16" s="568"/>
      <c r="KC16" s="568"/>
      <c r="KD16" s="515"/>
      <c r="KE16" s="42" t="str">
        <f>IF(KE15="","","～")</f>
        <v>～</v>
      </c>
      <c r="KF16" s="110"/>
      <c r="KG16" s="513" t="str">
        <f>IF(KG15="","","～")</f>
        <v>～</v>
      </c>
      <c r="KH16" s="568"/>
      <c r="KI16" s="568"/>
      <c r="KJ16" s="515"/>
      <c r="KK16" s="609"/>
      <c r="KL16" s="479"/>
      <c r="KM16" s="508"/>
      <c r="KN16" s="617"/>
      <c r="KO16" s="617"/>
      <c r="KP16" s="617"/>
      <c r="KQ16" s="510"/>
      <c r="KR16" s="513" t="s">
        <v>160</v>
      </c>
      <c r="KS16" s="568"/>
      <c r="KT16" s="568"/>
      <c r="KU16" s="515"/>
      <c r="KV16" s="609"/>
      <c r="KW16" s="513" t="s">
        <v>160</v>
      </c>
      <c r="KX16" s="568"/>
      <c r="KY16" s="568"/>
      <c r="KZ16" s="515"/>
      <c r="LA16" s="609"/>
      <c r="LB16" s="513" t="str">
        <f>IF(LB15="","","～")</f>
        <v>～</v>
      </c>
      <c r="LC16" s="568"/>
      <c r="LD16" s="568"/>
      <c r="LE16" s="515"/>
      <c r="LF16" s="114" t="s">
        <v>392</v>
      </c>
      <c r="LG16" s="513" t="str">
        <f>IF(LG15="","","～")</f>
        <v>～</v>
      </c>
      <c r="LH16" s="568"/>
      <c r="LI16" s="568"/>
      <c r="LJ16" s="515"/>
      <c r="LK16" s="609"/>
      <c r="LL16" s="479"/>
      <c r="LM16" s="508"/>
      <c r="LN16" s="617"/>
      <c r="LO16" s="617"/>
      <c r="LP16" s="617"/>
      <c r="LQ16" s="510"/>
      <c r="LR16" s="513" t="str">
        <f>IF(LR15="","","～")</f>
        <v>～</v>
      </c>
      <c r="LS16" s="568"/>
      <c r="LT16" s="568"/>
      <c r="LU16" s="515"/>
      <c r="LV16" s="609"/>
      <c r="LW16" s="513" t="str">
        <f>IF(LW15="","","～")</f>
        <v>～</v>
      </c>
      <c r="LX16" s="568"/>
      <c r="LY16" s="568"/>
      <c r="LZ16" s="515"/>
      <c r="MA16" s="42" t="s">
        <v>403</v>
      </c>
      <c r="MB16" s="513" t="str">
        <f>IF(MB15="","","～")</f>
        <v>～</v>
      </c>
      <c r="MC16" s="568"/>
      <c r="MD16" s="568"/>
      <c r="ME16" s="515"/>
      <c r="MF16" s="138" t="s">
        <v>407</v>
      </c>
      <c r="MG16" s="513" t="str">
        <f>IF(MG15="","","～")</f>
        <v>～</v>
      </c>
      <c r="MH16" s="568"/>
      <c r="MI16" s="568"/>
      <c r="MJ16" s="515"/>
      <c r="MK16" s="151"/>
      <c r="ML16" s="513"/>
      <c r="MM16" s="568"/>
      <c r="MN16" s="568"/>
      <c r="MO16" s="515"/>
      <c r="MP16" s="42" t="s">
        <v>2</v>
      </c>
      <c r="MQ16" s="479"/>
      <c r="MR16" s="508"/>
      <c r="MS16" s="617"/>
      <c r="MT16" s="617"/>
      <c r="MU16" s="617"/>
      <c r="MV16" s="510"/>
      <c r="MW16" s="513" t="str">
        <f>IF(MW15="","","～")</f>
        <v>～</v>
      </c>
      <c r="MX16" s="568"/>
      <c r="MY16" s="568"/>
      <c r="MZ16" s="515"/>
      <c r="NA16" s="42" t="s">
        <v>160</v>
      </c>
      <c r="NB16" s="513" t="str">
        <f>IF(NB15="","","～")</f>
        <v>～</v>
      </c>
      <c r="NC16" s="568"/>
      <c r="ND16" s="568"/>
      <c r="NE16" s="515"/>
      <c r="NF16" s="42" t="s">
        <v>160</v>
      </c>
      <c r="NG16" s="513" t="str">
        <f>IF(NG15="","","～")</f>
        <v>～</v>
      </c>
      <c r="NH16" s="568"/>
      <c r="NI16" s="568"/>
      <c r="NJ16" s="515"/>
      <c r="NK16" s="42" t="s">
        <v>429</v>
      </c>
      <c r="NL16" s="513" t="str">
        <f>IF(NL15="","","～")</f>
        <v>～</v>
      </c>
      <c r="NM16" s="568"/>
      <c r="NN16" s="568"/>
      <c r="NO16" s="515"/>
      <c r="NP16" s="170" t="s">
        <v>429</v>
      </c>
      <c r="NQ16" s="42"/>
      <c r="NR16" s="479"/>
      <c r="NS16" s="508"/>
      <c r="NT16" s="617"/>
      <c r="NU16" s="617"/>
      <c r="NV16" s="617"/>
      <c r="NW16" s="510"/>
      <c r="NX16" s="513" t="str">
        <f>IF(NX15="","","～")</f>
        <v>～</v>
      </c>
      <c r="NY16" s="568"/>
      <c r="NZ16" s="568"/>
      <c r="OA16" s="515"/>
      <c r="OB16" s="42" t="s">
        <v>429</v>
      </c>
      <c r="OC16" s="513" t="str">
        <f>IF(OC15="","","～")</f>
        <v>～</v>
      </c>
      <c r="OD16" s="568"/>
      <c r="OE16" s="568"/>
      <c r="OF16" s="515"/>
      <c r="OG16" s="42" t="s">
        <v>429</v>
      </c>
      <c r="OH16" s="513" t="str">
        <f>IF(OH15="","","～")</f>
        <v>～</v>
      </c>
      <c r="OI16" s="568"/>
      <c r="OJ16" s="568"/>
      <c r="OK16" s="515"/>
      <c r="OL16" s="42" t="s">
        <v>437</v>
      </c>
      <c r="OM16" s="513" t="str">
        <f>IF(OM15="","","～")</f>
        <v>～</v>
      </c>
      <c r="ON16" s="568"/>
      <c r="OO16" s="568"/>
      <c r="OP16" s="515"/>
      <c r="OQ16" s="609"/>
      <c r="OR16" s="42"/>
      <c r="OS16" s="479"/>
      <c r="OT16" s="508"/>
      <c r="OU16" s="617"/>
      <c r="OV16" s="617"/>
      <c r="OW16" s="617"/>
      <c r="OX16" s="510"/>
      <c r="OY16" s="513" t="str">
        <f>IF(OY15="","","～")</f>
        <v>～</v>
      </c>
      <c r="OZ16" s="568"/>
      <c r="PA16" s="568"/>
      <c r="PB16" s="515"/>
      <c r="PC16" s="42" t="s">
        <v>444</v>
      </c>
      <c r="PD16" s="513" t="str">
        <f>IF(PD15="","","～")</f>
        <v>～</v>
      </c>
      <c r="PE16" s="568"/>
      <c r="PF16" s="568"/>
      <c r="PG16" s="515"/>
      <c r="PH16" s="42" t="s">
        <v>447</v>
      </c>
      <c r="PI16" s="513" t="str">
        <f>IF(PI15="","","～")</f>
        <v>～</v>
      </c>
      <c r="PJ16" s="568"/>
      <c r="PK16" s="568"/>
      <c r="PL16" s="515"/>
      <c r="PM16" s="42" t="s">
        <v>452</v>
      </c>
      <c r="PN16" s="513" t="str">
        <f>IF(PN15="","","～")</f>
        <v>～</v>
      </c>
      <c r="PO16" s="568"/>
      <c r="PP16" s="568"/>
      <c r="PQ16" s="515"/>
      <c r="PR16" s="42" t="s">
        <v>457</v>
      </c>
      <c r="PS16" s="42"/>
      <c r="PT16" s="479"/>
      <c r="PU16" s="508"/>
      <c r="PV16" s="617"/>
      <c r="PW16" s="617"/>
      <c r="PX16" s="617"/>
      <c r="PY16" s="510"/>
      <c r="PZ16" s="513" t="s">
        <v>160</v>
      </c>
      <c r="QA16" s="568"/>
      <c r="QB16" s="568"/>
      <c r="QC16" s="515"/>
      <c r="QD16" s="42" t="s">
        <v>457</v>
      </c>
      <c r="QE16" s="513" t="s">
        <v>160</v>
      </c>
      <c r="QF16" s="568"/>
      <c r="QG16" s="568"/>
      <c r="QH16" s="515"/>
      <c r="QI16" s="609"/>
      <c r="QJ16" s="513" t="s">
        <v>160</v>
      </c>
      <c r="QK16" s="568"/>
      <c r="QL16" s="568"/>
      <c r="QM16" s="515"/>
      <c r="QN16" s="42" t="s">
        <v>467</v>
      </c>
      <c r="QO16" s="513" t="s">
        <v>160</v>
      </c>
      <c r="QP16" s="568"/>
      <c r="QQ16" s="568"/>
      <c r="QR16" s="515"/>
      <c r="QS16" s="42" t="s">
        <v>471</v>
      </c>
      <c r="QT16" s="479"/>
      <c r="QU16" s="508"/>
      <c r="QV16" s="617"/>
      <c r="QW16" s="617"/>
      <c r="QX16" s="617"/>
      <c r="QY16" s="510"/>
      <c r="QZ16" s="513" t="str">
        <f>IF(QZ15="","","～")</f>
        <v>～</v>
      </c>
      <c r="RA16" s="568"/>
      <c r="RB16" s="568"/>
      <c r="RC16" s="515"/>
      <c r="RD16" s="42" t="s">
        <v>479</v>
      </c>
      <c r="RE16" s="513" t="str">
        <f>IF(RE15="","","～")</f>
        <v>～</v>
      </c>
      <c r="RF16" s="568"/>
      <c r="RG16" s="568"/>
      <c r="RH16" s="515"/>
      <c r="RI16" s="42" t="s">
        <v>479</v>
      </c>
      <c r="RJ16" s="513" t="str">
        <f>IF(RJ15="","","～")</f>
        <v>～</v>
      </c>
      <c r="RK16" s="568"/>
      <c r="RL16" s="568"/>
      <c r="RM16" s="515"/>
      <c r="RN16" s="609"/>
      <c r="RO16" s="513" t="str">
        <f>IF(RO15="","","～")</f>
        <v>～</v>
      </c>
      <c r="RP16" s="568"/>
      <c r="RQ16" s="568"/>
      <c r="RR16" s="515"/>
      <c r="RS16" s="609"/>
      <c r="RT16" s="42"/>
      <c r="RU16" s="479"/>
      <c r="RV16" s="508"/>
      <c r="RW16" s="617"/>
      <c r="RX16" s="617"/>
      <c r="RY16" s="617"/>
      <c r="RZ16" s="510"/>
      <c r="SA16" s="513" t="str">
        <f>IF(SA15="","","～")</f>
        <v>～</v>
      </c>
      <c r="SB16" s="568"/>
      <c r="SC16" s="568"/>
      <c r="SD16" s="515"/>
      <c r="SE16" s="609"/>
      <c r="SF16" s="513" t="str">
        <f>IF(SF15="","","～")</f>
        <v>～</v>
      </c>
      <c r="SG16" s="568"/>
      <c r="SH16" s="568"/>
      <c r="SI16" s="515"/>
      <c r="SJ16" s="208" t="s">
        <v>492</v>
      </c>
      <c r="SK16" s="513" t="str">
        <f>IF(SK15="","","～")</f>
        <v>～</v>
      </c>
      <c r="SL16" s="568"/>
      <c r="SM16" s="568"/>
      <c r="SN16" s="515"/>
      <c r="SO16" s="42" t="s">
        <v>492</v>
      </c>
      <c r="SP16" s="513" t="s">
        <v>160</v>
      </c>
      <c r="SQ16" s="568"/>
      <c r="SR16" s="568"/>
      <c r="SS16" s="515"/>
      <c r="ST16" s="42" t="s">
        <v>499</v>
      </c>
      <c r="SU16" s="479"/>
      <c r="SV16" s="508"/>
      <c r="SW16" s="617"/>
      <c r="SX16" s="617"/>
      <c r="SY16" s="617"/>
      <c r="SZ16" s="510"/>
      <c r="TA16" s="513" t="s">
        <v>160</v>
      </c>
      <c r="TB16" s="568"/>
      <c r="TC16" s="568"/>
      <c r="TD16" s="515"/>
      <c r="TE16" s="42" t="s">
        <v>2</v>
      </c>
      <c r="TF16" s="513" t="s">
        <v>160</v>
      </c>
      <c r="TG16" s="568"/>
      <c r="TH16" s="568"/>
      <c r="TI16" s="515"/>
      <c r="TJ16" s="208" t="s">
        <v>507</v>
      </c>
      <c r="TK16" s="513" t="s">
        <v>512</v>
      </c>
      <c r="TL16" s="568"/>
      <c r="TM16" s="568"/>
      <c r="TN16" s="515"/>
      <c r="TO16" s="42" t="s">
        <v>160</v>
      </c>
      <c r="TP16" s="513"/>
      <c r="TQ16" s="568"/>
      <c r="TR16" s="568"/>
      <c r="TS16" s="515"/>
      <c r="TT16" s="42"/>
    </row>
    <row r="17" spans="2:540" ht="45" customHeight="1" x14ac:dyDescent="0.4">
      <c r="B17" s="647"/>
      <c r="C17" s="511"/>
      <c r="D17" s="487"/>
      <c r="E17" s="487"/>
      <c r="F17" s="487"/>
      <c r="G17" s="488"/>
      <c r="H17" s="33">
        <v>0.54166666666666663</v>
      </c>
      <c r="I17" s="43">
        <v>0.54166666666666663</v>
      </c>
      <c r="J17" s="33">
        <v>0.52083333333333337</v>
      </c>
      <c r="K17" s="43">
        <v>0.5625</v>
      </c>
      <c r="L17" s="33">
        <v>0.52083333333333337</v>
      </c>
      <c r="M17" s="33">
        <v>0.52083333333333337</v>
      </c>
      <c r="N17" s="33">
        <v>0.52083333333333337</v>
      </c>
      <c r="O17" s="44">
        <v>0.52083333333333337</v>
      </c>
      <c r="P17" s="647"/>
      <c r="Q17" s="511"/>
      <c r="R17" s="487"/>
      <c r="S17" s="487"/>
      <c r="T17" s="487"/>
      <c r="U17" s="488"/>
      <c r="V17" s="33">
        <v>0.52083333333333337</v>
      </c>
      <c r="W17" s="33">
        <v>0.52083333333333337</v>
      </c>
      <c r="X17" s="33">
        <v>0.52083333333333337</v>
      </c>
      <c r="Y17" s="33">
        <v>0.52083333333333337</v>
      </c>
      <c r="Z17" s="33">
        <v>0.52083333333333337</v>
      </c>
      <c r="AA17" s="33">
        <v>0.54166666666666663</v>
      </c>
      <c r="AB17" s="33">
        <v>0.52083333333333337</v>
      </c>
      <c r="AC17" s="44">
        <v>0.54166666666666663</v>
      </c>
      <c r="AD17" s="647"/>
      <c r="AE17" s="511"/>
      <c r="AF17" s="487"/>
      <c r="AG17" s="487"/>
      <c r="AH17" s="487"/>
      <c r="AI17" s="488"/>
      <c r="AJ17" s="33">
        <v>0.52083333333333337</v>
      </c>
      <c r="AK17" s="33">
        <v>0.52083333333333337</v>
      </c>
      <c r="AL17" s="33">
        <v>0.54166666666666663</v>
      </c>
      <c r="AM17" s="33">
        <v>0.5</v>
      </c>
      <c r="AN17" s="33">
        <v>0.52083333333333337</v>
      </c>
      <c r="AO17" s="33">
        <v>0.54166666666666663</v>
      </c>
      <c r="AP17" s="33">
        <v>0.52083333333333337</v>
      </c>
      <c r="AQ17" s="44">
        <v>0.52083333333333337</v>
      </c>
      <c r="AR17" s="647"/>
      <c r="AS17" s="511"/>
      <c r="AT17" s="487"/>
      <c r="AU17" s="487"/>
      <c r="AV17" s="487"/>
      <c r="AW17" s="488"/>
      <c r="AX17" s="33">
        <v>0.52083333333333337</v>
      </c>
      <c r="AY17" s="33">
        <v>0.52083333333333337</v>
      </c>
      <c r="AZ17" s="33">
        <v>0.52083333333333337</v>
      </c>
      <c r="BA17" s="33">
        <v>0.52083333333333337</v>
      </c>
      <c r="BB17" s="33">
        <v>0.52083333333333337</v>
      </c>
      <c r="BC17" s="33">
        <v>0.52083333333333337</v>
      </c>
      <c r="BD17" s="33">
        <v>0.52083333333333337</v>
      </c>
      <c r="BE17" s="44">
        <v>0.54166666666666663</v>
      </c>
      <c r="BF17" s="647"/>
      <c r="BG17" s="511"/>
      <c r="BH17" s="487"/>
      <c r="BI17" s="487"/>
      <c r="BJ17" s="487"/>
      <c r="BK17" s="488"/>
      <c r="BL17" s="33">
        <v>0.52083333333333337</v>
      </c>
      <c r="BM17" s="33">
        <v>0.52083333333333337</v>
      </c>
      <c r="BN17" s="33">
        <v>0.54166666666666663</v>
      </c>
      <c r="BO17" s="33">
        <v>0.4375</v>
      </c>
      <c r="BP17" s="33">
        <v>0.52083333333333337</v>
      </c>
      <c r="BQ17" s="33">
        <v>0.54166666666666663</v>
      </c>
      <c r="BR17" s="33">
        <v>0.52083333333333337</v>
      </c>
      <c r="BS17" s="43">
        <v>0.45833333333333331</v>
      </c>
      <c r="BT17" s="647"/>
      <c r="BU17" s="511"/>
      <c r="BV17" s="487"/>
      <c r="BW17" s="487"/>
      <c r="BX17" s="487"/>
      <c r="BY17" s="488"/>
      <c r="BZ17" s="43">
        <v>0.52083333333333337</v>
      </c>
      <c r="CA17" s="43">
        <v>0.52083333333333337</v>
      </c>
      <c r="CB17" s="43">
        <v>0.52083333333333337</v>
      </c>
      <c r="CC17" s="33">
        <v>0.5625</v>
      </c>
      <c r="CD17" s="33">
        <v>0.52083333333333337</v>
      </c>
      <c r="CE17" s="33">
        <v>0.5</v>
      </c>
      <c r="CF17" s="33">
        <v>0.52083333333333337</v>
      </c>
      <c r="CG17" s="43">
        <v>0.54166666666666663</v>
      </c>
      <c r="CH17" s="647"/>
      <c r="CI17" s="511"/>
      <c r="CJ17" s="487"/>
      <c r="CK17" s="487"/>
      <c r="CL17" s="487"/>
      <c r="CM17" s="488"/>
      <c r="CN17" s="43">
        <v>0.52083333333333337</v>
      </c>
      <c r="CO17" s="43">
        <v>0.60416666666666663</v>
      </c>
      <c r="CP17" s="43">
        <v>0.52083333333333337</v>
      </c>
      <c r="CQ17" s="43">
        <v>0.54166666666666663</v>
      </c>
      <c r="CR17" s="33">
        <v>0.52083333333333337</v>
      </c>
      <c r="CS17" s="33">
        <v>0.52083333333333337</v>
      </c>
      <c r="CT17" s="33">
        <v>0.54166666666666663</v>
      </c>
      <c r="CU17" s="43">
        <v>0.52083333333333337</v>
      </c>
      <c r="CV17" s="647"/>
      <c r="CW17" s="511"/>
      <c r="CX17" s="487"/>
      <c r="CY17" s="487"/>
      <c r="CZ17" s="487"/>
      <c r="DA17" s="488"/>
      <c r="DB17" s="43">
        <v>0.52083333333333337</v>
      </c>
      <c r="DC17" s="43">
        <v>0.52083333333333337</v>
      </c>
      <c r="DD17" s="43">
        <v>0.52083333333333337</v>
      </c>
      <c r="DE17" s="43">
        <v>0.52083333333333337</v>
      </c>
      <c r="DF17" s="77"/>
      <c r="DG17" s="60"/>
      <c r="DH17" s="95"/>
      <c r="DI17" s="60"/>
      <c r="DJ17" s="647"/>
      <c r="DK17" s="511"/>
      <c r="DL17" s="487"/>
      <c r="DM17" s="487"/>
      <c r="DN17" s="487"/>
      <c r="DO17" s="488"/>
      <c r="DP17" s="590">
        <f>IF(DP15="","",DP15+TIME(0,30,0))</f>
        <v>0.52083333333333337</v>
      </c>
      <c r="DQ17" s="643"/>
      <c r="DR17" s="643"/>
      <c r="DS17" s="592"/>
      <c r="DT17" s="77">
        <f>IF(DT15="","",DT15+TIME(0,30,0))</f>
        <v>0.47916666666666663</v>
      </c>
      <c r="DU17" s="590">
        <f>IF(DU15="","",DU15+TIME(0,30,0))</f>
        <v>0.52083333333333337</v>
      </c>
      <c r="DV17" s="643"/>
      <c r="DW17" s="643"/>
      <c r="DX17" s="592"/>
      <c r="DY17" s="77">
        <f>IF(DY15="","",DY15+TIME(0,30,0))</f>
        <v>0.54166666666666674</v>
      </c>
      <c r="DZ17" s="590">
        <f>IF(DZ15="","",DZ15+TIME(0,30,0))</f>
        <v>0.52083333333333337</v>
      </c>
      <c r="EA17" s="643"/>
      <c r="EB17" s="643"/>
      <c r="EC17" s="592"/>
      <c r="ED17" s="609"/>
      <c r="EE17" s="590">
        <f>IF(EE15="","",EE15+TIME(0,30,0))</f>
        <v>0.52083333333333337</v>
      </c>
      <c r="EF17" s="643"/>
      <c r="EG17" s="643"/>
      <c r="EH17" s="592"/>
      <c r="EI17" s="609"/>
      <c r="EJ17" s="479"/>
      <c r="EK17" s="511"/>
      <c r="EL17" s="487"/>
      <c r="EM17" s="487"/>
      <c r="EN17" s="487"/>
      <c r="EO17" s="488"/>
      <c r="EP17" s="590">
        <f>IF(EP15="","",EP15+TIME(0,30,0))</f>
        <v>0.52083333333333337</v>
      </c>
      <c r="EQ17" s="643"/>
      <c r="ER17" s="643"/>
      <c r="ES17" s="592"/>
      <c r="ET17" s="624"/>
      <c r="EU17" s="590">
        <f>IF(EU15="","",EU15+TIME(0,30,0))</f>
        <v>0.52083333333333337</v>
      </c>
      <c r="EV17" s="643"/>
      <c r="EW17" s="643"/>
      <c r="EX17" s="592"/>
      <c r="EY17" s="624"/>
      <c r="EZ17" s="590">
        <f>IF(EZ15="","",EZ15+TIME(0,30,0))</f>
        <v>0.52083333333333337</v>
      </c>
      <c r="FA17" s="643"/>
      <c r="FB17" s="643"/>
      <c r="FC17" s="592"/>
      <c r="FD17" s="652"/>
      <c r="FE17" s="590">
        <f>IF(FE15="","",FE15+TIME(0,30,0))</f>
        <v>0.52083333333333337</v>
      </c>
      <c r="FF17" s="643"/>
      <c r="FG17" s="643"/>
      <c r="FH17" s="592"/>
      <c r="FI17" s="83">
        <v>0.5</v>
      </c>
      <c r="FJ17" s="43"/>
      <c r="FK17" s="479"/>
      <c r="FL17" s="511"/>
      <c r="FM17" s="487"/>
      <c r="FN17" s="487"/>
      <c r="FO17" s="487"/>
      <c r="FP17" s="488"/>
      <c r="FQ17" s="590">
        <f>IF(FQ15="","",FQ15+TIME(0,30,0))</f>
        <v>0.52083333333333337</v>
      </c>
      <c r="FR17" s="643"/>
      <c r="FS17" s="643"/>
      <c r="FT17" s="592"/>
      <c r="FU17" s="77">
        <v>0.54166666666666663</v>
      </c>
      <c r="FV17" s="590">
        <f>IF(FV15="","",FV15+TIME(0,30,0))</f>
        <v>0.52083333333333337</v>
      </c>
      <c r="FW17" s="643"/>
      <c r="FX17" s="643"/>
      <c r="FY17" s="592"/>
      <c r="FZ17" s="624"/>
      <c r="GA17" s="590">
        <f>IF(GA15="","",GA15+TIME(0,30,0))</f>
        <v>0.52083333333333337</v>
      </c>
      <c r="GB17" s="643"/>
      <c r="GC17" s="643"/>
      <c r="GD17" s="592"/>
      <c r="GE17" s="43">
        <v>0.52083333333333337</v>
      </c>
      <c r="GF17" s="590">
        <f>IF(GF15="","",GF15+TIME(0,30,0))</f>
        <v>0.52083333333333337</v>
      </c>
      <c r="GG17" s="643"/>
      <c r="GH17" s="643"/>
      <c r="GI17" s="592"/>
      <c r="GJ17" s="43">
        <v>0.5</v>
      </c>
      <c r="GK17" s="479"/>
      <c r="GL17" s="511"/>
      <c r="GM17" s="487"/>
      <c r="GN17" s="487"/>
      <c r="GO17" s="487"/>
      <c r="GP17" s="488"/>
      <c r="GQ17" s="590">
        <f>IF(GQ15="","",GQ15+TIME(0,30,0))</f>
        <v>0.52083333333333337</v>
      </c>
      <c r="GR17" s="643"/>
      <c r="GS17" s="643"/>
      <c r="GT17" s="592"/>
      <c r="GU17" s="43">
        <v>0.52083333333333337</v>
      </c>
      <c r="GV17" s="590">
        <f>IF(GV15="","",GV15+TIME(0,30,0))</f>
        <v>0.52083333333333337</v>
      </c>
      <c r="GW17" s="643"/>
      <c r="GX17" s="643"/>
      <c r="GY17" s="592"/>
      <c r="GZ17" s="43">
        <v>0.54166666666666663</v>
      </c>
      <c r="HA17" s="590">
        <f>IF(HA15="","",HA15+TIME(0,30,0))</f>
        <v>0.52083333333333337</v>
      </c>
      <c r="HB17" s="643"/>
      <c r="HC17" s="643"/>
      <c r="HD17" s="592"/>
      <c r="HE17" s="43">
        <v>0.54166666666666663</v>
      </c>
      <c r="HF17" s="590">
        <f>IF(HF15="","",HF15+TIME(0,30,0))</f>
        <v>0.52083333333333337</v>
      </c>
      <c r="HG17" s="643"/>
      <c r="HH17" s="643"/>
      <c r="HI17" s="592"/>
      <c r="HJ17" s="91">
        <v>0.52083333333333337</v>
      </c>
      <c r="HK17" s="479"/>
      <c r="HL17" s="511"/>
      <c r="HM17" s="487"/>
      <c r="HN17" s="487"/>
      <c r="HO17" s="487"/>
      <c r="HP17" s="488"/>
      <c r="HQ17" s="590">
        <f>IF(HQ15="","",HQ15+TIME(0,30,0))</f>
        <v>0.52083333333333337</v>
      </c>
      <c r="HR17" s="643"/>
      <c r="HS17" s="643"/>
      <c r="HT17" s="592"/>
      <c r="HU17" s="91">
        <v>0.52083333333333337</v>
      </c>
      <c r="HV17" s="590">
        <f>IF(HV15="","",HV15+TIME(0,30,0))</f>
        <v>0.52083333333333337</v>
      </c>
      <c r="HW17" s="643"/>
      <c r="HX17" s="643"/>
      <c r="HY17" s="592"/>
      <c r="HZ17" s="624"/>
      <c r="IA17" s="590">
        <f>IF(IA15="","",IA15+TIME(0,30,0))</f>
        <v>0.52083333333333337</v>
      </c>
      <c r="IB17" s="643"/>
      <c r="IC17" s="643"/>
      <c r="ID17" s="592"/>
      <c r="IE17" s="624"/>
      <c r="IF17" s="590">
        <f>IF(IF15="","",IF15+TIME(0,30,0))</f>
        <v>0.52083333333333337</v>
      </c>
      <c r="IG17" s="643"/>
      <c r="IH17" s="643"/>
      <c r="II17" s="592"/>
      <c r="IJ17" s="43">
        <v>0.5625</v>
      </c>
      <c r="IK17" s="479"/>
      <c r="IL17" s="511"/>
      <c r="IM17" s="487"/>
      <c r="IN17" s="487"/>
      <c r="IO17" s="487"/>
      <c r="IP17" s="488"/>
      <c r="IQ17" s="590">
        <f>IF(IQ15="","",IQ15+TIME(0,30,0))</f>
        <v>0.52083333333333337</v>
      </c>
      <c r="IR17" s="643"/>
      <c r="IS17" s="643"/>
      <c r="IT17" s="592"/>
      <c r="IU17" s="104">
        <v>0.52083333333333337</v>
      </c>
      <c r="IV17" s="590">
        <f>IF(IV15="","",IV15+TIME(0,30,0))</f>
        <v>0.54166666666666674</v>
      </c>
      <c r="IW17" s="643"/>
      <c r="IX17" s="643"/>
      <c r="IY17" s="592"/>
      <c r="IZ17" s="104">
        <v>0.5625</v>
      </c>
      <c r="JA17" s="590">
        <f>IF(JA15="","",JA15+TIME(0,30,0))</f>
        <v>0.52083333333333337</v>
      </c>
      <c r="JB17" s="643"/>
      <c r="JC17" s="643"/>
      <c r="JD17" s="592"/>
      <c r="JE17" s="104">
        <v>0.54166666666666663</v>
      </c>
      <c r="JF17" s="590">
        <f>IF(JF15="","",JF15+TIME(0,30,0))</f>
        <v>0.52083333333333337</v>
      </c>
      <c r="JG17" s="643"/>
      <c r="JH17" s="643"/>
      <c r="JI17" s="592"/>
      <c r="JJ17" s="609"/>
      <c r="JK17" s="479"/>
      <c r="JL17" s="511"/>
      <c r="JM17" s="487"/>
      <c r="JN17" s="487"/>
      <c r="JO17" s="487"/>
      <c r="JP17" s="488"/>
      <c r="JQ17" s="590">
        <f>IF(JQ15="","",JQ15+TIME(0,30,0))</f>
        <v>0.52083333333333337</v>
      </c>
      <c r="JR17" s="643"/>
      <c r="JS17" s="643"/>
      <c r="JT17" s="592"/>
      <c r="JU17" s="111">
        <v>0.54166666666666663</v>
      </c>
      <c r="JV17" s="590">
        <f>IF(JV15="","",JV15+TIME(0,30,0))</f>
        <v>0.52083333333333337</v>
      </c>
      <c r="JW17" s="643"/>
      <c r="JX17" s="643"/>
      <c r="JY17" s="592"/>
      <c r="JZ17" s="111">
        <v>0.54166666666666663</v>
      </c>
      <c r="KA17" s="590">
        <f>IF(KA15="","",KA15+TIME(0,30,0))</f>
        <v>0.54166666666666674</v>
      </c>
      <c r="KB17" s="643"/>
      <c r="KC17" s="643"/>
      <c r="KD17" s="592"/>
      <c r="KE17" s="83">
        <f>IF(KE15="","",KE15+TIME(0,30,0))</f>
        <v>0.54166666666666674</v>
      </c>
      <c r="KF17" s="111"/>
      <c r="KG17" s="590">
        <f>IF(KG15="","",KG15+TIME(0,30,0))</f>
        <v>0.52083333333333337</v>
      </c>
      <c r="KH17" s="643"/>
      <c r="KI17" s="643"/>
      <c r="KJ17" s="592"/>
      <c r="KK17" s="609"/>
      <c r="KL17" s="479"/>
      <c r="KM17" s="511"/>
      <c r="KN17" s="487"/>
      <c r="KO17" s="487"/>
      <c r="KP17" s="487"/>
      <c r="KQ17" s="488"/>
      <c r="KR17" s="590">
        <v>0.52083333333333337</v>
      </c>
      <c r="KS17" s="643"/>
      <c r="KT17" s="643"/>
      <c r="KU17" s="592"/>
      <c r="KV17" s="609"/>
      <c r="KW17" s="590">
        <v>0.52083333333333337</v>
      </c>
      <c r="KX17" s="643"/>
      <c r="KY17" s="643"/>
      <c r="KZ17" s="592"/>
      <c r="LA17" s="609"/>
      <c r="LB17" s="590">
        <f>IF(LB15="","",LB15+TIME(0,30,0))</f>
        <v>0.54166666666666674</v>
      </c>
      <c r="LC17" s="643"/>
      <c r="LD17" s="643"/>
      <c r="LE17" s="592"/>
      <c r="LF17" s="116">
        <v>0.54166666666666663</v>
      </c>
      <c r="LG17" s="590">
        <f>IF(LG15="","",LG15+TIME(0,30,0))</f>
        <v>0.54166666666666674</v>
      </c>
      <c r="LH17" s="643"/>
      <c r="LI17" s="643"/>
      <c r="LJ17" s="592"/>
      <c r="LK17" s="609"/>
      <c r="LL17" s="479"/>
      <c r="LM17" s="511"/>
      <c r="LN17" s="487"/>
      <c r="LO17" s="487"/>
      <c r="LP17" s="487"/>
      <c r="LQ17" s="488"/>
      <c r="LR17" s="590">
        <f>IF(LR15="","",LR15+TIME(0,30,0))</f>
        <v>0.54166666666666674</v>
      </c>
      <c r="LS17" s="643"/>
      <c r="LT17" s="643"/>
      <c r="LU17" s="592"/>
      <c r="LV17" s="609"/>
      <c r="LW17" s="590">
        <f>IF(LW15="","",LW15+TIME(0,30,0))</f>
        <v>0.52083333333333337</v>
      </c>
      <c r="LX17" s="643"/>
      <c r="LY17" s="643"/>
      <c r="LZ17" s="592"/>
      <c r="MA17" s="83">
        <v>0.54166666666666663</v>
      </c>
      <c r="MB17" s="590">
        <f>IF(MB15="","",MB15+TIME(0,30,0))</f>
        <v>0.54166666666666674</v>
      </c>
      <c r="MC17" s="643"/>
      <c r="MD17" s="643"/>
      <c r="ME17" s="592"/>
      <c r="MF17" s="139">
        <v>0.54166666666666663</v>
      </c>
      <c r="MG17" s="590">
        <f>IF(MG15="","",MG15+TIME(0,30,0))</f>
        <v>0.52083333333333337</v>
      </c>
      <c r="MH17" s="643"/>
      <c r="MI17" s="643"/>
      <c r="MJ17" s="592"/>
      <c r="MK17" s="152"/>
      <c r="ML17" s="590"/>
      <c r="MM17" s="643"/>
      <c r="MN17" s="643"/>
      <c r="MO17" s="592"/>
      <c r="MP17" s="81">
        <v>0.54166666666666663</v>
      </c>
      <c r="MQ17" s="479"/>
      <c r="MR17" s="511"/>
      <c r="MS17" s="487"/>
      <c r="MT17" s="487"/>
      <c r="MU17" s="487"/>
      <c r="MV17" s="488"/>
      <c r="MW17" s="590">
        <f>IF(MW15="","",MW15+TIME(0,30,0))</f>
        <v>0.54166666666666674</v>
      </c>
      <c r="MX17" s="643"/>
      <c r="MY17" s="643"/>
      <c r="MZ17" s="592"/>
      <c r="NA17" s="83">
        <v>0.54166666666666663</v>
      </c>
      <c r="NB17" s="590">
        <f>IF(NB15="","",NB15+TIME(0,30,0))</f>
        <v>0.54166666666666674</v>
      </c>
      <c r="NC17" s="643"/>
      <c r="ND17" s="643"/>
      <c r="NE17" s="592"/>
      <c r="NF17" s="83">
        <v>0.54166666666666663</v>
      </c>
      <c r="NG17" s="590">
        <f>IF(NG15="","",NG15+TIME(0,30,0))</f>
        <v>0.52083333333333337</v>
      </c>
      <c r="NH17" s="643"/>
      <c r="NI17" s="643"/>
      <c r="NJ17" s="592"/>
      <c r="NK17" s="83">
        <v>0.54166666666666663</v>
      </c>
      <c r="NL17" s="590">
        <f>IF(NL15="","",NL15+TIME(0,30,0))</f>
        <v>0.54166666666666674</v>
      </c>
      <c r="NM17" s="643"/>
      <c r="NN17" s="643"/>
      <c r="NO17" s="592"/>
      <c r="NP17" s="172">
        <v>0.625</v>
      </c>
      <c r="NQ17" s="81"/>
      <c r="NR17" s="479"/>
      <c r="NS17" s="511"/>
      <c r="NT17" s="487"/>
      <c r="NU17" s="487"/>
      <c r="NV17" s="487"/>
      <c r="NW17" s="488"/>
      <c r="NX17" s="590">
        <f>IF(NX15="","",NX15+TIME(0,30,0))</f>
        <v>0.54166666666666674</v>
      </c>
      <c r="NY17" s="643"/>
      <c r="NZ17" s="643"/>
      <c r="OA17" s="592"/>
      <c r="OB17" s="83">
        <v>0.54166666666666663</v>
      </c>
      <c r="OC17" s="590">
        <f>IF(OC15="","",OC15+TIME(0,30,0))</f>
        <v>0.52083333333333337</v>
      </c>
      <c r="OD17" s="643"/>
      <c r="OE17" s="643"/>
      <c r="OF17" s="592"/>
      <c r="OG17" s="83">
        <v>0.54166666666666663</v>
      </c>
      <c r="OH17" s="590">
        <f>IF(OH15="","",OH15+TIME(0,30,0))</f>
        <v>0.54166666666666674</v>
      </c>
      <c r="OI17" s="643"/>
      <c r="OJ17" s="643"/>
      <c r="OK17" s="592"/>
      <c r="OL17" s="83">
        <v>0.54166666666666663</v>
      </c>
      <c r="OM17" s="590">
        <f>IF(OM15="","",OM15+TIME(0,30,0))</f>
        <v>0.54166666666666674</v>
      </c>
      <c r="ON17" s="643"/>
      <c r="OO17" s="643"/>
      <c r="OP17" s="592"/>
      <c r="OQ17" s="609"/>
      <c r="OR17" s="81"/>
      <c r="OS17" s="479"/>
      <c r="OT17" s="511"/>
      <c r="OU17" s="487"/>
      <c r="OV17" s="487"/>
      <c r="OW17" s="487"/>
      <c r="OX17" s="488"/>
      <c r="OY17" s="590">
        <f>IF(OY15="","",OY15+TIME(0,30,0))</f>
        <v>0.54166666666666674</v>
      </c>
      <c r="OZ17" s="643"/>
      <c r="PA17" s="643"/>
      <c r="PB17" s="592"/>
      <c r="PC17" s="83">
        <v>0.5625</v>
      </c>
      <c r="PD17" s="590">
        <f>IF(PD15="","",PD15+TIME(0,30,0))</f>
        <v>0.54166666666666674</v>
      </c>
      <c r="PE17" s="643"/>
      <c r="PF17" s="643"/>
      <c r="PG17" s="592"/>
      <c r="PH17" s="83">
        <v>0.54166666666666663</v>
      </c>
      <c r="PI17" s="590">
        <f>IF(PI15="","",PI15+TIME(0,30,0))</f>
        <v>0.54166666666666674</v>
      </c>
      <c r="PJ17" s="643"/>
      <c r="PK17" s="643"/>
      <c r="PL17" s="592"/>
      <c r="PM17" s="83">
        <v>0.54166666666666663</v>
      </c>
      <c r="PN17" s="590">
        <f>IF(PN15="","",PN15+TIME(0,30,0))</f>
        <v>0.52083333333333337</v>
      </c>
      <c r="PO17" s="643"/>
      <c r="PP17" s="643"/>
      <c r="PQ17" s="592"/>
      <c r="PR17" s="83">
        <v>0.54166666666666663</v>
      </c>
      <c r="PS17" s="83"/>
      <c r="PT17" s="479"/>
      <c r="PU17" s="511"/>
      <c r="PV17" s="487"/>
      <c r="PW17" s="487"/>
      <c r="PX17" s="487"/>
      <c r="PY17" s="488"/>
      <c r="PZ17" s="590">
        <v>0.52083333333333337</v>
      </c>
      <c r="QA17" s="643"/>
      <c r="QB17" s="643"/>
      <c r="QC17" s="592"/>
      <c r="QD17" s="83">
        <v>0.58333333333333337</v>
      </c>
      <c r="QE17" s="590">
        <v>0.52083333333333337</v>
      </c>
      <c r="QF17" s="643"/>
      <c r="QG17" s="643"/>
      <c r="QH17" s="592"/>
      <c r="QI17" s="609"/>
      <c r="QJ17" s="590">
        <v>0.54166666666666663</v>
      </c>
      <c r="QK17" s="643"/>
      <c r="QL17" s="643"/>
      <c r="QM17" s="592"/>
      <c r="QN17" s="83">
        <v>0.54166666666666663</v>
      </c>
      <c r="QO17" s="590">
        <v>0.52083333333333337</v>
      </c>
      <c r="QP17" s="643"/>
      <c r="QQ17" s="643"/>
      <c r="QR17" s="592"/>
      <c r="QS17" s="83">
        <v>0.54166666666666663</v>
      </c>
      <c r="QT17" s="479"/>
      <c r="QU17" s="511"/>
      <c r="QV17" s="487"/>
      <c r="QW17" s="487"/>
      <c r="QX17" s="487"/>
      <c r="QY17" s="488"/>
      <c r="QZ17" s="590">
        <f>IF(QZ15="","",QZ15+TIME(0,30,0))</f>
        <v>0.54166666666666674</v>
      </c>
      <c r="RA17" s="643"/>
      <c r="RB17" s="643"/>
      <c r="RC17" s="592"/>
      <c r="RD17" s="83">
        <v>0.5625</v>
      </c>
      <c r="RE17" s="590">
        <f>IF(RE15="","",RE15+TIME(0,30,0))</f>
        <v>0.54166666666666674</v>
      </c>
      <c r="RF17" s="643"/>
      <c r="RG17" s="643"/>
      <c r="RH17" s="592"/>
      <c r="RI17" s="83">
        <v>0.54166666666666663</v>
      </c>
      <c r="RJ17" s="590">
        <f>IF(RJ15="","",RJ15+TIME(0,30,0))</f>
        <v>0.54166666666666674</v>
      </c>
      <c r="RK17" s="643"/>
      <c r="RL17" s="643"/>
      <c r="RM17" s="592"/>
      <c r="RN17" s="609"/>
      <c r="RO17" s="590">
        <f>IF(RO15="","",RO15+TIME(0,30,0))</f>
        <v>0.54166666666666674</v>
      </c>
      <c r="RP17" s="643"/>
      <c r="RQ17" s="643"/>
      <c r="RR17" s="592"/>
      <c r="RS17" s="609"/>
      <c r="RT17" s="83"/>
      <c r="RU17" s="479"/>
      <c r="RV17" s="511"/>
      <c r="RW17" s="487"/>
      <c r="RX17" s="487"/>
      <c r="RY17" s="487"/>
      <c r="RZ17" s="488"/>
      <c r="SA17" s="590">
        <f>IF(SA15="","",SA15+TIME(0,30,0))</f>
        <v>0.54166666666666674</v>
      </c>
      <c r="SB17" s="643"/>
      <c r="SC17" s="643"/>
      <c r="SD17" s="592"/>
      <c r="SE17" s="609"/>
      <c r="SF17" s="590">
        <f>IF(SF15="","",SF15+TIME(0,30,0))</f>
        <v>0.54166666666666674</v>
      </c>
      <c r="SG17" s="643"/>
      <c r="SH17" s="643"/>
      <c r="SI17" s="592"/>
      <c r="SJ17" s="83">
        <v>0.54166666666666663</v>
      </c>
      <c r="SK17" s="590">
        <f>IF(SK15="","",SK15+TIME(0,30,0))</f>
        <v>0.52083333333333337</v>
      </c>
      <c r="SL17" s="643"/>
      <c r="SM17" s="643"/>
      <c r="SN17" s="592"/>
      <c r="SO17" s="83">
        <v>0.54166666666666663</v>
      </c>
      <c r="SP17" s="590">
        <v>0.52083333333333337</v>
      </c>
      <c r="SQ17" s="643"/>
      <c r="SR17" s="643"/>
      <c r="SS17" s="592"/>
      <c r="ST17" s="83">
        <v>0.54166666666666663</v>
      </c>
      <c r="SU17" s="479"/>
      <c r="SV17" s="511"/>
      <c r="SW17" s="487"/>
      <c r="SX17" s="487"/>
      <c r="SY17" s="487"/>
      <c r="SZ17" s="488"/>
      <c r="TA17" s="590">
        <v>0.52083333333333337</v>
      </c>
      <c r="TB17" s="643"/>
      <c r="TC17" s="643"/>
      <c r="TD17" s="592"/>
      <c r="TE17" s="43">
        <v>0.54166666666666663</v>
      </c>
      <c r="TF17" s="590">
        <v>0.52083333333333337</v>
      </c>
      <c r="TG17" s="643"/>
      <c r="TH17" s="643"/>
      <c r="TI17" s="592"/>
      <c r="TJ17" s="83">
        <v>0.52083333333333337</v>
      </c>
      <c r="TK17" s="590">
        <v>0.52083333333333337</v>
      </c>
      <c r="TL17" s="643"/>
      <c r="TM17" s="643"/>
      <c r="TN17" s="592"/>
      <c r="TO17" s="83">
        <v>0.54166666666666663</v>
      </c>
      <c r="TP17" s="590"/>
      <c r="TQ17" s="643"/>
      <c r="TR17" s="643"/>
      <c r="TS17" s="592"/>
      <c r="TT17" s="83"/>
    </row>
    <row r="18" spans="2:540" ht="45" customHeight="1" x14ac:dyDescent="0.4">
      <c r="B18" s="647"/>
      <c r="C18" s="549" t="s">
        <v>11</v>
      </c>
      <c r="D18" s="549"/>
      <c r="E18" s="549"/>
      <c r="F18" s="549"/>
      <c r="G18" s="549"/>
      <c r="H18" s="36">
        <v>115</v>
      </c>
      <c r="I18" s="17">
        <v>99</v>
      </c>
      <c r="J18" s="36">
        <v>129</v>
      </c>
      <c r="K18" s="17">
        <v>100</v>
      </c>
      <c r="L18" s="36">
        <v>138</v>
      </c>
      <c r="M18" s="36">
        <v>72</v>
      </c>
      <c r="N18" s="36">
        <v>169</v>
      </c>
      <c r="O18" s="17">
        <v>126</v>
      </c>
      <c r="P18" s="647"/>
      <c r="Q18" s="549" t="s">
        <v>11</v>
      </c>
      <c r="R18" s="549"/>
      <c r="S18" s="549"/>
      <c r="T18" s="549"/>
      <c r="U18" s="549"/>
      <c r="V18" s="36">
        <v>248</v>
      </c>
      <c r="W18" s="36">
        <v>197</v>
      </c>
      <c r="X18" s="36">
        <v>253</v>
      </c>
      <c r="Y18" s="36">
        <v>257</v>
      </c>
      <c r="Z18" s="36">
        <v>196</v>
      </c>
      <c r="AA18" s="36">
        <v>136</v>
      </c>
      <c r="AB18" s="36">
        <v>129</v>
      </c>
      <c r="AC18" s="17">
        <v>68</v>
      </c>
      <c r="AD18" s="647"/>
      <c r="AE18" s="549" t="s">
        <v>11</v>
      </c>
      <c r="AF18" s="549"/>
      <c r="AG18" s="549"/>
      <c r="AH18" s="549"/>
      <c r="AI18" s="549"/>
      <c r="AJ18" s="36">
        <v>152</v>
      </c>
      <c r="AK18" s="36">
        <v>102</v>
      </c>
      <c r="AL18" s="36">
        <v>69</v>
      </c>
      <c r="AM18" s="36">
        <v>90</v>
      </c>
      <c r="AN18" s="36">
        <v>155</v>
      </c>
      <c r="AO18" s="36">
        <v>143</v>
      </c>
      <c r="AP18" s="36">
        <v>73</v>
      </c>
      <c r="AQ18" s="17">
        <v>47</v>
      </c>
      <c r="AR18" s="647"/>
      <c r="AS18" s="549" t="s">
        <v>11</v>
      </c>
      <c r="AT18" s="549"/>
      <c r="AU18" s="549"/>
      <c r="AV18" s="549"/>
      <c r="AW18" s="549"/>
      <c r="AX18" s="36">
        <v>133</v>
      </c>
      <c r="AY18" s="39">
        <v>121</v>
      </c>
      <c r="AZ18" s="36">
        <v>155</v>
      </c>
      <c r="BA18" s="39">
        <v>116</v>
      </c>
      <c r="BB18" s="39">
        <f>BB26</f>
        <v>241</v>
      </c>
      <c r="BC18" s="39">
        <v>203</v>
      </c>
      <c r="BD18" s="39">
        <v>250</v>
      </c>
      <c r="BE18" s="17">
        <v>225</v>
      </c>
      <c r="BF18" s="647"/>
      <c r="BG18" s="549" t="s">
        <v>11</v>
      </c>
      <c r="BH18" s="549"/>
      <c r="BI18" s="549"/>
      <c r="BJ18" s="549"/>
      <c r="BK18" s="549"/>
      <c r="BL18" s="36">
        <v>164</v>
      </c>
      <c r="BM18" s="39">
        <v>86</v>
      </c>
      <c r="BN18" s="39">
        <f>BN26</f>
        <v>30</v>
      </c>
      <c r="BO18" s="39">
        <v>0.3</v>
      </c>
      <c r="BP18" s="39">
        <v>210</v>
      </c>
      <c r="BQ18" s="39">
        <v>155</v>
      </c>
      <c r="BR18" s="39">
        <v>97</v>
      </c>
      <c r="BS18" s="24">
        <v>42</v>
      </c>
      <c r="BT18" s="647"/>
      <c r="BU18" s="549" t="s">
        <v>11</v>
      </c>
      <c r="BV18" s="549"/>
      <c r="BW18" s="549"/>
      <c r="BX18" s="549"/>
      <c r="BY18" s="549"/>
      <c r="BZ18" s="24">
        <v>226</v>
      </c>
      <c r="CA18" s="24">
        <v>189</v>
      </c>
      <c r="CB18" s="24">
        <v>208</v>
      </c>
      <c r="CC18" s="39">
        <v>190</v>
      </c>
      <c r="CD18" s="39">
        <v>208</v>
      </c>
      <c r="CE18" s="39">
        <v>173</v>
      </c>
      <c r="CF18" s="39">
        <v>217</v>
      </c>
      <c r="CG18" s="24">
        <v>129</v>
      </c>
      <c r="CH18" s="647"/>
      <c r="CI18" s="549" t="s">
        <v>11</v>
      </c>
      <c r="CJ18" s="549"/>
      <c r="CK18" s="549"/>
      <c r="CL18" s="549"/>
      <c r="CM18" s="549"/>
      <c r="CN18" s="24">
        <v>144</v>
      </c>
      <c r="CO18" s="24">
        <v>54</v>
      </c>
      <c r="CP18" s="24">
        <v>96</v>
      </c>
      <c r="CQ18" s="39">
        <v>102</v>
      </c>
      <c r="CR18" s="39">
        <v>66</v>
      </c>
      <c r="CS18" s="39">
        <v>55</v>
      </c>
      <c r="CT18" s="39">
        <v>57</v>
      </c>
      <c r="CU18" s="24">
        <v>57</v>
      </c>
      <c r="CV18" s="647"/>
      <c r="CW18" s="549" t="s">
        <v>11</v>
      </c>
      <c r="CX18" s="549"/>
      <c r="CY18" s="549"/>
      <c r="CZ18" s="549"/>
      <c r="DA18" s="549"/>
      <c r="DB18" s="24">
        <v>122</v>
      </c>
      <c r="DC18" s="24">
        <v>85</v>
      </c>
      <c r="DD18" s="24">
        <v>194</v>
      </c>
      <c r="DE18" s="39">
        <v>162</v>
      </c>
      <c r="DF18" s="61"/>
      <c r="DG18" s="62"/>
      <c r="DH18" s="63"/>
      <c r="DI18" s="62"/>
      <c r="DJ18" s="647"/>
      <c r="DK18" s="549" t="s">
        <v>11</v>
      </c>
      <c r="DL18" s="549"/>
      <c r="DM18" s="549"/>
      <c r="DN18" s="549"/>
      <c r="DO18" s="549"/>
      <c r="DP18" s="49">
        <v>41</v>
      </c>
      <c r="DQ18" s="46" t="str">
        <f>IF(DP18="","","※")</f>
        <v>※</v>
      </c>
      <c r="DR18" s="45" t="str">
        <f>IF(DP18="","","～")</f>
        <v>～</v>
      </c>
      <c r="DS18" s="50">
        <v>62</v>
      </c>
      <c r="DT18" s="39">
        <v>38</v>
      </c>
      <c r="DU18" s="49">
        <v>17</v>
      </c>
      <c r="DV18" s="46" t="str">
        <f>IF(DU18="","","※")</f>
        <v>※</v>
      </c>
      <c r="DW18" s="45" t="str">
        <f>IF(DU18="","","～")</f>
        <v>～</v>
      </c>
      <c r="DX18" s="50">
        <v>29</v>
      </c>
      <c r="DY18" s="39">
        <v>17</v>
      </c>
      <c r="DZ18" s="49">
        <v>0</v>
      </c>
      <c r="EA18" s="46" t="str">
        <f>IF(DZ18="","","※")</f>
        <v>※</v>
      </c>
      <c r="EB18" s="45" t="str">
        <f>IF(DZ18="","","～")</f>
        <v>～</v>
      </c>
      <c r="EC18" s="50">
        <v>27</v>
      </c>
      <c r="ED18" s="609"/>
      <c r="EE18" s="49">
        <v>0</v>
      </c>
      <c r="EF18" s="46" t="str">
        <f>IF(EE18="","","※")</f>
        <v>※</v>
      </c>
      <c r="EG18" s="45" t="str">
        <f>IF(EE18="","","～")</f>
        <v>～</v>
      </c>
      <c r="EH18" s="70">
        <v>53</v>
      </c>
      <c r="EI18" s="609"/>
      <c r="EJ18" s="479"/>
      <c r="EK18" s="512" t="s">
        <v>11</v>
      </c>
      <c r="EL18" s="458"/>
      <c r="EM18" s="458"/>
      <c r="EN18" s="458"/>
      <c r="EO18" s="465"/>
      <c r="EP18" s="49">
        <v>0</v>
      </c>
      <c r="EQ18" s="46" t="str">
        <f>IF(EP18="","","※")</f>
        <v>※</v>
      </c>
      <c r="ER18" s="45" t="str">
        <f>IF(EP18="","","～")</f>
        <v>～</v>
      </c>
      <c r="ES18" s="70">
        <v>59</v>
      </c>
      <c r="ET18" s="624"/>
      <c r="EU18" s="49">
        <v>0</v>
      </c>
      <c r="EV18" s="46" t="str">
        <f>IF(EU18="","","※")</f>
        <v>※</v>
      </c>
      <c r="EW18" s="45" t="str">
        <f>IF(EU18="","","～")</f>
        <v>～</v>
      </c>
      <c r="EX18" s="70">
        <v>24.9</v>
      </c>
      <c r="EY18" s="624"/>
      <c r="EZ18" s="49">
        <v>0</v>
      </c>
      <c r="FA18" s="46" t="str">
        <f>IF(EZ18="","","※")</f>
        <v>※</v>
      </c>
      <c r="FB18" s="45" t="str">
        <f>IF(EZ18="","","～")</f>
        <v>～</v>
      </c>
      <c r="FC18" s="70">
        <v>7.9</v>
      </c>
      <c r="FD18" s="652"/>
      <c r="FE18" s="49">
        <v>49</v>
      </c>
      <c r="FF18" s="46" t="str">
        <f>IF(FE18="","","※")</f>
        <v>※</v>
      </c>
      <c r="FG18" s="45" t="str">
        <f>IF(FE18="","","～")</f>
        <v>～</v>
      </c>
      <c r="FH18" s="70">
        <v>115</v>
      </c>
      <c r="FI18" s="24">
        <v>83</v>
      </c>
      <c r="FJ18" s="24"/>
      <c r="FK18" s="479"/>
      <c r="FL18" s="512" t="s">
        <v>11</v>
      </c>
      <c r="FM18" s="458"/>
      <c r="FN18" s="458"/>
      <c r="FO18" s="458"/>
      <c r="FP18" s="465"/>
      <c r="FQ18" s="49">
        <v>36</v>
      </c>
      <c r="FR18" s="46" t="str">
        <f>IF(FQ18="","","※")</f>
        <v>※</v>
      </c>
      <c r="FS18" s="45" t="str">
        <f>IF(FQ18="","","～")</f>
        <v>～</v>
      </c>
      <c r="FT18" s="70">
        <v>102</v>
      </c>
      <c r="FU18" s="39">
        <v>40</v>
      </c>
      <c r="FV18" s="49">
        <v>0</v>
      </c>
      <c r="FW18" s="46" t="str">
        <f>IF(FV18="","","※")</f>
        <v>※</v>
      </c>
      <c r="FX18" s="45" t="str">
        <f>IF(FV18="","","～")</f>
        <v>～</v>
      </c>
      <c r="FY18" s="70">
        <v>13</v>
      </c>
      <c r="FZ18" s="624"/>
      <c r="GA18" s="49">
        <v>41</v>
      </c>
      <c r="GB18" s="46" t="str">
        <f>IF(GA18="","","※")</f>
        <v>※</v>
      </c>
      <c r="GC18" s="45" t="str">
        <f>IF(GA18="","","～")</f>
        <v>～</v>
      </c>
      <c r="GD18" s="70">
        <v>55</v>
      </c>
      <c r="GE18" s="24">
        <v>41</v>
      </c>
      <c r="GF18" s="49">
        <v>45</v>
      </c>
      <c r="GG18" s="46" t="str">
        <f>IF(GF18="","","※")</f>
        <v>※</v>
      </c>
      <c r="GH18" s="45" t="str">
        <f>IF(GF18="","","～")</f>
        <v>～</v>
      </c>
      <c r="GI18" s="70">
        <v>111</v>
      </c>
      <c r="GJ18" s="24">
        <v>45</v>
      </c>
      <c r="GK18" s="479"/>
      <c r="GL18" s="512" t="s">
        <v>11</v>
      </c>
      <c r="GM18" s="458"/>
      <c r="GN18" s="458"/>
      <c r="GO18" s="458"/>
      <c r="GP18" s="465"/>
      <c r="GQ18" s="49">
        <v>44</v>
      </c>
      <c r="GR18" s="46" t="str">
        <f>IF(GQ18="","","※")</f>
        <v>※</v>
      </c>
      <c r="GS18" s="45" t="str">
        <f>IF(GQ18="","","～")</f>
        <v>～</v>
      </c>
      <c r="GT18" s="70">
        <v>110</v>
      </c>
      <c r="GU18" s="24">
        <v>58</v>
      </c>
      <c r="GV18" s="49">
        <v>52</v>
      </c>
      <c r="GW18" s="46" t="str">
        <f>IF(GV18="","","※")</f>
        <v>※</v>
      </c>
      <c r="GX18" s="45" t="str">
        <f>IF(GV18="","","～")</f>
        <v>～</v>
      </c>
      <c r="GY18" s="70">
        <v>86</v>
      </c>
      <c r="GZ18" s="24">
        <v>51</v>
      </c>
      <c r="HA18" s="49">
        <v>62</v>
      </c>
      <c r="HB18" s="46" t="str">
        <f>IF(HA18="","","※")</f>
        <v>※</v>
      </c>
      <c r="HC18" s="45" t="str">
        <f>IF(HA18="","","～")</f>
        <v>～</v>
      </c>
      <c r="HD18" s="70">
        <v>90</v>
      </c>
      <c r="HE18" s="24">
        <v>79</v>
      </c>
      <c r="HF18" s="101">
        <v>59</v>
      </c>
      <c r="HG18" s="46" t="str">
        <f>IF(HF18="","","※")</f>
        <v>※</v>
      </c>
      <c r="HH18" s="45" t="str">
        <f>IF(HF18="","","～")</f>
        <v>～</v>
      </c>
      <c r="HI18" s="50">
        <v>72</v>
      </c>
      <c r="HJ18" s="24">
        <v>60</v>
      </c>
      <c r="HK18" s="479"/>
      <c r="HL18" s="512" t="s">
        <v>11</v>
      </c>
      <c r="HM18" s="458"/>
      <c r="HN18" s="458"/>
      <c r="HO18" s="458"/>
      <c r="HP18" s="465"/>
      <c r="HQ18" s="101">
        <v>38</v>
      </c>
      <c r="HR18" s="46" t="str">
        <f>IF(HQ18="","","※")</f>
        <v>※</v>
      </c>
      <c r="HS18" s="45" t="str">
        <f>IF(HQ18="","","～")</f>
        <v>～</v>
      </c>
      <c r="HT18" s="50">
        <v>123</v>
      </c>
      <c r="HU18" s="24">
        <v>71</v>
      </c>
      <c r="HV18" s="101">
        <v>0</v>
      </c>
      <c r="HW18" s="46" t="str">
        <f>IF(HV18="","","※")</f>
        <v>※</v>
      </c>
      <c r="HX18" s="45" t="str">
        <f>IF(HV18="","","～")</f>
        <v>～</v>
      </c>
      <c r="HY18" s="50">
        <v>28</v>
      </c>
      <c r="HZ18" s="624"/>
      <c r="IA18" s="101">
        <v>0</v>
      </c>
      <c r="IB18" s="46" t="str">
        <f>IF(IA18="","","※")</f>
        <v>※</v>
      </c>
      <c r="IC18" s="45" t="str">
        <f>IF(IA18="","","～")</f>
        <v>～</v>
      </c>
      <c r="ID18" s="50">
        <v>80</v>
      </c>
      <c r="IE18" s="624"/>
      <c r="IF18" s="101">
        <v>22</v>
      </c>
      <c r="IG18" s="46" t="str">
        <f>IF(IF18="","","※")</f>
        <v>※</v>
      </c>
      <c r="IH18" s="45" t="str">
        <f>IF(IF18="","","～")</f>
        <v>～</v>
      </c>
      <c r="II18" s="50">
        <v>107</v>
      </c>
      <c r="IJ18" s="24">
        <v>31</v>
      </c>
      <c r="IK18" s="479"/>
      <c r="IL18" s="512" t="s">
        <v>11</v>
      </c>
      <c r="IM18" s="458"/>
      <c r="IN18" s="458"/>
      <c r="IO18" s="458"/>
      <c r="IP18" s="465"/>
      <c r="IQ18" s="101">
        <v>36</v>
      </c>
      <c r="IR18" s="46" t="str">
        <f>IF(IQ18="","","※")</f>
        <v>※</v>
      </c>
      <c r="IS18" s="45" t="str">
        <f>IF(IQ18="","","～")</f>
        <v>～</v>
      </c>
      <c r="IT18" s="50">
        <v>158</v>
      </c>
      <c r="IU18" s="24">
        <v>36</v>
      </c>
      <c r="IV18" s="101">
        <v>61</v>
      </c>
      <c r="IW18" s="46" t="str">
        <f>IF(IV18="","","※")</f>
        <v>※</v>
      </c>
      <c r="IX18" s="45" t="str">
        <f>IF(IV18="","","～")</f>
        <v>～</v>
      </c>
      <c r="IY18" s="50">
        <v>161</v>
      </c>
      <c r="IZ18" s="24">
        <v>143</v>
      </c>
      <c r="JA18" s="101">
        <v>41</v>
      </c>
      <c r="JB18" s="46" t="str">
        <f>IF(JA18="","","※")</f>
        <v>※</v>
      </c>
      <c r="JC18" s="45" t="str">
        <f>IF(JA18="","","～")</f>
        <v>～</v>
      </c>
      <c r="JD18" s="50">
        <v>126</v>
      </c>
      <c r="JE18" s="24">
        <v>120</v>
      </c>
      <c r="JF18" s="101">
        <v>0</v>
      </c>
      <c r="JG18" s="46" t="str">
        <f>IF(JF18="","","※")</f>
        <v>※</v>
      </c>
      <c r="JH18" s="45" t="str">
        <f>IF(JF18="","","～")</f>
        <v>～</v>
      </c>
      <c r="JI18" s="50">
        <v>60</v>
      </c>
      <c r="JJ18" s="609"/>
      <c r="JK18" s="479"/>
      <c r="JL18" s="512" t="s">
        <v>11</v>
      </c>
      <c r="JM18" s="458"/>
      <c r="JN18" s="458"/>
      <c r="JO18" s="458"/>
      <c r="JP18" s="465"/>
      <c r="JQ18" s="101">
        <v>79.400000000000006</v>
      </c>
      <c r="JR18" s="46" t="str">
        <f>IF(JQ18="","","※")</f>
        <v>※</v>
      </c>
      <c r="JS18" s="45" t="str">
        <f>IF(JQ18="","","～")</f>
        <v>～</v>
      </c>
      <c r="JT18" s="50">
        <v>178</v>
      </c>
      <c r="JU18" s="24">
        <v>83</v>
      </c>
      <c r="JV18" s="101">
        <v>47</v>
      </c>
      <c r="JW18" s="46" t="str">
        <f>IF(JV18="","","※")</f>
        <v>※</v>
      </c>
      <c r="JX18" s="45" t="str">
        <f>IF(JV18="","","～")</f>
        <v>～</v>
      </c>
      <c r="JY18" s="70">
        <v>147</v>
      </c>
      <c r="JZ18" s="24">
        <v>51</v>
      </c>
      <c r="KA18" s="101">
        <v>0</v>
      </c>
      <c r="KB18" s="46" t="str">
        <f>IF(KA18="","","※")</f>
        <v>※</v>
      </c>
      <c r="KC18" s="45" t="str">
        <f>IF(KA18="","","～")</f>
        <v>～</v>
      </c>
      <c r="KD18" s="50">
        <v>112</v>
      </c>
      <c r="KE18" s="24">
        <v>33</v>
      </c>
      <c r="KF18" s="119"/>
      <c r="KG18" s="101">
        <v>0</v>
      </c>
      <c r="KH18" s="46" t="str">
        <f>IF(KG18="","","※")</f>
        <v>※</v>
      </c>
      <c r="KI18" s="45" t="str">
        <f>IF(KG18="","","～")</f>
        <v>～</v>
      </c>
      <c r="KJ18" s="50">
        <v>66</v>
      </c>
      <c r="KK18" s="609"/>
      <c r="KL18" s="479"/>
      <c r="KM18" s="512" t="s">
        <v>11</v>
      </c>
      <c r="KN18" s="458"/>
      <c r="KO18" s="458"/>
      <c r="KP18" s="458"/>
      <c r="KQ18" s="465"/>
      <c r="KR18" s="101">
        <v>0</v>
      </c>
      <c r="KS18" s="46" t="s">
        <v>378</v>
      </c>
      <c r="KT18" s="126" t="s">
        <v>160</v>
      </c>
      <c r="KU18" s="50">
        <v>45</v>
      </c>
      <c r="KV18" s="609"/>
      <c r="KW18" s="101">
        <v>0</v>
      </c>
      <c r="KX18" s="46" t="s">
        <v>378</v>
      </c>
      <c r="KY18" s="128" t="s">
        <v>160</v>
      </c>
      <c r="KZ18" s="50">
        <v>51</v>
      </c>
      <c r="LA18" s="609"/>
      <c r="LB18" s="101">
        <v>91</v>
      </c>
      <c r="LC18" s="46" t="str">
        <f>IF(LB18="","","※")</f>
        <v>※</v>
      </c>
      <c r="LD18" s="130" t="str">
        <f>IF(LB18="","","～")</f>
        <v>～</v>
      </c>
      <c r="LE18" s="50">
        <v>205</v>
      </c>
      <c r="LF18" s="24">
        <v>96</v>
      </c>
      <c r="LG18" s="101">
        <v>0</v>
      </c>
      <c r="LH18" s="46" t="str">
        <f>IF(LG18="","","※")</f>
        <v>※</v>
      </c>
      <c r="LI18" s="141" t="str">
        <f>IF(LG18="","","～")</f>
        <v>～</v>
      </c>
      <c r="LJ18" s="50">
        <v>107</v>
      </c>
      <c r="LK18" s="609"/>
      <c r="LL18" s="479"/>
      <c r="LM18" s="512" t="s">
        <v>11</v>
      </c>
      <c r="LN18" s="458"/>
      <c r="LO18" s="458"/>
      <c r="LP18" s="458"/>
      <c r="LQ18" s="465"/>
      <c r="LR18" s="101">
        <v>0</v>
      </c>
      <c r="LS18" s="46" t="str">
        <f>IF(LR18="","","※")</f>
        <v>※</v>
      </c>
      <c r="LT18" s="133" t="str">
        <f>IF(LR18="","","～")</f>
        <v>～</v>
      </c>
      <c r="LU18" s="50">
        <v>46</v>
      </c>
      <c r="LV18" s="609"/>
      <c r="LW18" s="101">
        <v>73</v>
      </c>
      <c r="LX18" s="46" t="str">
        <f>IF(LW18="","","※")</f>
        <v>※</v>
      </c>
      <c r="LY18" s="141" t="str">
        <f>IF(LW18="","","～")</f>
        <v>～</v>
      </c>
      <c r="LZ18" s="50">
        <v>187</v>
      </c>
      <c r="MA18" s="24">
        <v>78</v>
      </c>
      <c r="MB18" s="101">
        <v>0</v>
      </c>
      <c r="MC18" s="46" t="str">
        <f>IF(MB18="","","※")</f>
        <v>※</v>
      </c>
      <c r="MD18" s="141" t="str">
        <f>IF(MB18="","","～")</f>
        <v>～</v>
      </c>
      <c r="ME18" s="70">
        <v>104</v>
      </c>
      <c r="MF18" s="141">
        <v>24</v>
      </c>
      <c r="MG18" s="599">
        <v>42</v>
      </c>
      <c r="MH18" s="600"/>
      <c r="MI18" s="600"/>
      <c r="MJ18" s="601"/>
      <c r="MK18" s="146"/>
      <c r="ML18" s="101"/>
      <c r="MM18" s="46"/>
      <c r="MN18" s="147"/>
      <c r="MO18" s="50"/>
      <c r="MP18" s="24">
        <v>43</v>
      </c>
      <c r="MQ18" s="479"/>
      <c r="MR18" s="512" t="s">
        <v>11</v>
      </c>
      <c r="MS18" s="458"/>
      <c r="MT18" s="458"/>
      <c r="MU18" s="458"/>
      <c r="MV18" s="465"/>
      <c r="MW18" s="101">
        <v>50.9</v>
      </c>
      <c r="MX18" s="46" t="str">
        <f>IF(MW18="","","※")</f>
        <v>※</v>
      </c>
      <c r="MY18" s="157" t="str">
        <f>IF(MW18="","","～")</f>
        <v>～</v>
      </c>
      <c r="MZ18" s="50">
        <v>129.5</v>
      </c>
      <c r="NA18" s="24">
        <v>94</v>
      </c>
      <c r="NB18" s="101">
        <v>32</v>
      </c>
      <c r="NC18" s="46" t="str">
        <f>IF(NB18="","","※")</f>
        <v>※</v>
      </c>
      <c r="ND18" s="160" t="str">
        <f>IF(NB18="","","～")</f>
        <v>～</v>
      </c>
      <c r="NE18" s="50">
        <v>146</v>
      </c>
      <c r="NF18" s="24">
        <v>104</v>
      </c>
      <c r="NG18" s="101">
        <v>98</v>
      </c>
      <c r="NH18" s="46" t="str">
        <f>IF(NG18="","","※")</f>
        <v>※</v>
      </c>
      <c r="NI18" s="164" t="str">
        <f>IF(NG18="","","～")</f>
        <v>～</v>
      </c>
      <c r="NJ18" s="50">
        <v>184</v>
      </c>
      <c r="NK18" s="24">
        <v>104</v>
      </c>
      <c r="NL18" s="101">
        <v>61</v>
      </c>
      <c r="NM18" s="46" t="str">
        <f>IF(NL18="","","※")</f>
        <v>※</v>
      </c>
      <c r="NN18" s="173" t="str">
        <f>IF(NL18="","","～")</f>
        <v>～</v>
      </c>
      <c r="NO18" s="50">
        <v>175</v>
      </c>
      <c r="NP18" s="24">
        <v>73</v>
      </c>
      <c r="NQ18" s="24"/>
      <c r="NR18" s="479"/>
      <c r="NS18" s="512" t="s">
        <v>11</v>
      </c>
      <c r="NT18" s="458"/>
      <c r="NU18" s="458"/>
      <c r="NV18" s="458"/>
      <c r="NW18" s="465"/>
      <c r="NX18" s="101">
        <v>262</v>
      </c>
      <c r="NY18" s="46" t="str">
        <f>IF(NX18="","","※")</f>
        <v>※</v>
      </c>
      <c r="NZ18" s="166" t="str">
        <f>IF(NX18="","","～")</f>
        <v>～</v>
      </c>
      <c r="OA18" s="50">
        <v>263</v>
      </c>
      <c r="OB18" s="24">
        <v>289</v>
      </c>
      <c r="OC18" s="101">
        <v>223</v>
      </c>
      <c r="OD18" s="46" t="str">
        <f>IF(OC18="","","※")</f>
        <v>※</v>
      </c>
      <c r="OE18" s="166" t="str">
        <f>IF(OC18="","","～")</f>
        <v>～</v>
      </c>
      <c r="OF18" s="70">
        <v>224</v>
      </c>
      <c r="OG18" s="24">
        <v>254</v>
      </c>
      <c r="OH18" s="101">
        <v>0</v>
      </c>
      <c r="OI18" s="46" t="str">
        <f>IF(OH18="","","※")</f>
        <v>※</v>
      </c>
      <c r="OJ18" s="179" t="str">
        <f>IF(OH18="","","～")</f>
        <v>～</v>
      </c>
      <c r="OK18" s="70">
        <v>88</v>
      </c>
      <c r="OL18" s="24">
        <v>22</v>
      </c>
      <c r="OM18" s="101">
        <v>0</v>
      </c>
      <c r="ON18" s="46" t="str">
        <f>IF(OM18="","","※")</f>
        <v>※</v>
      </c>
      <c r="OO18" s="179" t="str">
        <f>IF(OM18="","","～")</f>
        <v>～</v>
      </c>
      <c r="OP18" s="70">
        <v>53</v>
      </c>
      <c r="OQ18" s="609"/>
      <c r="OR18" s="24"/>
      <c r="OS18" s="479"/>
      <c r="OT18" s="512" t="s">
        <v>11</v>
      </c>
      <c r="OU18" s="458"/>
      <c r="OV18" s="458"/>
      <c r="OW18" s="458"/>
      <c r="OX18" s="465"/>
      <c r="OY18" s="101">
        <v>98</v>
      </c>
      <c r="OZ18" s="46" t="str">
        <f>IF(OY18="","","※")</f>
        <v>※</v>
      </c>
      <c r="PA18" s="175" t="str">
        <f>IF(OY18="","","～")</f>
        <v>～</v>
      </c>
      <c r="PB18" s="50">
        <v>197</v>
      </c>
      <c r="PC18" s="24">
        <v>100</v>
      </c>
      <c r="PD18" s="101">
        <v>0</v>
      </c>
      <c r="PE18" s="46" t="str">
        <f>IF(PD18="","","※")</f>
        <v>※</v>
      </c>
      <c r="PF18" s="175" t="str">
        <f>IF(PD18="","","～")</f>
        <v>～</v>
      </c>
      <c r="PG18" s="70">
        <v>98</v>
      </c>
      <c r="PH18" s="24">
        <v>86</v>
      </c>
      <c r="PI18" s="101">
        <v>129</v>
      </c>
      <c r="PJ18" s="46" t="str">
        <f>IF(PI18="","","※")</f>
        <v>※</v>
      </c>
      <c r="PK18" s="175" t="str">
        <f>IF(PI18="","","～")</f>
        <v>～</v>
      </c>
      <c r="PL18" s="70">
        <v>228</v>
      </c>
      <c r="PM18" s="24">
        <v>121</v>
      </c>
      <c r="PN18" s="101">
        <v>147</v>
      </c>
      <c r="PO18" s="46" t="str">
        <f>IF(PN18="","","※")</f>
        <v>※</v>
      </c>
      <c r="PP18" s="183" t="str">
        <f>IF(PN18="","","～")</f>
        <v>～</v>
      </c>
      <c r="PQ18" s="70">
        <v>243</v>
      </c>
      <c r="PR18" s="24">
        <v>185</v>
      </c>
      <c r="PS18" s="191"/>
      <c r="PT18" s="479"/>
      <c r="PU18" s="512" t="s">
        <v>11</v>
      </c>
      <c r="PV18" s="458"/>
      <c r="PW18" s="458"/>
      <c r="PX18" s="458"/>
      <c r="PY18" s="465"/>
      <c r="PZ18" s="101">
        <v>265</v>
      </c>
      <c r="QA18" s="46" t="s">
        <v>378</v>
      </c>
      <c r="QB18" s="189" t="s">
        <v>160</v>
      </c>
      <c r="QC18" s="70">
        <v>364</v>
      </c>
      <c r="QD18" s="24">
        <v>289</v>
      </c>
      <c r="QE18" s="101">
        <v>0</v>
      </c>
      <c r="QF18" s="46" t="s">
        <v>378</v>
      </c>
      <c r="QG18" s="189" t="s">
        <v>160</v>
      </c>
      <c r="QH18" s="50">
        <v>140.4</v>
      </c>
      <c r="QI18" s="609"/>
      <c r="QJ18" s="101">
        <v>216.9</v>
      </c>
      <c r="QK18" s="46" t="s">
        <v>378</v>
      </c>
      <c r="QL18" s="193" t="s">
        <v>160</v>
      </c>
      <c r="QM18" s="50">
        <v>244.9</v>
      </c>
      <c r="QN18" s="24">
        <v>209</v>
      </c>
      <c r="QO18" s="101">
        <v>227</v>
      </c>
      <c r="QP18" s="46" t="s">
        <v>378</v>
      </c>
      <c r="QQ18" s="196" t="s">
        <v>160</v>
      </c>
      <c r="QR18" s="50">
        <v>255</v>
      </c>
      <c r="QS18" s="24">
        <v>206</v>
      </c>
      <c r="QT18" s="479"/>
      <c r="QU18" s="512" t="s">
        <v>11</v>
      </c>
      <c r="QV18" s="458"/>
      <c r="QW18" s="458"/>
      <c r="QX18" s="458"/>
      <c r="QY18" s="465"/>
      <c r="QZ18" s="101">
        <v>250</v>
      </c>
      <c r="RA18" s="46" t="s">
        <v>378</v>
      </c>
      <c r="RB18" s="199" t="s">
        <v>160</v>
      </c>
      <c r="RC18" s="50">
        <v>278</v>
      </c>
      <c r="RD18" s="24">
        <v>222</v>
      </c>
      <c r="RE18" s="101">
        <v>257</v>
      </c>
      <c r="RF18" s="46" t="s">
        <v>378</v>
      </c>
      <c r="RG18" s="201" t="s">
        <v>160</v>
      </c>
      <c r="RH18" s="50">
        <v>356</v>
      </c>
      <c r="RI18" s="24">
        <v>274</v>
      </c>
      <c r="RJ18" s="101">
        <v>0</v>
      </c>
      <c r="RK18" s="46" t="s">
        <v>378</v>
      </c>
      <c r="RL18" s="202" t="s">
        <v>160</v>
      </c>
      <c r="RM18" s="50">
        <v>96</v>
      </c>
      <c r="RN18" s="609"/>
      <c r="RO18" s="101">
        <v>0</v>
      </c>
      <c r="RP18" s="46" t="s">
        <v>378</v>
      </c>
      <c r="RQ18" s="204" t="s">
        <v>160</v>
      </c>
      <c r="RR18" s="50">
        <v>89</v>
      </c>
      <c r="RS18" s="609"/>
      <c r="RT18" s="24"/>
      <c r="RU18" s="479"/>
      <c r="RV18" s="512" t="s">
        <v>11</v>
      </c>
      <c r="RW18" s="458"/>
      <c r="RX18" s="458"/>
      <c r="RY18" s="458"/>
      <c r="RZ18" s="465"/>
      <c r="SA18" s="101">
        <v>0</v>
      </c>
      <c r="SB18" s="46" t="s">
        <v>378</v>
      </c>
      <c r="SC18" s="206" t="s">
        <v>160</v>
      </c>
      <c r="SD18" s="70">
        <v>115.6</v>
      </c>
      <c r="SE18" s="609"/>
      <c r="SF18" s="101">
        <v>121</v>
      </c>
      <c r="SG18" s="46" t="s">
        <v>378</v>
      </c>
      <c r="SH18" s="206" t="s">
        <v>160</v>
      </c>
      <c r="SI18" s="70">
        <v>155</v>
      </c>
      <c r="SJ18" s="24">
        <v>155</v>
      </c>
      <c r="SK18" s="101">
        <v>131</v>
      </c>
      <c r="SL18" s="46" t="s">
        <v>378</v>
      </c>
      <c r="SM18" s="209" t="s">
        <v>160</v>
      </c>
      <c r="SN18" s="70">
        <v>165</v>
      </c>
      <c r="SO18" s="24">
        <v>169</v>
      </c>
      <c r="SP18" s="101">
        <v>42</v>
      </c>
      <c r="SQ18" s="46" t="s">
        <v>378</v>
      </c>
      <c r="SR18" s="211" t="s">
        <v>160</v>
      </c>
      <c r="SS18" s="70">
        <v>76</v>
      </c>
      <c r="ST18" s="24">
        <v>100</v>
      </c>
      <c r="SU18" s="479"/>
      <c r="SV18" s="512" t="s">
        <v>11</v>
      </c>
      <c r="SW18" s="458"/>
      <c r="SX18" s="458"/>
      <c r="SY18" s="458"/>
      <c r="SZ18" s="465"/>
      <c r="TA18" s="101">
        <v>45</v>
      </c>
      <c r="TB18" s="46" t="s">
        <v>378</v>
      </c>
      <c r="TC18" s="217" t="s">
        <v>160</v>
      </c>
      <c r="TD18" s="70">
        <v>79</v>
      </c>
      <c r="TE18" s="219">
        <v>87</v>
      </c>
      <c r="TF18" s="101">
        <v>23</v>
      </c>
      <c r="TG18" s="46" t="s">
        <v>378</v>
      </c>
      <c r="TH18" s="217" t="s">
        <v>160</v>
      </c>
      <c r="TI18" s="70">
        <v>97</v>
      </c>
      <c r="TJ18" s="24">
        <v>98</v>
      </c>
      <c r="TK18" s="101">
        <v>194</v>
      </c>
      <c r="TL18" s="46" t="s">
        <v>378</v>
      </c>
      <c r="TM18" s="222" t="s">
        <v>160</v>
      </c>
      <c r="TN18" s="70">
        <v>257</v>
      </c>
      <c r="TO18" s="24">
        <v>180</v>
      </c>
      <c r="TP18" s="101"/>
      <c r="TQ18" s="46"/>
      <c r="TR18" s="217"/>
      <c r="TS18" s="70"/>
      <c r="TT18" s="24"/>
    </row>
    <row r="19" spans="2:540" ht="45" customHeight="1" x14ac:dyDescent="0.4">
      <c r="B19" s="647"/>
      <c r="C19" s="511" t="s">
        <v>60</v>
      </c>
      <c r="D19" s="487"/>
      <c r="E19" s="487"/>
      <c r="F19" s="487"/>
      <c r="G19" s="488"/>
      <c r="H19" s="37" t="s">
        <v>188</v>
      </c>
      <c r="I19" s="18" t="s">
        <v>187</v>
      </c>
      <c r="J19" s="37" t="s">
        <v>189</v>
      </c>
      <c r="K19" s="18" t="s">
        <v>190</v>
      </c>
      <c r="L19" s="37" t="s">
        <v>156</v>
      </c>
      <c r="M19" s="37" t="s">
        <v>190</v>
      </c>
      <c r="N19" s="37" t="s">
        <v>186</v>
      </c>
      <c r="O19" s="18" t="s">
        <v>191</v>
      </c>
      <c r="P19" s="647"/>
      <c r="Q19" s="511" t="s">
        <v>60</v>
      </c>
      <c r="R19" s="487"/>
      <c r="S19" s="487"/>
      <c r="T19" s="487"/>
      <c r="U19" s="488"/>
      <c r="V19" s="37" t="s">
        <v>192</v>
      </c>
      <c r="W19" s="37" t="s">
        <v>193</v>
      </c>
      <c r="X19" s="37" t="s">
        <v>194</v>
      </c>
      <c r="Y19" s="37" t="s">
        <v>194</v>
      </c>
      <c r="Z19" s="37" t="s">
        <v>195</v>
      </c>
      <c r="AA19" s="37" t="s">
        <v>188</v>
      </c>
      <c r="AB19" s="37" t="s">
        <v>196</v>
      </c>
      <c r="AC19" s="18" t="s">
        <v>187</v>
      </c>
      <c r="AD19" s="647"/>
      <c r="AE19" s="511" t="s">
        <v>60</v>
      </c>
      <c r="AF19" s="487"/>
      <c r="AG19" s="487"/>
      <c r="AH19" s="487"/>
      <c r="AI19" s="488"/>
      <c r="AJ19" s="37" t="s">
        <v>186</v>
      </c>
      <c r="AK19" s="37" t="s">
        <v>190</v>
      </c>
      <c r="AL19" s="37" t="s">
        <v>185</v>
      </c>
      <c r="AM19" s="37" t="s">
        <v>185</v>
      </c>
      <c r="AN19" s="37" t="s">
        <v>199</v>
      </c>
      <c r="AO19" s="37" t="s">
        <v>186</v>
      </c>
      <c r="AP19" s="37" t="s">
        <v>205</v>
      </c>
      <c r="AQ19" s="18" t="s">
        <v>208</v>
      </c>
      <c r="AR19" s="647"/>
      <c r="AS19" s="511" t="s">
        <v>60</v>
      </c>
      <c r="AT19" s="487"/>
      <c r="AU19" s="487"/>
      <c r="AV19" s="487"/>
      <c r="AW19" s="488"/>
      <c r="AX19" s="37" t="s">
        <v>211</v>
      </c>
      <c r="AY19" s="37" t="s">
        <v>216</v>
      </c>
      <c r="AZ19" s="37" t="s">
        <v>214</v>
      </c>
      <c r="BA19" s="37" t="s">
        <v>216</v>
      </c>
      <c r="BB19" s="37" t="s">
        <v>194</v>
      </c>
      <c r="BC19" s="37" t="s">
        <v>193</v>
      </c>
      <c r="BD19" s="37" t="s">
        <v>224</v>
      </c>
      <c r="BE19" s="18" t="s">
        <v>227</v>
      </c>
      <c r="BF19" s="647"/>
      <c r="BG19" s="511" t="s">
        <v>60</v>
      </c>
      <c r="BH19" s="487"/>
      <c r="BI19" s="487"/>
      <c r="BJ19" s="487"/>
      <c r="BK19" s="488"/>
      <c r="BL19" s="37" t="s">
        <v>229</v>
      </c>
      <c r="BM19" s="37" t="s">
        <v>188</v>
      </c>
      <c r="BN19" s="37" t="s">
        <v>231</v>
      </c>
      <c r="BO19" s="37" t="s">
        <v>258</v>
      </c>
      <c r="BP19" s="37" t="s">
        <v>252</v>
      </c>
      <c r="BQ19" s="37" t="s">
        <v>189</v>
      </c>
      <c r="BR19" s="37" t="s">
        <v>253</v>
      </c>
      <c r="BS19" s="18" t="s">
        <v>266</v>
      </c>
      <c r="BT19" s="647"/>
      <c r="BU19" s="511" t="s">
        <v>60</v>
      </c>
      <c r="BV19" s="487"/>
      <c r="BW19" s="487"/>
      <c r="BX19" s="487"/>
      <c r="BY19" s="488"/>
      <c r="BZ19" s="18" t="s">
        <v>254</v>
      </c>
      <c r="CA19" s="18" t="s">
        <v>199</v>
      </c>
      <c r="CB19" s="18" t="s">
        <v>255</v>
      </c>
      <c r="CC19" s="37" t="s">
        <v>227</v>
      </c>
      <c r="CD19" s="37" t="s">
        <v>256</v>
      </c>
      <c r="CE19" s="37" t="s">
        <v>186</v>
      </c>
      <c r="CF19" s="37" t="s">
        <v>250</v>
      </c>
      <c r="CG19" s="18" t="s">
        <v>188</v>
      </c>
      <c r="CH19" s="647"/>
      <c r="CI19" s="511" t="s">
        <v>60</v>
      </c>
      <c r="CJ19" s="487"/>
      <c r="CK19" s="487"/>
      <c r="CL19" s="487"/>
      <c r="CM19" s="488"/>
      <c r="CN19" s="18" t="s">
        <v>251</v>
      </c>
      <c r="CO19" s="18" t="s">
        <v>191</v>
      </c>
      <c r="CP19" s="18" t="s">
        <v>205</v>
      </c>
      <c r="CQ19" s="37" t="s">
        <v>205</v>
      </c>
      <c r="CR19" s="37" t="s">
        <v>269</v>
      </c>
      <c r="CS19" s="37" t="s">
        <v>272</v>
      </c>
      <c r="CT19" s="37" t="s">
        <v>266</v>
      </c>
      <c r="CU19" s="18" t="s">
        <v>272</v>
      </c>
      <c r="CV19" s="647"/>
      <c r="CW19" s="511" t="s">
        <v>60</v>
      </c>
      <c r="CX19" s="487"/>
      <c r="CY19" s="487"/>
      <c r="CZ19" s="487"/>
      <c r="DA19" s="488"/>
      <c r="DB19" s="18" t="s">
        <v>253</v>
      </c>
      <c r="DC19" s="18" t="s">
        <v>185</v>
      </c>
      <c r="DD19" s="18" t="s">
        <v>279</v>
      </c>
      <c r="DE19" s="37" t="s">
        <v>283</v>
      </c>
      <c r="DF19" s="64"/>
      <c r="DG19" s="65"/>
      <c r="DH19" s="66"/>
      <c r="DI19" s="65"/>
      <c r="DJ19" s="647"/>
      <c r="DK19" s="511" t="s">
        <v>60</v>
      </c>
      <c r="DL19" s="487"/>
      <c r="DM19" s="487"/>
      <c r="DN19" s="487"/>
      <c r="DO19" s="488"/>
      <c r="DP19" s="51">
        <v>0.06</v>
      </c>
      <c r="DQ19" s="603" t="str">
        <f>IF(DP19="","","～")</f>
        <v>～</v>
      </c>
      <c r="DR19" s="603"/>
      <c r="DS19" s="52">
        <v>0.09</v>
      </c>
      <c r="DT19" s="47" t="s">
        <v>297</v>
      </c>
      <c r="DU19" s="51">
        <v>0.02</v>
      </c>
      <c r="DV19" s="603" t="str">
        <f>IF(DU19="","","～")</f>
        <v>～</v>
      </c>
      <c r="DW19" s="603"/>
      <c r="DX19" s="52">
        <v>0.04</v>
      </c>
      <c r="DY19" s="47" t="s">
        <v>298</v>
      </c>
      <c r="DZ19" s="51">
        <v>0</v>
      </c>
      <c r="EA19" s="603" t="str">
        <f>IF(DZ19="","","～")</f>
        <v>～</v>
      </c>
      <c r="EB19" s="603"/>
      <c r="EC19" s="52">
        <v>0.05</v>
      </c>
      <c r="ED19" s="610"/>
      <c r="EE19" s="51">
        <v>0</v>
      </c>
      <c r="EF19" s="603" t="str">
        <f>IF(EE19="","","～")</f>
        <v>～</v>
      </c>
      <c r="EG19" s="603"/>
      <c r="EH19" s="52">
        <v>0.09</v>
      </c>
      <c r="EI19" s="610"/>
      <c r="EJ19" s="480"/>
      <c r="EK19" s="511" t="s">
        <v>60</v>
      </c>
      <c r="EL19" s="487"/>
      <c r="EM19" s="487"/>
      <c r="EN19" s="487"/>
      <c r="EO19" s="488"/>
      <c r="EP19" s="51">
        <v>0</v>
      </c>
      <c r="EQ19" s="603" t="str">
        <f>IF(EP19="","","～")</f>
        <v>～</v>
      </c>
      <c r="ER19" s="603"/>
      <c r="ES19" s="52">
        <v>0.09</v>
      </c>
      <c r="ET19" s="627"/>
      <c r="EU19" s="51">
        <v>0</v>
      </c>
      <c r="EV19" s="603" t="str">
        <f>IF(EU19="","","～")</f>
        <v>～</v>
      </c>
      <c r="EW19" s="603"/>
      <c r="EX19" s="52">
        <v>0.04</v>
      </c>
      <c r="EY19" s="627"/>
      <c r="EZ19" s="51">
        <v>0</v>
      </c>
      <c r="FA19" s="603" t="str">
        <f>IF(EZ19="","","～")</f>
        <v>～</v>
      </c>
      <c r="FB19" s="603"/>
      <c r="FC19" s="52">
        <v>0.01</v>
      </c>
      <c r="FD19" s="653"/>
      <c r="FE19" s="51">
        <v>0.08</v>
      </c>
      <c r="FF19" s="603" t="str">
        <f>IF(FE19="","","～")</f>
        <v>～</v>
      </c>
      <c r="FG19" s="603"/>
      <c r="FH19" s="52">
        <v>0.19</v>
      </c>
      <c r="FI19" s="86" t="s">
        <v>185</v>
      </c>
      <c r="FJ19" s="18"/>
      <c r="FK19" s="480"/>
      <c r="FL19" s="511" t="s">
        <v>60</v>
      </c>
      <c r="FM19" s="487"/>
      <c r="FN19" s="487"/>
      <c r="FO19" s="487"/>
      <c r="FP19" s="488"/>
      <c r="FQ19" s="51">
        <v>0.11</v>
      </c>
      <c r="FR19" s="603" t="str">
        <f>IF(FQ19="","","～")</f>
        <v>～</v>
      </c>
      <c r="FS19" s="603"/>
      <c r="FT19" s="52">
        <v>0.22</v>
      </c>
      <c r="FU19" s="47" t="s">
        <v>318</v>
      </c>
      <c r="FV19" s="51">
        <v>0</v>
      </c>
      <c r="FW19" s="603" t="str">
        <f>IF(FV19="","","～")</f>
        <v>～</v>
      </c>
      <c r="FX19" s="603"/>
      <c r="FY19" s="52">
        <v>0.02</v>
      </c>
      <c r="FZ19" s="627"/>
      <c r="GA19" s="51">
        <v>0.06</v>
      </c>
      <c r="GB19" s="603" t="str">
        <f>IF(GA19="","","～")</f>
        <v>～</v>
      </c>
      <c r="GC19" s="603"/>
      <c r="GD19" s="52">
        <v>0.08</v>
      </c>
      <c r="GE19" s="18" t="s">
        <v>297</v>
      </c>
      <c r="GF19" s="51">
        <v>7.0000000000000007E-2</v>
      </c>
      <c r="GG19" s="603" t="str">
        <f>IF(GF19="","","～")</f>
        <v>～</v>
      </c>
      <c r="GH19" s="603"/>
      <c r="GI19" s="52">
        <v>0.18</v>
      </c>
      <c r="GJ19" s="18" t="s">
        <v>327</v>
      </c>
      <c r="GK19" s="480"/>
      <c r="GL19" s="511" t="s">
        <v>60</v>
      </c>
      <c r="GM19" s="487"/>
      <c r="GN19" s="487"/>
      <c r="GO19" s="487"/>
      <c r="GP19" s="488"/>
      <c r="GQ19" s="51">
        <v>7.0000000000000007E-2</v>
      </c>
      <c r="GR19" s="603" t="str">
        <f>IF(GQ19="","","～")</f>
        <v>～</v>
      </c>
      <c r="GS19" s="603"/>
      <c r="GT19" s="52">
        <v>0.18</v>
      </c>
      <c r="GU19" s="18" t="s">
        <v>329</v>
      </c>
      <c r="GV19" s="51">
        <v>0.08</v>
      </c>
      <c r="GW19" s="603" t="str">
        <f>IF(GV19="","","～")</f>
        <v>～</v>
      </c>
      <c r="GX19" s="603"/>
      <c r="GY19" s="52">
        <v>0.13</v>
      </c>
      <c r="GZ19" s="18" t="s">
        <v>331</v>
      </c>
      <c r="HA19" s="51">
        <v>0.09</v>
      </c>
      <c r="HB19" s="603" t="str">
        <f>IF(HA19="","","～")</f>
        <v>～</v>
      </c>
      <c r="HC19" s="603"/>
      <c r="HD19" s="52">
        <v>0.13</v>
      </c>
      <c r="HE19" s="18" t="s">
        <v>338</v>
      </c>
      <c r="HF19" s="47">
        <v>0.15</v>
      </c>
      <c r="HG19" s="603" t="str">
        <f>IF(HF19="","","～")</f>
        <v>～</v>
      </c>
      <c r="HH19" s="603"/>
      <c r="HI19" s="48">
        <v>0.17</v>
      </c>
      <c r="HJ19" s="18" t="s">
        <v>339</v>
      </c>
      <c r="HK19" s="480"/>
      <c r="HL19" s="511" t="s">
        <v>60</v>
      </c>
      <c r="HM19" s="487"/>
      <c r="HN19" s="487"/>
      <c r="HO19" s="487"/>
      <c r="HP19" s="488"/>
      <c r="HQ19" s="47">
        <v>7.0000000000000007E-2</v>
      </c>
      <c r="HR19" s="603" t="str">
        <f>IF(HQ19="","","～")</f>
        <v>～</v>
      </c>
      <c r="HS19" s="603"/>
      <c r="HT19" s="48">
        <v>0.23</v>
      </c>
      <c r="HU19" s="18" t="s">
        <v>340</v>
      </c>
      <c r="HV19" s="47">
        <v>0</v>
      </c>
      <c r="HW19" s="603" t="str">
        <f>IF(HV19="","","～")</f>
        <v>～</v>
      </c>
      <c r="HX19" s="603"/>
      <c r="HY19" s="48">
        <v>0.05</v>
      </c>
      <c r="HZ19" s="627"/>
      <c r="IA19" s="47">
        <v>0</v>
      </c>
      <c r="IB19" s="603" t="str">
        <f>IF(IA19="","","～")</f>
        <v>～</v>
      </c>
      <c r="IC19" s="603"/>
      <c r="ID19" s="48">
        <v>0.16</v>
      </c>
      <c r="IE19" s="627"/>
      <c r="IF19" s="47">
        <v>0.04</v>
      </c>
      <c r="IG19" s="603" t="str">
        <f>IF(IF19="","","～")</f>
        <v>～</v>
      </c>
      <c r="IH19" s="603"/>
      <c r="II19" s="48">
        <v>0.19</v>
      </c>
      <c r="IJ19" s="18" t="s">
        <v>350</v>
      </c>
      <c r="IK19" s="480"/>
      <c r="IL19" s="511" t="s">
        <v>60</v>
      </c>
      <c r="IM19" s="487"/>
      <c r="IN19" s="487"/>
      <c r="IO19" s="487"/>
      <c r="IP19" s="488"/>
      <c r="IQ19" s="47">
        <v>0.06</v>
      </c>
      <c r="IR19" s="603" t="str">
        <f>IF(IQ19="","","～")</f>
        <v>～</v>
      </c>
      <c r="IS19" s="603"/>
      <c r="IT19" s="48">
        <v>0.26</v>
      </c>
      <c r="IU19" s="18" t="s">
        <v>354</v>
      </c>
      <c r="IV19" s="47">
        <v>0.16</v>
      </c>
      <c r="IW19" s="603" t="str">
        <f>IF(IV19="","","～")</f>
        <v>～</v>
      </c>
      <c r="IX19" s="603"/>
      <c r="IY19" s="48">
        <v>0.35</v>
      </c>
      <c r="IZ19" s="18" t="s">
        <v>372</v>
      </c>
      <c r="JA19" s="47">
        <v>0.08</v>
      </c>
      <c r="JB19" s="603" t="str">
        <f>IF(JA19="","","～")</f>
        <v>～</v>
      </c>
      <c r="JC19" s="603"/>
      <c r="JD19" s="48">
        <v>0.27</v>
      </c>
      <c r="JE19" s="18" t="s">
        <v>371</v>
      </c>
      <c r="JF19" s="47">
        <v>0</v>
      </c>
      <c r="JG19" s="603" t="str">
        <f>IF(JF19="","","～")</f>
        <v>～</v>
      </c>
      <c r="JH19" s="603"/>
      <c r="JI19" s="48">
        <v>0.15</v>
      </c>
      <c r="JJ19" s="610"/>
      <c r="JK19" s="480"/>
      <c r="JL19" s="511" t="s">
        <v>60</v>
      </c>
      <c r="JM19" s="487"/>
      <c r="JN19" s="487"/>
      <c r="JO19" s="487"/>
      <c r="JP19" s="488"/>
      <c r="JQ19" s="47">
        <v>0.13</v>
      </c>
      <c r="JR19" s="603" t="str">
        <f>IF(JQ19="","","～")</f>
        <v>～</v>
      </c>
      <c r="JS19" s="603"/>
      <c r="JT19" s="48">
        <v>0.31</v>
      </c>
      <c r="JU19" s="18" t="s">
        <v>369</v>
      </c>
      <c r="JV19" s="47">
        <v>0.08</v>
      </c>
      <c r="JW19" s="603" t="str">
        <f>IF(JV19="","","～")</f>
        <v>～</v>
      </c>
      <c r="JX19" s="603"/>
      <c r="JY19" s="48">
        <v>0.27</v>
      </c>
      <c r="JZ19" s="18" t="s">
        <v>370</v>
      </c>
      <c r="KA19" s="47">
        <v>0</v>
      </c>
      <c r="KB19" s="603" t="str">
        <f>IF(KA19="","","～")</f>
        <v>～</v>
      </c>
      <c r="KC19" s="603"/>
      <c r="KD19" s="48">
        <v>0.2</v>
      </c>
      <c r="KE19" s="86" t="s">
        <v>376</v>
      </c>
      <c r="KF19" s="125"/>
      <c r="KG19" s="47">
        <v>0</v>
      </c>
      <c r="KH19" s="603" t="str">
        <f>IF(KG19="","","～")</f>
        <v>～</v>
      </c>
      <c r="KI19" s="603"/>
      <c r="KJ19" s="48">
        <v>0.12</v>
      </c>
      <c r="KK19" s="610"/>
      <c r="KL19" s="480"/>
      <c r="KM19" s="511" t="s">
        <v>60</v>
      </c>
      <c r="KN19" s="487"/>
      <c r="KO19" s="487"/>
      <c r="KP19" s="487"/>
      <c r="KQ19" s="488"/>
      <c r="KR19" s="127">
        <v>0</v>
      </c>
      <c r="KS19" s="603" t="s">
        <v>160</v>
      </c>
      <c r="KT19" s="603"/>
      <c r="KU19" s="48">
        <v>0.1</v>
      </c>
      <c r="KV19" s="610"/>
      <c r="KW19" s="129">
        <v>0</v>
      </c>
      <c r="KX19" s="603" t="s">
        <v>160</v>
      </c>
      <c r="KY19" s="603"/>
      <c r="KZ19" s="48">
        <v>0.09</v>
      </c>
      <c r="LA19" s="610"/>
      <c r="LB19" s="131">
        <v>0.2</v>
      </c>
      <c r="LC19" s="603" t="str">
        <f>IF(LB19="","","～")</f>
        <v>～</v>
      </c>
      <c r="LD19" s="603"/>
      <c r="LE19" s="48">
        <v>0.39</v>
      </c>
      <c r="LF19" s="18" t="s">
        <v>393</v>
      </c>
      <c r="LG19" s="142">
        <v>0</v>
      </c>
      <c r="LH19" s="603" t="str">
        <f>IF(LG19="","","～")</f>
        <v>～</v>
      </c>
      <c r="LI19" s="603"/>
      <c r="LJ19" s="48">
        <v>0.16</v>
      </c>
      <c r="LK19" s="610"/>
      <c r="LL19" s="480"/>
      <c r="LM19" s="511" t="s">
        <v>60</v>
      </c>
      <c r="LN19" s="487"/>
      <c r="LO19" s="487"/>
      <c r="LP19" s="487"/>
      <c r="LQ19" s="488"/>
      <c r="LR19" s="134">
        <v>0</v>
      </c>
      <c r="LS19" s="603" t="str">
        <f>IF(LR19="","","～")</f>
        <v>～</v>
      </c>
      <c r="LT19" s="603"/>
      <c r="LU19" s="48">
        <v>0.08</v>
      </c>
      <c r="LV19" s="610"/>
      <c r="LW19" s="142">
        <v>0.1</v>
      </c>
      <c r="LX19" s="603" t="str">
        <f>IF(LW19="","","～")</f>
        <v>～</v>
      </c>
      <c r="LY19" s="603"/>
      <c r="LZ19" s="48">
        <v>0.28000000000000003</v>
      </c>
      <c r="MA19" s="86" t="s">
        <v>404</v>
      </c>
      <c r="MB19" s="142">
        <v>0</v>
      </c>
      <c r="MC19" s="603" t="str">
        <f>IF(MB19="","","～")</f>
        <v>～</v>
      </c>
      <c r="MD19" s="603"/>
      <c r="ME19" s="48">
        <v>0.16</v>
      </c>
      <c r="MF19" s="86" t="s">
        <v>408</v>
      </c>
      <c r="MG19" s="654" t="s">
        <v>354</v>
      </c>
      <c r="MH19" s="655"/>
      <c r="MI19" s="655"/>
      <c r="MJ19" s="656"/>
      <c r="MK19" s="37"/>
      <c r="ML19" s="155"/>
      <c r="MM19" s="603"/>
      <c r="MN19" s="603"/>
      <c r="MO19" s="48"/>
      <c r="MP19" s="86" t="s">
        <v>411</v>
      </c>
      <c r="MQ19" s="480"/>
      <c r="MR19" s="511" t="s">
        <v>60</v>
      </c>
      <c r="MS19" s="487"/>
      <c r="MT19" s="487"/>
      <c r="MU19" s="487"/>
      <c r="MV19" s="488"/>
      <c r="MW19" s="158">
        <v>7.0000000000000007E-2</v>
      </c>
      <c r="MX19" s="603" t="str">
        <f>IF(MW19="","","～")</f>
        <v>～</v>
      </c>
      <c r="MY19" s="603"/>
      <c r="MZ19" s="48">
        <v>0.17</v>
      </c>
      <c r="NA19" s="86" t="s">
        <v>418</v>
      </c>
      <c r="NB19" s="159">
        <v>0.1</v>
      </c>
      <c r="NC19" s="603" t="str">
        <f>IF(NB19="","","～")</f>
        <v>～</v>
      </c>
      <c r="ND19" s="603"/>
      <c r="NE19" s="48">
        <v>0.28999999999999998</v>
      </c>
      <c r="NF19" s="86" t="s">
        <v>422</v>
      </c>
      <c r="NG19" s="163">
        <v>0.13</v>
      </c>
      <c r="NH19" s="603" t="str">
        <f>IF(NG19="","","～")</f>
        <v>～</v>
      </c>
      <c r="NI19" s="603"/>
      <c r="NJ19" s="48">
        <v>0.25</v>
      </c>
      <c r="NK19" s="86" t="s">
        <v>430</v>
      </c>
      <c r="NL19" s="174">
        <v>0.1</v>
      </c>
      <c r="NM19" s="603" t="str">
        <f>IF(NL19="","","～")</f>
        <v>～</v>
      </c>
      <c r="NN19" s="603"/>
      <c r="NO19" s="48">
        <v>0.28999999999999998</v>
      </c>
      <c r="NP19" s="18" t="s">
        <v>340</v>
      </c>
      <c r="NQ19" s="86"/>
      <c r="NR19" s="480"/>
      <c r="NS19" s="511" t="s">
        <v>60</v>
      </c>
      <c r="NT19" s="487"/>
      <c r="NU19" s="487"/>
      <c r="NV19" s="487"/>
      <c r="NW19" s="488"/>
      <c r="NX19" s="167">
        <v>0.36</v>
      </c>
      <c r="NY19" s="603" t="str">
        <f>IF(NX19="","","～")</f>
        <v>～</v>
      </c>
      <c r="NZ19" s="603"/>
      <c r="OA19" s="48">
        <v>0.36</v>
      </c>
      <c r="OB19" s="86" t="s">
        <v>432</v>
      </c>
      <c r="OC19" s="167">
        <v>0.27</v>
      </c>
      <c r="OD19" s="603" t="str">
        <f>IF(OC19="","","～")</f>
        <v>～</v>
      </c>
      <c r="OE19" s="603"/>
      <c r="OF19" s="48">
        <v>0.27</v>
      </c>
      <c r="OG19" s="86" t="s">
        <v>431</v>
      </c>
      <c r="OH19" s="180">
        <v>0</v>
      </c>
      <c r="OI19" s="603" t="str">
        <f>IF(OH19="","","～")</f>
        <v>～</v>
      </c>
      <c r="OJ19" s="603"/>
      <c r="OK19" s="48">
        <v>0.15</v>
      </c>
      <c r="OL19" s="86" t="s">
        <v>438</v>
      </c>
      <c r="OM19" s="180">
        <v>0</v>
      </c>
      <c r="ON19" s="603" t="str">
        <f>IF(OM19="","","～")</f>
        <v>～</v>
      </c>
      <c r="OO19" s="603"/>
      <c r="OP19" s="48">
        <v>0.1</v>
      </c>
      <c r="OQ19" s="610"/>
      <c r="OR19" s="86"/>
      <c r="OS19" s="480"/>
      <c r="OT19" s="511" t="s">
        <v>60</v>
      </c>
      <c r="OU19" s="487"/>
      <c r="OV19" s="487"/>
      <c r="OW19" s="487"/>
      <c r="OX19" s="488"/>
      <c r="OY19" s="176">
        <v>0.17</v>
      </c>
      <c r="OZ19" s="603" t="str">
        <f>IF(OY19="","","～")</f>
        <v>～</v>
      </c>
      <c r="PA19" s="603"/>
      <c r="PB19" s="48">
        <v>0.31</v>
      </c>
      <c r="PC19" s="86" t="s">
        <v>445</v>
      </c>
      <c r="PD19" s="176">
        <v>0</v>
      </c>
      <c r="PE19" s="603" t="str">
        <f>IF(PD19="","","～")</f>
        <v>～</v>
      </c>
      <c r="PF19" s="603"/>
      <c r="PG19" s="48">
        <v>0.18</v>
      </c>
      <c r="PH19" s="86" t="s">
        <v>448</v>
      </c>
      <c r="PI19" s="176">
        <v>0.19</v>
      </c>
      <c r="PJ19" s="603" t="str">
        <f>IF(PI19="","","～")</f>
        <v>～</v>
      </c>
      <c r="PK19" s="603"/>
      <c r="PL19" s="48">
        <v>0.32</v>
      </c>
      <c r="PM19" s="86" t="s">
        <v>453</v>
      </c>
      <c r="PN19" s="182">
        <v>0.17</v>
      </c>
      <c r="PO19" s="603" t="str">
        <f>IF(PN19="","","～")</f>
        <v>～</v>
      </c>
      <c r="PP19" s="603"/>
      <c r="PQ19" s="48">
        <v>0.28999999999999998</v>
      </c>
      <c r="PR19" s="86" t="s">
        <v>461</v>
      </c>
      <c r="PS19" s="86"/>
      <c r="PT19" s="480"/>
      <c r="PU19" s="511" t="s">
        <v>60</v>
      </c>
      <c r="PV19" s="487"/>
      <c r="PW19" s="487"/>
      <c r="PX19" s="487"/>
      <c r="PY19" s="488"/>
      <c r="PZ19" s="190">
        <v>0.37</v>
      </c>
      <c r="QA19" s="603" t="s">
        <v>160</v>
      </c>
      <c r="QB19" s="603"/>
      <c r="QC19" s="48">
        <v>0.51</v>
      </c>
      <c r="QD19" s="86" t="s">
        <v>460</v>
      </c>
      <c r="QE19" s="190">
        <v>0</v>
      </c>
      <c r="QF19" s="603" t="s">
        <v>160</v>
      </c>
      <c r="QG19" s="603"/>
      <c r="QH19" s="48">
        <v>0.21</v>
      </c>
      <c r="QI19" s="610"/>
      <c r="QJ19" s="194">
        <v>0.27700000000000002</v>
      </c>
      <c r="QK19" s="603" t="s">
        <v>160</v>
      </c>
      <c r="QL19" s="603"/>
      <c r="QM19" s="48">
        <v>0.311</v>
      </c>
      <c r="QN19" s="86" t="s">
        <v>468</v>
      </c>
      <c r="QO19" s="195">
        <v>0.26</v>
      </c>
      <c r="QP19" s="603" t="s">
        <v>160</v>
      </c>
      <c r="QQ19" s="603"/>
      <c r="QR19" s="48">
        <v>0.3</v>
      </c>
      <c r="QS19" s="86" t="s">
        <v>472</v>
      </c>
      <c r="QT19" s="480"/>
      <c r="QU19" s="511" t="s">
        <v>60</v>
      </c>
      <c r="QV19" s="487"/>
      <c r="QW19" s="487"/>
      <c r="QX19" s="487"/>
      <c r="QY19" s="488"/>
      <c r="QZ19" s="198">
        <v>0.32</v>
      </c>
      <c r="RA19" s="603" t="s">
        <v>160</v>
      </c>
      <c r="RB19" s="603"/>
      <c r="RC19" s="48">
        <v>0.36</v>
      </c>
      <c r="RD19" s="86" t="s">
        <v>480</v>
      </c>
      <c r="RE19" s="200">
        <v>0.35</v>
      </c>
      <c r="RF19" s="603" t="s">
        <v>160</v>
      </c>
      <c r="RG19" s="603"/>
      <c r="RH19" s="48">
        <v>0.48</v>
      </c>
      <c r="RI19" s="86" t="s">
        <v>481</v>
      </c>
      <c r="RJ19" s="203">
        <v>0</v>
      </c>
      <c r="RK19" s="603" t="s">
        <v>160</v>
      </c>
      <c r="RL19" s="603"/>
      <c r="RM19" s="48">
        <v>0.13</v>
      </c>
      <c r="RN19" s="610"/>
      <c r="RO19" s="205">
        <v>0</v>
      </c>
      <c r="RP19" s="603" t="s">
        <v>160</v>
      </c>
      <c r="RQ19" s="603"/>
      <c r="RR19" s="48">
        <v>0.12</v>
      </c>
      <c r="RS19" s="610"/>
      <c r="RT19" s="86"/>
      <c r="RU19" s="480"/>
      <c r="RV19" s="511" t="s">
        <v>60</v>
      </c>
      <c r="RW19" s="487"/>
      <c r="RX19" s="487"/>
      <c r="RY19" s="487"/>
      <c r="RZ19" s="488"/>
      <c r="SA19" s="207">
        <v>0</v>
      </c>
      <c r="SB19" s="603" t="s">
        <v>160</v>
      </c>
      <c r="SC19" s="603"/>
      <c r="SD19" s="48">
        <v>0.15</v>
      </c>
      <c r="SE19" s="610"/>
      <c r="SF19" s="207">
        <v>0.18</v>
      </c>
      <c r="SG19" s="603" t="s">
        <v>160</v>
      </c>
      <c r="SH19" s="603"/>
      <c r="SI19" s="48">
        <v>0.22</v>
      </c>
      <c r="SJ19" s="86" t="s">
        <v>493</v>
      </c>
      <c r="SK19" s="210">
        <v>0.15</v>
      </c>
      <c r="SL19" s="603" t="s">
        <v>160</v>
      </c>
      <c r="SM19" s="603"/>
      <c r="SN19" s="48">
        <v>0.19</v>
      </c>
      <c r="SO19" s="86" t="s">
        <v>453</v>
      </c>
      <c r="SP19" s="212">
        <v>0.05</v>
      </c>
      <c r="SQ19" s="603" t="s">
        <v>160</v>
      </c>
      <c r="SR19" s="603"/>
      <c r="SS19" s="48">
        <v>0.09</v>
      </c>
      <c r="ST19" s="86" t="s">
        <v>500</v>
      </c>
      <c r="SU19" s="480"/>
      <c r="SV19" s="511" t="s">
        <v>60</v>
      </c>
      <c r="SW19" s="487"/>
      <c r="SX19" s="487"/>
      <c r="SY19" s="487"/>
      <c r="SZ19" s="488"/>
      <c r="TA19" s="216">
        <v>0.05</v>
      </c>
      <c r="TB19" s="603" t="s">
        <v>160</v>
      </c>
      <c r="TC19" s="603"/>
      <c r="TD19" s="48">
        <v>0.09</v>
      </c>
      <c r="TE19" s="18" t="s">
        <v>504</v>
      </c>
      <c r="TF19" s="216">
        <v>0.03</v>
      </c>
      <c r="TG19" s="603" t="s">
        <v>160</v>
      </c>
      <c r="TH19" s="603"/>
      <c r="TI19" s="48">
        <v>0.12</v>
      </c>
      <c r="TJ19" s="86" t="s">
        <v>508</v>
      </c>
      <c r="TK19" s="221">
        <v>0.28000000000000003</v>
      </c>
      <c r="TL19" s="603" t="s">
        <v>160</v>
      </c>
      <c r="TM19" s="603"/>
      <c r="TN19" s="48">
        <v>0.36</v>
      </c>
      <c r="TO19" s="86" t="s">
        <v>513</v>
      </c>
      <c r="TP19" s="216"/>
      <c r="TQ19" s="603"/>
      <c r="TR19" s="603"/>
      <c r="TS19" s="48"/>
      <c r="TT19" s="86"/>
    </row>
    <row r="20" spans="2:540" ht="45" customHeight="1" x14ac:dyDescent="0.4">
      <c r="B20" s="554" t="s">
        <v>8</v>
      </c>
      <c r="C20" s="20"/>
      <c r="D20" s="457" t="s">
        <v>67</v>
      </c>
      <c r="E20" s="459"/>
      <c r="F20" s="459"/>
      <c r="G20" s="21" t="s">
        <v>4</v>
      </c>
      <c r="H20" s="38">
        <v>930</v>
      </c>
      <c r="I20" s="22">
        <v>964</v>
      </c>
      <c r="J20" s="38">
        <v>920</v>
      </c>
      <c r="K20" s="22">
        <v>971</v>
      </c>
      <c r="L20" s="38">
        <v>920</v>
      </c>
      <c r="M20" s="38">
        <v>974</v>
      </c>
      <c r="N20" s="38">
        <v>900</v>
      </c>
      <c r="O20" s="22">
        <v>935</v>
      </c>
      <c r="P20" s="554" t="s">
        <v>8</v>
      </c>
      <c r="Q20" s="20"/>
      <c r="R20" s="457" t="s">
        <v>67</v>
      </c>
      <c r="S20" s="459"/>
      <c r="T20" s="459"/>
      <c r="U20" s="21" t="s">
        <v>4</v>
      </c>
      <c r="V20" s="38">
        <v>810</v>
      </c>
      <c r="W20" s="38">
        <v>834</v>
      </c>
      <c r="X20" s="38">
        <v>760</v>
      </c>
      <c r="Y20" s="38">
        <v>740</v>
      </c>
      <c r="Z20" s="38">
        <v>860</v>
      </c>
      <c r="AA20" s="38">
        <v>878</v>
      </c>
      <c r="AB20" s="38">
        <v>850</v>
      </c>
      <c r="AC20" s="22">
        <v>872</v>
      </c>
      <c r="AD20" s="554" t="s">
        <v>8</v>
      </c>
      <c r="AE20" s="20"/>
      <c r="AF20" s="457" t="s">
        <v>67</v>
      </c>
      <c r="AG20" s="459"/>
      <c r="AH20" s="459"/>
      <c r="AI20" s="21" t="s">
        <v>4</v>
      </c>
      <c r="AJ20" s="38">
        <v>880</v>
      </c>
      <c r="AK20" s="38">
        <v>928</v>
      </c>
      <c r="AL20" s="38">
        <v>770</v>
      </c>
      <c r="AM20" s="38">
        <v>859</v>
      </c>
      <c r="AN20" s="38">
        <v>838</v>
      </c>
      <c r="AO20" s="38">
        <v>893</v>
      </c>
      <c r="AP20" s="38">
        <v>880</v>
      </c>
      <c r="AQ20" s="22">
        <v>910</v>
      </c>
      <c r="AR20" s="554" t="s">
        <v>8</v>
      </c>
      <c r="AS20" s="20"/>
      <c r="AT20" s="457" t="s">
        <v>67</v>
      </c>
      <c r="AU20" s="459"/>
      <c r="AV20" s="459"/>
      <c r="AW20" s="21" t="s">
        <v>4</v>
      </c>
      <c r="AX20" s="38">
        <v>870</v>
      </c>
      <c r="AY20" s="38">
        <v>928</v>
      </c>
      <c r="AZ20" s="38">
        <v>880</v>
      </c>
      <c r="BA20" s="38">
        <v>929</v>
      </c>
      <c r="BB20" s="38">
        <v>820</v>
      </c>
      <c r="BC20" s="38">
        <v>855</v>
      </c>
      <c r="BD20" s="38">
        <v>800</v>
      </c>
      <c r="BE20" s="22">
        <v>791</v>
      </c>
      <c r="BF20" s="554" t="s">
        <v>8</v>
      </c>
      <c r="BG20" s="20"/>
      <c r="BH20" s="457" t="s">
        <v>67</v>
      </c>
      <c r="BI20" s="459"/>
      <c r="BJ20" s="459"/>
      <c r="BK20" s="21" t="s">
        <v>4</v>
      </c>
      <c r="BL20" s="38">
        <v>880</v>
      </c>
      <c r="BM20" s="38">
        <v>941</v>
      </c>
      <c r="BN20" s="38">
        <v>820</v>
      </c>
      <c r="BO20" s="38">
        <v>921</v>
      </c>
      <c r="BP20" s="38">
        <v>790</v>
      </c>
      <c r="BQ20" s="38">
        <v>845</v>
      </c>
      <c r="BR20" s="38">
        <v>710</v>
      </c>
      <c r="BS20" s="22">
        <v>732</v>
      </c>
      <c r="BT20" s="554" t="s">
        <v>8</v>
      </c>
      <c r="BU20" s="20"/>
      <c r="BV20" s="457" t="s">
        <v>67</v>
      </c>
      <c r="BW20" s="459"/>
      <c r="BX20" s="459"/>
      <c r="BY20" s="21" t="s">
        <v>4</v>
      </c>
      <c r="BZ20" s="22">
        <v>737</v>
      </c>
      <c r="CA20" s="22">
        <v>785</v>
      </c>
      <c r="CB20" s="22">
        <v>702</v>
      </c>
      <c r="CC20" s="38">
        <v>756</v>
      </c>
      <c r="CD20" s="38">
        <v>692</v>
      </c>
      <c r="CE20" s="38">
        <v>739</v>
      </c>
      <c r="CF20" s="38">
        <v>717</v>
      </c>
      <c r="CG20" s="22">
        <v>755</v>
      </c>
      <c r="CH20" s="554" t="s">
        <v>8</v>
      </c>
      <c r="CI20" s="20"/>
      <c r="CJ20" s="457" t="s">
        <v>67</v>
      </c>
      <c r="CK20" s="459"/>
      <c r="CL20" s="459"/>
      <c r="CM20" s="21" t="s">
        <v>4</v>
      </c>
      <c r="CN20" s="22">
        <v>737</v>
      </c>
      <c r="CO20" s="22">
        <v>793</v>
      </c>
      <c r="CP20" s="22">
        <v>842</v>
      </c>
      <c r="CQ20" s="38">
        <v>877</v>
      </c>
      <c r="CR20" s="38">
        <v>907</v>
      </c>
      <c r="CS20" s="38">
        <v>884</v>
      </c>
      <c r="CT20" s="38">
        <v>907</v>
      </c>
      <c r="CU20" s="22">
        <v>928</v>
      </c>
      <c r="CV20" s="554" t="s">
        <v>8</v>
      </c>
      <c r="CW20" s="20"/>
      <c r="CX20" s="457" t="s">
        <v>67</v>
      </c>
      <c r="CY20" s="459"/>
      <c r="CZ20" s="459"/>
      <c r="DA20" s="21" t="s">
        <v>4</v>
      </c>
      <c r="DB20" s="22">
        <v>867</v>
      </c>
      <c r="DC20" s="22">
        <v>898</v>
      </c>
      <c r="DD20" s="22">
        <v>797</v>
      </c>
      <c r="DE20" s="38">
        <v>833</v>
      </c>
      <c r="DF20" s="98"/>
      <c r="DG20" s="62"/>
      <c r="DH20" s="62"/>
      <c r="DI20" s="62"/>
      <c r="DJ20" s="525" t="s">
        <v>284</v>
      </c>
      <c r="DK20" s="20"/>
      <c r="DL20" s="457" t="s">
        <v>67</v>
      </c>
      <c r="DM20" s="459"/>
      <c r="DN20" s="459"/>
      <c r="DO20" s="21" t="s">
        <v>4</v>
      </c>
      <c r="DP20" s="526">
        <v>794</v>
      </c>
      <c r="DQ20" s="593"/>
      <c r="DR20" s="593"/>
      <c r="DS20" s="527"/>
      <c r="DT20" s="38">
        <v>774</v>
      </c>
      <c r="DU20" s="526">
        <v>814</v>
      </c>
      <c r="DV20" s="593"/>
      <c r="DW20" s="593"/>
      <c r="DX20" s="527"/>
      <c r="DY20" s="38">
        <v>857</v>
      </c>
      <c r="DZ20" s="526">
        <v>727</v>
      </c>
      <c r="EA20" s="593"/>
      <c r="EB20" s="593"/>
      <c r="EC20" s="527"/>
      <c r="ED20" s="38">
        <v>732</v>
      </c>
      <c r="EE20" s="526">
        <v>857</v>
      </c>
      <c r="EF20" s="593"/>
      <c r="EG20" s="593"/>
      <c r="EH20" s="527"/>
      <c r="EI20" s="22">
        <v>851</v>
      </c>
      <c r="EJ20" s="525" t="s">
        <v>284</v>
      </c>
      <c r="EK20" s="20"/>
      <c r="EL20" s="457" t="s">
        <v>308</v>
      </c>
      <c r="EM20" s="459"/>
      <c r="EN20" s="459"/>
      <c r="EO20" s="21" t="s">
        <v>4</v>
      </c>
      <c r="EP20" s="526">
        <v>847</v>
      </c>
      <c r="EQ20" s="593"/>
      <c r="ER20" s="593"/>
      <c r="ES20" s="527"/>
      <c r="ET20" s="38">
        <v>863</v>
      </c>
      <c r="EU20" s="526">
        <v>874</v>
      </c>
      <c r="EV20" s="593"/>
      <c r="EW20" s="593"/>
      <c r="EX20" s="527"/>
      <c r="EY20" s="38">
        <v>854</v>
      </c>
      <c r="EZ20" s="526">
        <v>887</v>
      </c>
      <c r="FA20" s="593"/>
      <c r="FB20" s="593"/>
      <c r="FC20" s="527"/>
      <c r="FD20" s="38">
        <v>884</v>
      </c>
      <c r="FE20" s="526">
        <v>727</v>
      </c>
      <c r="FF20" s="593"/>
      <c r="FG20" s="593"/>
      <c r="FH20" s="527"/>
      <c r="FI20" s="22">
        <v>831</v>
      </c>
      <c r="FJ20" s="22"/>
      <c r="FK20" s="525" t="s">
        <v>284</v>
      </c>
      <c r="FL20" s="20"/>
      <c r="FM20" s="457" t="s">
        <v>67</v>
      </c>
      <c r="FN20" s="459"/>
      <c r="FO20" s="459"/>
      <c r="FP20" s="21" t="s">
        <v>4</v>
      </c>
      <c r="FQ20" s="526">
        <v>727</v>
      </c>
      <c r="FR20" s="593"/>
      <c r="FS20" s="593"/>
      <c r="FT20" s="527"/>
      <c r="FU20" s="38">
        <v>816</v>
      </c>
      <c r="FV20" s="526">
        <v>877</v>
      </c>
      <c r="FW20" s="593"/>
      <c r="FX20" s="593"/>
      <c r="FY20" s="527"/>
      <c r="FZ20" s="38">
        <v>857</v>
      </c>
      <c r="GA20" s="526">
        <v>877</v>
      </c>
      <c r="GB20" s="593"/>
      <c r="GC20" s="593"/>
      <c r="GD20" s="527"/>
      <c r="GE20" s="22">
        <v>877</v>
      </c>
      <c r="GF20" s="526">
        <v>757</v>
      </c>
      <c r="GG20" s="593"/>
      <c r="GH20" s="593"/>
      <c r="GI20" s="527"/>
      <c r="GJ20" s="22">
        <v>847</v>
      </c>
      <c r="GK20" s="525" t="s">
        <v>284</v>
      </c>
      <c r="GL20" s="20"/>
      <c r="GM20" s="457" t="s">
        <v>67</v>
      </c>
      <c r="GN20" s="459"/>
      <c r="GO20" s="459"/>
      <c r="GP20" s="21" t="s">
        <v>4</v>
      </c>
      <c r="GQ20" s="526">
        <v>717</v>
      </c>
      <c r="GR20" s="593"/>
      <c r="GS20" s="593"/>
      <c r="GT20" s="527"/>
      <c r="GU20" s="22">
        <v>751</v>
      </c>
      <c r="GV20" s="526">
        <v>867</v>
      </c>
      <c r="GW20" s="593"/>
      <c r="GX20" s="593"/>
      <c r="GY20" s="527"/>
      <c r="GZ20" s="22">
        <v>856</v>
      </c>
      <c r="HA20" s="526">
        <v>907</v>
      </c>
      <c r="HB20" s="593"/>
      <c r="HC20" s="593"/>
      <c r="HD20" s="527"/>
      <c r="HE20" s="22">
        <v>874</v>
      </c>
      <c r="HF20" s="526">
        <v>809</v>
      </c>
      <c r="HG20" s="593"/>
      <c r="HH20" s="593"/>
      <c r="HI20" s="527"/>
      <c r="HJ20" s="92">
        <v>819</v>
      </c>
      <c r="HK20" s="525" t="s">
        <v>284</v>
      </c>
      <c r="HL20" s="20"/>
      <c r="HM20" s="457" t="s">
        <v>67</v>
      </c>
      <c r="HN20" s="459"/>
      <c r="HO20" s="459"/>
      <c r="HP20" s="21" t="s">
        <v>4</v>
      </c>
      <c r="HQ20" s="526">
        <v>715</v>
      </c>
      <c r="HR20" s="593"/>
      <c r="HS20" s="593"/>
      <c r="HT20" s="527"/>
      <c r="HU20" s="22">
        <v>746</v>
      </c>
      <c r="HV20" s="526">
        <v>859</v>
      </c>
      <c r="HW20" s="593"/>
      <c r="HX20" s="593"/>
      <c r="HY20" s="527"/>
      <c r="HZ20" s="22">
        <v>926</v>
      </c>
      <c r="IA20" s="526">
        <v>725</v>
      </c>
      <c r="IB20" s="593"/>
      <c r="IC20" s="593"/>
      <c r="ID20" s="527"/>
      <c r="IE20" s="22">
        <v>793</v>
      </c>
      <c r="IF20" s="526">
        <v>805</v>
      </c>
      <c r="IG20" s="593"/>
      <c r="IH20" s="593"/>
      <c r="II20" s="527"/>
      <c r="IJ20" s="22">
        <v>828</v>
      </c>
      <c r="IK20" s="525" t="s">
        <v>284</v>
      </c>
      <c r="IL20" s="20"/>
      <c r="IM20" s="457" t="s">
        <v>67</v>
      </c>
      <c r="IN20" s="459"/>
      <c r="IO20" s="459"/>
      <c r="IP20" s="21" t="s">
        <v>4</v>
      </c>
      <c r="IQ20" s="526">
        <v>760</v>
      </c>
      <c r="IR20" s="593"/>
      <c r="IS20" s="593"/>
      <c r="IT20" s="527"/>
      <c r="IU20" s="22">
        <v>801</v>
      </c>
      <c r="IV20" s="526">
        <v>740</v>
      </c>
      <c r="IW20" s="593"/>
      <c r="IX20" s="593"/>
      <c r="IY20" s="527"/>
      <c r="IZ20" s="22">
        <v>702</v>
      </c>
      <c r="JA20" s="526">
        <v>706</v>
      </c>
      <c r="JB20" s="593"/>
      <c r="JC20" s="593"/>
      <c r="JD20" s="527"/>
      <c r="JE20" s="22">
        <v>760</v>
      </c>
      <c r="JF20" s="526">
        <v>716</v>
      </c>
      <c r="JG20" s="593"/>
      <c r="JH20" s="593"/>
      <c r="JI20" s="527"/>
      <c r="JJ20" s="22">
        <v>820</v>
      </c>
      <c r="JK20" s="525" t="s">
        <v>284</v>
      </c>
      <c r="JL20" s="20"/>
      <c r="JM20" s="457" t="s">
        <v>67</v>
      </c>
      <c r="JN20" s="459"/>
      <c r="JO20" s="459"/>
      <c r="JP20" s="21" t="s">
        <v>4</v>
      </c>
      <c r="JQ20" s="526">
        <v>720</v>
      </c>
      <c r="JR20" s="593"/>
      <c r="JS20" s="593"/>
      <c r="JT20" s="527"/>
      <c r="JU20" s="22">
        <v>804</v>
      </c>
      <c r="JV20" s="526">
        <v>720</v>
      </c>
      <c r="JW20" s="593"/>
      <c r="JX20" s="593"/>
      <c r="JY20" s="527"/>
      <c r="JZ20" s="22">
        <v>809</v>
      </c>
      <c r="KA20" s="526">
        <v>916</v>
      </c>
      <c r="KB20" s="593"/>
      <c r="KC20" s="593"/>
      <c r="KD20" s="527"/>
      <c r="KE20" s="22">
        <v>947</v>
      </c>
      <c r="KF20" s="120"/>
      <c r="KG20" s="526">
        <v>930</v>
      </c>
      <c r="KH20" s="593"/>
      <c r="KI20" s="593"/>
      <c r="KJ20" s="527"/>
      <c r="KK20" s="22">
        <v>969</v>
      </c>
      <c r="KL20" s="525" t="s">
        <v>284</v>
      </c>
      <c r="KM20" s="20"/>
      <c r="KN20" s="457" t="s">
        <v>67</v>
      </c>
      <c r="KO20" s="459"/>
      <c r="KP20" s="459"/>
      <c r="KQ20" s="21" t="s">
        <v>4</v>
      </c>
      <c r="KR20" s="526">
        <v>866</v>
      </c>
      <c r="KS20" s="593"/>
      <c r="KT20" s="593"/>
      <c r="KU20" s="527"/>
      <c r="KV20" s="22">
        <v>1002</v>
      </c>
      <c r="KW20" s="526">
        <v>889</v>
      </c>
      <c r="KX20" s="593"/>
      <c r="KY20" s="593"/>
      <c r="KZ20" s="527"/>
      <c r="LA20" s="22">
        <v>944</v>
      </c>
      <c r="LB20" s="526">
        <v>798</v>
      </c>
      <c r="LC20" s="593"/>
      <c r="LD20" s="593"/>
      <c r="LE20" s="527"/>
      <c r="LF20" s="22">
        <v>864</v>
      </c>
      <c r="LG20" s="526">
        <v>988</v>
      </c>
      <c r="LH20" s="593"/>
      <c r="LI20" s="593"/>
      <c r="LJ20" s="527"/>
      <c r="LK20" s="22">
        <v>1043</v>
      </c>
      <c r="LL20" s="525" t="s">
        <v>284</v>
      </c>
      <c r="LM20" s="20"/>
      <c r="LN20" s="457" t="s">
        <v>67</v>
      </c>
      <c r="LO20" s="459"/>
      <c r="LP20" s="459"/>
      <c r="LQ20" s="21" t="s">
        <v>4</v>
      </c>
      <c r="LR20" s="526">
        <v>889</v>
      </c>
      <c r="LS20" s="593"/>
      <c r="LT20" s="593"/>
      <c r="LU20" s="527"/>
      <c r="LV20" s="22">
        <v>970</v>
      </c>
      <c r="LW20" s="526">
        <v>808</v>
      </c>
      <c r="LX20" s="593"/>
      <c r="LY20" s="593"/>
      <c r="LZ20" s="527"/>
      <c r="MA20" s="22">
        <v>933</v>
      </c>
      <c r="MB20" s="526">
        <v>938</v>
      </c>
      <c r="MC20" s="593"/>
      <c r="MD20" s="593"/>
      <c r="ME20" s="527"/>
      <c r="MF20" s="135">
        <v>930</v>
      </c>
      <c r="MG20" s="526">
        <v>940</v>
      </c>
      <c r="MH20" s="593"/>
      <c r="MI20" s="593"/>
      <c r="MJ20" s="527"/>
      <c r="MK20" s="148"/>
      <c r="ML20" s="526"/>
      <c r="MM20" s="593"/>
      <c r="MN20" s="593"/>
      <c r="MO20" s="527"/>
      <c r="MP20" s="22">
        <v>925</v>
      </c>
      <c r="MQ20" s="525" t="s">
        <v>284</v>
      </c>
      <c r="MR20" s="20"/>
      <c r="MS20" s="457" t="s">
        <v>67</v>
      </c>
      <c r="MT20" s="459"/>
      <c r="MU20" s="459"/>
      <c r="MV20" s="21" t="s">
        <v>4</v>
      </c>
      <c r="MW20" s="526">
        <v>1018</v>
      </c>
      <c r="MX20" s="593"/>
      <c r="MY20" s="593"/>
      <c r="MZ20" s="527"/>
      <c r="NA20" s="22">
        <v>1035</v>
      </c>
      <c r="NB20" s="526">
        <v>908</v>
      </c>
      <c r="NC20" s="593"/>
      <c r="ND20" s="593"/>
      <c r="NE20" s="527"/>
      <c r="NF20" s="22">
        <v>978</v>
      </c>
      <c r="NG20" s="526">
        <v>888</v>
      </c>
      <c r="NH20" s="593"/>
      <c r="NI20" s="593"/>
      <c r="NJ20" s="527"/>
      <c r="NK20" s="22">
        <v>960</v>
      </c>
      <c r="NL20" s="526">
        <v>838</v>
      </c>
      <c r="NM20" s="593"/>
      <c r="NN20" s="593"/>
      <c r="NO20" s="527"/>
      <c r="NP20" s="22">
        <v>825</v>
      </c>
      <c r="NQ20" s="22"/>
      <c r="NR20" s="525" t="s">
        <v>284</v>
      </c>
      <c r="NS20" s="20"/>
      <c r="NT20" s="457" t="s">
        <v>67</v>
      </c>
      <c r="NU20" s="459"/>
      <c r="NV20" s="459"/>
      <c r="NW20" s="21" t="s">
        <v>4</v>
      </c>
      <c r="NX20" s="526">
        <v>844</v>
      </c>
      <c r="NY20" s="593"/>
      <c r="NZ20" s="593"/>
      <c r="OA20" s="527"/>
      <c r="OB20" s="22">
        <v>808</v>
      </c>
      <c r="OC20" s="526">
        <v>874</v>
      </c>
      <c r="OD20" s="593"/>
      <c r="OE20" s="593"/>
      <c r="OF20" s="527"/>
      <c r="OG20" s="22">
        <v>861</v>
      </c>
      <c r="OH20" s="526">
        <v>898</v>
      </c>
      <c r="OI20" s="593"/>
      <c r="OJ20" s="593"/>
      <c r="OK20" s="527"/>
      <c r="OL20" s="22">
        <v>913</v>
      </c>
      <c r="OM20" s="526">
        <v>899</v>
      </c>
      <c r="ON20" s="593"/>
      <c r="OO20" s="593"/>
      <c r="OP20" s="527"/>
      <c r="OQ20" s="22">
        <v>978</v>
      </c>
      <c r="OR20" s="22"/>
      <c r="OS20" s="525" t="s">
        <v>284</v>
      </c>
      <c r="OT20" s="20"/>
      <c r="OU20" s="457" t="s">
        <v>67</v>
      </c>
      <c r="OV20" s="459"/>
      <c r="OW20" s="459"/>
      <c r="OX20" s="21" t="s">
        <v>4</v>
      </c>
      <c r="OY20" s="526">
        <v>896</v>
      </c>
      <c r="OZ20" s="593"/>
      <c r="PA20" s="593"/>
      <c r="PB20" s="527"/>
      <c r="PC20" s="22">
        <v>954</v>
      </c>
      <c r="PD20" s="526">
        <v>895</v>
      </c>
      <c r="PE20" s="593"/>
      <c r="PF20" s="593"/>
      <c r="PG20" s="527"/>
      <c r="PH20" s="22">
        <v>945</v>
      </c>
      <c r="PI20" s="526">
        <v>926</v>
      </c>
      <c r="PJ20" s="593"/>
      <c r="PK20" s="593"/>
      <c r="PL20" s="527"/>
      <c r="PM20" s="22">
        <v>1021</v>
      </c>
      <c r="PN20" s="526">
        <v>986</v>
      </c>
      <c r="PO20" s="593"/>
      <c r="PP20" s="593"/>
      <c r="PQ20" s="527"/>
      <c r="PR20" s="22">
        <v>988</v>
      </c>
      <c r="PS20" s="189"/>
      <c r="PT20" s="525" t="s">
        <v>284</v>
      </c>
      <c r="PU20" s="20"/>
      <c r="PV20" s="457" t="s">
        <v>67</v>
      </c>
      <c r="PW20" s="459"/>
      <c r="PX20" s="459"/>
      <c r="PY20" s="21" t="s">
        <v>4</v>
      </c>
      <c r="PZ20" s="526">
        <v>786</v>
      </c>
      <c r="QA20" s="593"/>
      <c r="QB20" s="593"/>
      <c r="QC20" s="527"/>
      <c r="QD20" s="22">
        <v>772</v>
      </c>
      <c r="QE20" s="526">
        <v>855</v>
      </c>
      <c r="QF20" s="593"/>
      <c r="QG20" s="593"/>
      <c r="QH20" s="527"/>
      <c r="QI20" s="22">
        <v>952</v>
      </c>
      <c r="QJ20" s="526">
        <v>920</v>
      </c>
      <c r="QK20" s="593"/>
      <c r="QL20" s="593"/>
      <c r="QM20" s="527"/>
      <c r="QN20" s="22">
        <v>944</v>
      </c>
      <c r="QO20" s="526">
        <v>930</v>
      </c>
      <c r="QP20" s="593"/>
      <c r="QQ20" s="593"/>
      <c r="QR20" s="527"/>
      <c r="QS20" s="22">
        <v>931</v>
      </c>
      <c r="QT20" s="525" t="s">
        <v>284</v>
      </c>
      <c r="QU20" s="20"/>
      <c r="QV20" s="457" t="s">
        <v>67</v>
      </c>
      <c r="QW20" s="459"/>
      <c r="QX20" s="459"/>
      <c r="QY20" s="21" t="s">
        <v>4</v>
      </c>
      <c r="QZ20" s="526">
        <v>890</v>
      </c>
      <c r="RA20" s="593"/>
      <c r="RB20" s="593"/>
      <c r="RC20" s="527"/>
      <c r="RD20" s="22">
        <v>851</v>
      </c>
      <c r="RE20" s="526">
        <v>806</v>
      </c>
      <c r="RF20" s="593"/>
      <c r="RG20" s="593"/>
      <c r="RH20" s="527"/>
      <c r="RI20" s="22">
        <v>821</v>
      </c>
      <c r="RJ20" s="526">
        <v>915</v>
      </c>
      <c r="RK20" s="593"/>
      <c r="RL20" s="593"/>
      <c r="RM20" s="527"/>
      <c r="RN20" s="22">
        <v>956</v>
      </c>
      <c r="RO20" s="526">
        <v>905</v>
      </c>
      <c r="RP20" s="593"/>
      <c r="RQ20" s="593"/>
      <c r="RR20" s="527"/>
      <c r="RS20" s="22">
        <v>913</v>
      </c>
      <c r="RT20" s="22"/>
      <c r="RU20" s="525" t="s">
        <v>284</v>
      </c>
      <c r="RV20" s="20"/>
      <c r="RW20" s="457" t="s">
        <v>67</v>
      </c>
      <c r="RX20" s="459"/>
      <c r="RY20" s="459"/>
      <c r="RZ20" s="21" t="s">
        <v>4</v>
      </c>
      <c r="SA20" s="526">
        <v>885</v>
      </c>
      <c r="SB20" s="593"/>
      <c r="SC20" s="593"/>
      <c r="SD20" s="527"/>
      <c r="SE20" s="22">
        <v>916</v>
      </c>
      <c r="SF20" s="526">
        <v>819</v>
      </c>
      <c r="SG20" s="593"/>
      <c r="SH20" s="593"/>
      <c r="SI20" s="527"/>
      <c r="SJ20" s="22">
        <v>844</v>
      </c>
      <c r="SK20" s="526">
        <v>809</v>
      </c>
      <c r="SL20" s="593"/>
      <c r="SM20" s="593"/>
      <c r="SN20" s="527"/>
      <c r="SO20" s="22">
        <v>818</v>
      </c>
      <c r="SP20" s="526">
        <v>889</v>
      </c>
      <c r="SQ20" s="593"/>
      <c r="SR20" s="593"/>
      <c r="SS20" s="527"/>
      <c r="ST20" s="22">
        <v>884</v>
      </c>
      <c r="SU20" s="525" t="s">
        <v>284</v>
      </c>
      <c r="SV20" s="20"/>
      <c r="SW20" s="457" t="s">
        <v>67</v>
      </c>
      <c r="SX20" s="459"/>
      <c r="SY20" s="459"/>
      <c r="SZ20" s="21" t="s">
        <v>4</v>
      </c>
      <c r="TA20" s="526">
        <v>889</v>
      </c>
      <c r="TB20" s="593"/>
      <c r="TC20" s="593"/>
      <c r="TD20" s="527"/>
      <c r="TE20" s="22">
        <v>903</v>
      </c>
      <c r="TF20" s="526">
        <v>885</v>
      </c>
      <c r="TG20" s="593"/>
      <c r="TH20" s="593"/>
      <c r="TI20" s="527"/>
      <c r="TJ20" s="22">
        <v>920</v>
      </c>
      <c r="TK20" s="526">
        <v>725</v>
      </c>
      <c r="TL20" s="593"/>
      <c r="TM20" s="593"/>
      <c r="TN20" s="527"/>
      <c r="TO20" s="22">
        <v>761</v>
      </c>
      <c r="TP20" s="526"/>
      <c r="TQ20" s="593"/>
      <c r="TR20" s="593"/>
      <c r="TS20" s="527"/>
      <c r="TT20" s="22"/>
    </row>
    <row r="21" spans="2:540" ht="56.25" customHeight="1" x14ac:dyDescent="0.4">
      <c r="B21" s="479"/>
      <c r="C21" s="23"/>
      <c r="D21" s="519" t="s">
        <v>73</v>
      </c>
      <c r="E21" s="651"/>
      <c r="F21" s="651"/>
      <c r="G21" s="21" t="s">
        <v>15</v>
      </c>
      <c r="H21" s="38">
        <v>226</v>
      </c>
      <c r="I21" s="22">
        <v>184</v>
      </c>
      <c r="J21" s="38">
        <v>226</v>
      </c>
      <c r="K21" s="22">
        <v>109</v>
      </c>
      <c r="L21" s="38">
        <v>226</v>
      </c>
      <c r="M21" s="38">
        <v>128</v>
      </c>
      <c r="N21" s="38">
        <v>226</v>
      </c>
      <c r="O21" s="22">
        <v>164</v>
      </c>
      <c r="P21" s="479"/>
      <c r="Q21" s="23"/>
      <c r="R21" s="519" t="s">
        <v>73</v>
      </c>
      <c r="S21" s="651"/>
      <c r="T21" s="651"/>
      <c r="U21" s="21" t="s">
        <v>15</v>
      </c>
      <c r="V21" s="38">
        <v>226</v>
      </c>
      <c r="W21" s="38">
        <v>152</v>
      </c>
      <c r="X21" s="38">
        <v>226</v>
      </c>
      <c r="Y21" s="38">
        <v>139</v>
      </c>
      <c r="Z21" s="38">
        <v>226</v>
      </c>
      <c r="AA21" s="38">
        <v>160</v>
      </c>
      <c r="AB21" s="38">
        <v>226</v>
      </c>
      <c r="AC21" s="22">
        <v>220</v>
      </c>
      <c r="AD21" s="479"/>
      <c r="AE21" s="23"/>
      <c r="AF21" s="519" t="s">
        <v>73</v>
      </c>
      <c r="AG21" s="651"/>
      <c r="AH21" s="651"/>
      <c r="AI21" s="21" t="s">
        <v>15</v>
      </c>
      <c r="AJ21" s="38">
        <v>226</v>
      </c>
      <c r="AK21" s="38">
        <v>91</v>
      </c>
      <c r="AL21" s="38">
        <v>226</v>
      </c>
      <c r="AM21" s="38">
        <v>184</v>
      </c>
      <c r="AN21" s="38">
        <v>226</v>
      </c>
      <c r="AO21" s="38">
        <v>169</v>
      </c>
      <c r="AP21" s="38">
        <v>226</v>
      </c>
      <c r="AQ21" s="22">
        <v>182</v>
      </c>
      <c r="AR21" s="479"/>
      <c r="AS21" s="23"/>
      <c r="AT21" s="519" t="s">
        <v>73</v>
      </c>
      <c r="AU21" s="651"/>
      <c r="AV21" s="651"/>
      <c r="AW21" s="21" t="s">
        <v>15</v>
      </c>
      <c r="AX21" s="38">
        <v>226</v>
      </c>
      <c r="AY21" s="38">
        <v>157</v>
      </c>
      <c r="AZ21" s="38">
        <v>226</v>
      </c>
      <c r="BA21" s="38">
        <v>128</v>
      </c>
      <c r="BB21" s="38">
        <v>226</v>
      </c>
      <c r="BC21" s="38">
        <v>152</v>
      </c>
      <c r="BD21" s="38">
        <v>226</v>
      </c>
      <c r="BE21" s="22">
        <v>169</v>
      </c>
      <c r="BF21" s="479"/>
      <c r="BG21" s="23"/>
      <c r="BH21" s="519" t="s">
        <v>73</v>
      </c>
      <c r="BI21" s="651"/>
      <c r="BJ21" s="651"/>
      <c r="BK21" s="21" t="s">
        <v>15</v>
      </c>
      <c r="BL21" s="38">
        <v>226</v>
      </c>
      <c r="BM21" s="38">
        <v>84</v>
      </c>
      <c r="BN21" s="38">
        <v>258</v>
      </c>
      <c r="BO21" s="38">
        <v>3</v>
      </c>
      <c r="BP21" s="38">
        <v>258</v>
      </c>
      <c r="BQ21" s="38">
        <v>201</v>
      </c>
      <c r="BR21" s="38">
        <v>258</v>
      </c>
      <c r="BS21" s="22">
        <v>132</v>
      </c>
      <c r="BT21" s="479"/>
      <c r="BU21" s="23"/>
      <c r="BV21" s="519" t="s">
        <v>73</v>
      </c>
      <c r="BW21" s="651"/>
      <c r="BX21" s="651"/>
      <c r="BY21" s="21" t="s">
        <v>15</v>
      </c>
      <c r="BZ21" s="22">
        <v>258</v>
      </c>
      <c r="CA21" s="22">
        <v>130</v>
      </c>
      <c r="CB21" s="22">
        <v>258</v>
      </c>
      <c r="CC21" s="38">
        <v>169</v>
      </c>
      <c r="CD21" s="38">
        <v>258</v>
      </c>
      <c r="CE21" s="38">
        <v>214</v>
      </c>
      <c r="CF21" s="38">
        <v>258</v>
      </c>
      <c r="CG21" s="22">
        <v>211</v>
      </c>
      <c r="CH21" s="479"/>
      <c r="CI21" s="23"/>
      <c r="CJ21" s="519" t="s">
        <v>73</v>
      </c>
      <c r="CK21" s="651"/>
      <c r="CL21" s="651"/>
      <c r="CM21" s="21" t="s">
        <v>15</v>
      </c>
      <c r="CN21" s="22">
        <v>258</v>
      </c>
      <c r="CO21" s="22">
        <v>104</v>
      </c>
      <c r="CP21" s="22">
        <v>258</v>
      </c>
      <c r="CQ21" s="38">
        <v>202</v>
      </c>
      <c r="CR21" s="38">
        <v>258</v>
      </c>
      <c r="CS21" s="38">
        <v>174</v>
      </c>
      <c r="CT21" s="38">
        <v>258</v>
      </c>
      <c r="CU21" s="22">
        <v>110</v>
      </c>
      <c r="CV21" s="479"/>
      <c r="CW21" s="23"/>
      <c r="CX21" s="519" t="s">
        <v>73</v>
      </c>
      <c r="CY21" s="651"/>
      <c r="CZ21" s="651"/>
      <c r="DA21" s="21" t="s">
        <v>15</v>
      </c>
      <c r="DB21" s="22">
        <v>258</v>
      </c>
      <c r="DC21" s="22">
        <v>149</v>
      </c>
      <c r="DD21" s="22">
        <v>258</v>
      </c>
      <c r="DE21" s="38">
        <v>182</v>
      </c>
      <c r="DF21" s="98"/>
      <c r="DG21" s="62"/>
      <c r="DH21" s="62"/>
      <c r="DI21" s="62"/>
      <c r="DJ21" s="492"/>
      <c r="DK21" s="23"/>
      <c r="DL21" s="519" t="s">
        <v>73</v>
      </c>
      <c r="DM21" s="651"/>
      <c r="DN21" s="651"/>
      <c r="DO21" s="21" t="s">
        <v>15</v>
      </c>
      <c r="DP21" s="526">
        <v>226</v>
      </c>
      <c r="DQ21" s="593"/>
      <c r="DR21" s="593"/>
      <c r="DS21" s="527"/>
      <c r="DT21" s="38">
        <v>167</v>
      </c>
      <c r="DU21" s="526">
        <v>226</v>
      </c>
      <c r="DV21" s="593"/>
      <c r="DW21" s="593"/>
      <c r="DX21" s="527"/>
      <c r="DY21" s="38">
        <v>154</v>
      </c>
      <c r="DZ21" s="526">
        <v>226</v>
      </c>
      <c r="EA21" s="593"/>
      <c r="EB21" s="593"/>
      <c r="EC21" s="527"/>
      <c r="ED21" s="38">
        <v>99</v>
      </c>
      <c r="EE21" s="526">
        <v>158</v>
      </c>
      <c r="EF21" s="593"/>
      <c r="EG21" s="593"/>
      <c r="EH21" s="527"/>
      <c r="EI21" s="22">
        <v>78</v>
      </c>
      <c r="EJ21" s="492"/>
      <c r="EK21" s="23"/>
      <c r="EL21" s="519" t="s">
        <v>73</v>
      </c>
      <c r="EM21" s="520"/>
      <c r="EN21" s="520"/>
      <c r="EO21" s="21" t="s">
        <v>15</v>
      </c>
      <c r="EP21" s="526">
        <v>158</v>
      </c>
      <c r="EQ21" s="593"/>
      <c r="ER21" s="593"/>
      <c r="ES21" s="527"/>
      <c r="ET21" s="38">
        <v>107</v>
      </c>
      <c r="EU21" s="526">
        <v>157.69999999999999</v>
      </c>
      <c r="EV21" s="593"/>
      <c r="EW21" s="593"/>
      <c r="EX21" s="527"/>
      <c r="EY21" s="38">
        <v>123</v>
      </c>
      <c r="EZ21" s="526">
        <v>157.69999999999999</v>
      </c>
      <c r="FA21" s="593"/>
      <c r="FB21" s="593"/>
      <c r="FC21" s="527"/>
      <c r="FD21" s="38">
        <v>119</v>
      </c>
      <c r="FE21" s="526">
        <v>157.69999999999999</v>
      </c>
      <c r="FF21" s="593"/>
      <c r="FG21" s="593"/>
      <c r="FH21" s="527"/>
      <c r="FI21" s="22">
        <v>102</v>
      </c>
      <c r="FJ21" s="22"/>
      <c r="FK21" s="492"/>
      <c r="FL21" s="23"/>
      <c r="FM21" s="519" t="s">
        <v>73</v>
      </c>
      <c r="FN21" s="520"/>
      <c r="FO21" s="520"/>
      <c r="FP21" s="21" t="s">
        <v>15</v>
      </c>
      <c r="FQ21" s="526">
        <v>157.69999999999999</v>
      </c>
      <c r="FR21" s="593"/>
      <c r="FS21" s="593"/>
      <c r="FT21" s="527"/>
      <c r="FU21" s="38">
        <v>145</v>
      </c>
      <c r="FV21" s="526">
        <v>157.69999999999999</v>
      </c>
      <c r="FW21" s="593"/>
      <c r="FX21" s="593"/>
      <c r="FY21" s="527"/>
      <c r="FZ21" s="38">
        <v>140</v>
      </c>
      <c r="GA21" s="526">
        <v>157.69999999999999</v>
      </c>
      <c r="GB21" s="593"/>
      <c r="GC21" s="593"/>
      <c r="GD21" s="527"/>
      <c r="GE21" s="22">
        <v>133</v>
      </c>
      <c r="GF21" s="526">
        <v>157.69999999999999</v>
      </c>
      <c r="GG21" s="593"/>
      <c r="GH21" s="593"/>
      <c r="GI21" s="527"/>
      <c r="GJ21" s="22">
        <v>86</v>
      </c>
      <c r="GK21" s="492"/>
      <c r="GL21" s="23"/>
      <c r="GM21" s="519" t="s">
        <v>73</v>
      </c>
      <c r="GN21" s="520"/>
      <c r="GO21" s="520"/>
      <c r="GP21" s="21" t="s">
        <v>15</v>
      </c>
      <c r="GQ21" s="526">
        <v>157.69999999999999</v>
      </c>
      <c r="GR21" s="593"/>
      <c r="GS21" s="593"/>
      <c r="GT21" s="527"/>
      <c r="GU21" s="22">
        <v>148</v>
      </c>
      <c r="GV21" s="526">
        <v>157.69999999999999</v>
      </c>
      <c r="GW21" s="593"/>
      <c r="GX21" s="593"/>
      <c r="GY21" s="527"/>
      <c r="GZ21" s="22">
        <v>128</v>
      </c>
      <c r="HA21" s="526">
        <v>157.69999999999999</v>
      </c>
      <c r="HB21" s="593"/>
      <c r="HC21" s="593"/>
      <c r="HD21" s="527"/>
      <c r="HE21" s="22">
        <v>143</v>
      </c>
      <c r="HF21" s="526">
        <v>158</v>
      </c>
      <c r="HG21" s="593"/>
      <c r="HH21" s="593"/>
      <c r="HI21" s="527"/>
      <c r="HJ21" s="92">
        <v>130</v>
      </c>
      <c r="HK21" s="492"/>
      <c r="HL21" s="23"/>
      <c r="HM21" s="519" t="s">
        <v>73</v>
      </c>
      <c r="HN21" s="520"/>
      <c r="HO21" s="520"/>
      <c r="HP21" s="21" t="s">
        <v>15</v>
      </c>
      <c r="HQ21" s="526">
        <v>158</v>
      </c>
      <c r="HR21" s="593"/>
      <c r="HS21" s="593"/>
      <c r="HT21" s="527"/>
      <c r="HU21" s="22">
        <v>126</v>
      </c>
      <c r="HV21" s="526">
        <v>158</v>
      </c>
      <c r="HW21" s="593"/>
      <c r="HX21" s="593"/>
      <c r="HY21" s="527"/>
      <c r="HZ21" s="22">
        <v>106</v>
      </c>
      <c r="IA21" s="526">
        <v>158</v>
      </c>
      <c r="IB21" s="593"/>
      <c r="IC21" s="593"/>
      <c r="ID21" s="527"/>
      <c r="IE21" s="22">
        <v>132</v>
      </c>
      <c r="IF21" s="526">
        <v>158</v>
      </c>
      <c r="IG21" s="593"/>
      <c r="IH21" s="593"/>
      <c r="II21" s="527"/>
      <c r="IJ21" s="22">
        <v>148</v>
      </c>
      <c r="IK21" s="492"/>
      <c r="IL21" s="23"/>
      <c r="IM21" s="519" t="s">
        <v>73</v>
      </c>
      <c r="IN21" s="520"/>
      <c r="IO21" s="520"/>
      <c r="IP21" s="21" t="s">
        <v>15</v>
      </c>
      <c r="IQ21" s="526">
        <v>193</v>
      </c>
      <c r="IR21" s="593"/>
      <c r="IS21" s="593"/>
      <c r="IT21" s="527"/>
      <c r="IU21" s="22">
        <v>156</v>
      </c>
      <c r="IV21" s="526">
        <v>226</v>
      </c>
      <c r="IW21" s="593"/>
      <c r="IX21" s="593"/>
      <c r="IY21" s="527"/>
      <c r="IZ21" s="22">
        <v>226</v>
      </c>
      <c r="JA21" s="526">
        <v>226</v>
      </c>
      <c r="JB21" s="593"/>
      <c r="JC21" s="593"/>
      <c r="JD21" s="527"/>
      <c r="JE21" s="22">
        <v>168</v>
      </c>
      <c r="JF21" s="526">
        <v>226</v>
      </c>
      <c r="JG21" s="593"/>
      <c r="JH21" s="593"/>
      <c r="JI21" s="527"/>
      <c r="JJ21" s="22">
        <v>99</v>
      </c>
      <c r="JK21" s="492"/>
      <c r="JL21" s="23"/>
      <c r="JM21" s="519" t="s">
        <v>73</v>
      </c>
      <c r="JN21" s="520"/>
      <c r="JO21" s="520"/>
      <c r="JP21" s="21" t="s">
        <v>15</v>
      </c>
      <c r="JQ21" s="526">
        <v>226</v>
      </c>
      <c r="JR21" s="593"/>
      <c r="JS21" s="593"/>
      <c r="JT21" s="527"/>
      <c r="JU21" s="22">
        <v>154</v>
      </c>
      <c r="JV21" s="526">
        <v>226</v>
      </c>
      <c r="JW21" s="593"/>
      <c r="JX21" s="593"/>
      <c r="JY21" s="527"/>
      <c r="JZ21" s="22">
        <v>150</v>
      </c>
      <c r="KA21" s="526">
        <v>169</v>
      </c>
      <c r="KB21" s="593"/>
      <c r="KC21" s="593"/>
      <c r="KD21" s="527"/>
      <c r="KE21" s="22">
        <v>159</v>
      </c>
      <c r="KF21" s="120"/>
      <c r="KG21" s="526">
        <v>169</v>
      </c>
      <c r="KH21" s="593"/>
      <c r="KI21" s="593"/>
      <c r="KJ21" s="527"/>
      <c r="KK21" s="22">
        <v>89</v>
      </c>
      <c r="KL21" s="492"/>
      <c r="KM21" s="23"/>
      <c r="KN21" s="519" t="s">
        <v>73</v>
      </c>
      <c r="KO21" s="520"/>
      <c r="KP21" s="520"/>
      <c r="KQ21" s="21" t="s">
        <v>15</v>
      </c>
      <c r="KR21" s="526">
        <v>169</v>
      </c>
      <c r="KS21" s="593"/>
      <c r="KT21" s="593"/>
      <c r="KU21" s="527"/>
      <c r="KV21" s="22">
        <v>41</v>
      </c>
      <c r="KW21" s="526">
        <v>169</v>
      </c>
      <c r="KX21" s="593"/>
      <c r="KY21" s="593"/>
      <c r="KZ21" s="527"/>
      <c r="LA21" s="22">
        <v>130</v>
      </c>
      <c r="LB21" s="526">
        <v>169</v>
      </c>
      <c r="LC21" s="593"/>
      <c r="LD21" s="593"/>
      <c r="LE21" s="527"/>
      <c r="LF21" s="22">
        <v>106</v>
      </c>
      <c r="LG21" s="526">
        <v>195</v>
      </c>
      <c r="LH21" s="593"/>
      <c r="LI21" s="593"/>
      <c r="LJ21" s="527"/>
      <c r="LK21" s="22">
        <v>126</v>
      </c>
      <c r="LL21" s="492"/>
      <c r="LM21" s="23"/>
      <c r="LN21" s="519" t="s">
        <v>73</v>
      </c>
      <c r="LO21" s="520"/>
      <c r="LP21" s="520"/>
      <c r="LQ21" s="21" t="s">
        <v>15</v>
      </c>
      <c r="LR21" s="526">
        <v>221</v>
      </c>
      <c r="LS21" s="593"/>
      <c r="LT21" s="593"/>
      <c r="LU21" s="527"/>
      <c r="LV21" s="22">
        <v>130</v>
      </c>
      <c r="LW21" s="526">
        <v>221</v>
      </c>
      <c r="LX21" s="593"/>
      <c r="LY21" s="593"/>
      <c r="LZ21" s="527"/>
      <c r="MA21" s="22">
        <v>177</v>
      </c>
      <c r="MB21" s="526">
        <v>153</v>
      </c>
      <c r="MC21" s="593"/>
      <c r="MD21" s="593"/>
      <c r="ME21" s="527"/>
      <c r="MF21" s="135">
        <v>141</v>
      </c>
      <c r="MG21" s="526">
        <v>153</v>
      </c>
      <c r="MH21" s="593"/>
      <c r="MI21" s="593"/>
      <c r="MJ21" s="527"/>
      <c r="MK21" s="148"/>
      <c r="ML21" s="526"/>
      <c r="MM21" s="593"/>
      <c r="MN21" s="593"/>
      <c r="MO21" s="527"/>
      <c r="MP21" s="22">
        <v>147</v>
      </c>
      <c r="MQ21" s="492"/>
      <c r="MR21" s="23"/>
      <c r="MS21" s="519" t="s">
        <v>73</v>
      </c>
      <c r="MT21" s="520"/>
      <c r="MU21" s="520"/>
      <c r="MV21" s="21" t="s">
        <v>15</v>
      </c>
      <c r="MW21" s="526">
        <v>153</v>
      </c>
      <c r="MX21" s="593"/>
      <c r="MY21" s="593"/>
      <c r="MZ21" s="527"/>
      <c r="NA21" s="22">
        <v>131</v>
      </c>
      <c r="NB21" s="526">
        <v>153</v>
      </c>
      <c r="NC21" s="593"/>
      <c r="ND21" s="593"/>
      <c r="NE21" s="527"/>
      <c r="NF21" s="22">
        <v>128</v>
      </c>
      <c r="NG21" s="526">
        <v>153</v>
      </c>
      <c r="NH21" s="593"/>
      <c r="NI21" s="593"/>
      <c r="NJ21" s="527"/>
      <c r="NK21" s="22">
        <v>119</v>
      </c>
      <c r="NL21" s="526">
        <v>153</v>
      </c>
      <c r="NM21" s="593"/>
      <c r="NN21" s="593"/>
      <c r="NO21" s="527"/>
      <c r="NP21" s="22">
        <v>144</v>
      </c>
      <c r="NQ21" s="22"/>
      <c r="NR21" s="492"/>
      <c r="NS21" s="23"/>
      <c r="NT21" s="519" t="s">
        <v>73</v>
      </c>
      <c r="NU21" s="520"/>
      <c r="NV21" s="520"/>
      <c r="NW21" s="21" t="s">
        <v>15</v>
      </c>
      <c r="NX21" s="526">
        <v>153</v>
      </c>
      <c r="NY21" s="593"/>
      <c r="NZ21" s="593"/>
      <c r="OA21" s="527"/>
      <c r="OB21" s="22">
        <v>127</v>
      </c>
      <c r="OC21" s="526">
        <v>153</v>
      </c>
      <c r="OD21" s="593"/>
      <c r="OE21" s="593"/>
      <c r="OF21" s="527"/>
      <c r="OG21" s="22">
        <v>84</v>
      </c>
      <c r="OH21" s="526">
        <v>153</v>
      </c>
      <c r="OI21" s="593"/>
      <c r="OJ21" s="593"/>
      <c r="OK21" s="527"/>
      <c r="OL21" s="22">
        <v>29</v>
      </c>
      <c r="OM21" s="526">
        <v>153</v>
      </c>
      <c r="ON21" s="593"/>
      <c r="OO21" s="593"/>
      <c r="OP21" s="527"/>
      <c r="OQ21" s="22">
        <v>77</v>
      </c>
      <c r="OR21" s="22"/>
      <c r="OS21" s="492"/>
      <c r="OT21" s="23"/>
      <c r="OU21" s="519" t="s">
        <v>73</v>
      </c>
      <c r="OV21" s="520"/>
      <c r="OW21" s="520"/>
      <c r="OX21" s="21" t="s">
        <v>15</v>
      </c>
      <c r="OY21" s="526">
        <v>158</v>
      </c>
      <c r="OZ21" s="593"/>
      <c r="PA21" s="593"/>
      <c r="PB21" s="527"/>
      <c r="PC21" s="22">
        <v>117</v>
      </c>
      <c r="PD21" s="526">
        <v>158</v>
      </c>
      <c r="PE21" s="593"/>
      <c r="PF21" s="593"/>
      <c r="PG21" s="527"/>
      <c r="PH21" s="22">
        <v>79</v>
      </c>
      <c r="PI21" s="526">
        <v>158</v>
      </c>
      <c r="PJ21" s="593"/>
      <c r="PK21" s="593"/>
      <c r="PL21" s="527"/>
      <c r="PM21" s="22">
        <v>120</v>
      </c>
      <c r="PN21" s="526">
        <v>158</v>
      </c>
      <c r="PO21" s="593"/>
      <c r="PP21" s="593"/>
      <c r="PQ21" s="527"/>
      <c r="PR21" s="22">
        <v>124</v>
      </c>
      <c r="PS21" s="62"/>
      <c r="PT21" s="492"/>
      <c r="PU21" s="23"/>
      <c r="PV21" s="519" t="s">
        <v>73</v>
      </c>
      <c r="PW21" s="520"/>
      <c r="PX21" s="520"/>
      <c r="PY21" s="21" t="s">
        <v>15</v>
      </c>
      <c r="PZ21" s="526">
        <v>158</v>
      </c>
      <c r="QA21" s="593"/>
      <c r="QB21" s="593"/>
      <c r="QC21" s="527"/>
      <c r="QD21" s="22">
        <v>96</v>
      </c>
      <c r="QE21" s="526">
        <v>158</v>
      </c>
      <c r="QF21" s="593"/>
      <c r="QG21" s="593"/>
      <c r="QH21" s="527"/>
      <c r="QI21" s="22">
        <v>-31</v>
      </c>
      <c r="QJ21" s="526">
        <v>158</v>
      </c>
      <c r="QK21" s="593"/>
      <c r="QL21" s="593"/>
      <c r="QM21" s="527"/>
      <c r="QN21" s="22">
        <v>124</v>
      </c>
      <c r="QO21" s="526">
        <v>158</v>
      </c>
      <c r="QP21" s="593"/>
      <c r="QQ21" s="593"/>
      <c r="QR21" s="527"/>
      <c r="QS21" s="22">
        <v>119</v>
      </c>
      <c r="QT21" s="492"/>
      <c r="QU21" s="23"/>
      <c r="QV21" s="519" t="s">
        <v>73</v>
      </c>
      <c r="QW21" s="520"/>
      <c r="QX21" s="520"/>
      <c r="QY21" s="21" t="s">
        <v>15</v>
      </c>
      <c r="QZ21" s="526">
        <v>158</v>
      </c>
      <c r="RA21" s="593"/>
      <c r="RB21" s="593"/>
      <c r="RC21" s="527"/>
      <c r="RD21" s="22">
        <v>78</v>
      </c>
      <c r="RE21" s="526">
        <v>158</v>
      </c>
      <c r="RF21" s="593"/>
      <c r="RG21" s="593"/>
      <c r="RH21" s="527"/>
      <c r="RI21" s="22">
        <v>62</v>
      </c>
      <c r="RJ21" s="526">
        <v>193</v>
      </c>
      <c r="RK21" s="593"/>
      <c r="RL21" s="593"/>
      <c r="RM21" s="527"/>
      <c r="RN21" s="22">
        <v>120</v>
      </c>
      <c r="RO21" s="526">
        <v>226</v>
      </c>
      <c r="RP21" s="593"/>
      <c r="RQ21" s="593"/>
      <c r="RR21" s="527"/>
      <c r="RS21" s="22">
        <v>160</v>
      </c>
      <c r="RT21" s="22"/>
      <c r="RU21" s="492"/>
      <c r="RV21" s="23"/>
      <c r="RW21" s="519" t="s">
        <v>73</v>
      </c>
      <c r="RX21" s="520"/>
      <c r="RY21" s="520"/>
      <c r="RZ21" s="21" t="s">
        <v>15</v>
      </c>
      <c r="SA21" s="526">
        <v>225.7</v>
      </c>
      <c r="SB21" s="593"/>
      <c r="SC21" s="593"/>
      <c r="SD21" s="527"/>
      <c r="SE21" s="22">
        <v>8</v>
      </c>
      <c r="SF21" s="526">
        <v>225.7</v>
      </c>
      <c r="SG21" s="593"/>
      <c r="SH21" s="593"/>
      <c r="SI21" s="527"/>
      <c r="SJ21" s="22">
        <v>181</v>
      </c>
      <c r="SK21" s="526">
        <v>225.7</v>
      </c>
      <c r="SL21" s="593"/>
      <c r="SM21" s="593"/>
      <c r="SN21" s="527"/>
      <c r="SO21" s="22">
        <v>150</v>
      </c>
      <c r="SP21" s="526">
        <v>226</v>
      </c>
      <c r="SQ21" s="593"/>
      <c r="SR21" s="593"/>
      <c r="SS21" s="527"/>
      <c r="ST21" s="22">
        <v>190</v>
      </c>
      <c r="SU21" s="492"/>
      <c r="SV21" s="23"/>
      <c r="SW21" s="519" t="s">
        <v>73</v>
      </c>
      <c r="SX21" s="520"/>
      <c r="SY21" s="520"/>
      <c r="SZ21" s="21" t="s">
        <v>15</v>
      </c>
      <c r="TA21" s="526">
        <v>226</v>
      </c>
      <c r="TB21" s="593"/>
      <c r="TC21" s="593"/>
      <c r="TD21" s="527"/>
      <c r="TE21" s="22">
        <v>182</v>
      </c>
      <c r="TF21" s="526">
        <v>226</v>
      </c>
      <c r="TG21" s="593"/>
      <c r="TH21" s="593"/>
      <c r="TI21" s="527"/>
      <c r="TJ21" s="22">
        <v>172</v>
      </c>
      <c r="TK21" s="526">
        <v>226</v>
      </c>
      <c r="TL21" s="593"/>
      <c r="TM21" s="593"/>
      <c r="TN21" s="527"/>
      <c r="TO21" s="22">
        <v>184</v>
      </c>
      <c r="TP21" s="526"/>
      <c r="TQ21" s="593"/>
      <c r="TR21" s="593"/>
      <c r="TS21" s="527"/>
      <c r="TT21" s="22"/>
    </row>
    <row r="22" spans="2:540" ht="45" customHeight="1" x14ac:dyDescent="0.4">
      <c r="B22" s="479"/>
      <c r="C22" s="23"/>
      <c r="D22" s="457" t="s">
        <v>68</v>
      </c>
      <c r="E22" s="459"/>
      <c r="F22" s="459"/>
      <c r="G22" s="21" t="s">
        <v>16</v>
      </c>
      <c r="H22" s="38">
        <v>243</v>
      </c>
      <c r="I22" s="22">
        <v>243</v>
      </c>
      <c r="J22" s="38">
        <v>243</v>
      </c>
      <c r="K22" s="22">
        <v>243</v>
      </c>
      <c r="L22" s="38">
        <v>234</v>
      </c>
      <c r="M22" s="38">
        <v>232</v>
      </c>
      <c r="N22" s="38">
        <v>234</v>
      </c>
      <c r="O22" s="22">
        <v>233</v>
      </c>
      <c r="P22" s="479"/>
      <c r="Q22" s="23"/>
      <c r="R22" s="457" t="s">
        <v>68</v>
      </c>
      <c r="S22" s="459"/>
      <c r="T22" s="459"/>
      <c r="U22" s="21" t="s">
        <v>16</v>
      </c>
      <c r="V22" s="38">
        <v>195</v>
      </c>
      <c r="W22" s="38">
        <v>193</v>
      </c>
      <c r="X22" s="38">
        <v>195</v>
      </c>
      <c r="Y22" s="38">
        <v>193</v>
      </c>
      <c r="Z22" s="38">
        <v>243</v>
      </c>
      <c r="AA22" s="38">
        <v>241</v>
      </c>
      <c r="AB22" s="38">
        <v>243</v>
      </c>
      <c r="AC22" s="22">
        <v>243</v>
      </c>
      <c r="AD22" s="479"/>
      <c r="AE22" s="23"/>
      <c r="AF22" s="457" t="s">
        <v>68</v>
      </c>
      <c r="AG22" s="459"/>
      <c r="AH22" s="459"/>
      <c r="AI22" s="21" t="s">
        <v>16</v>
      </c>
      <c r="AJ22" s="38">
        <v>243</v>
      </c>
      <c r="AK22" s="38">
        <v>241</v>
      </c>
      <c r="AL22" s="38">
        <v>194</v>
      </c>
      <c r="AM22" s="38">
        <v>195</v>
      </c>
      <c r="AN22" s="38">
        <v>243</v>
      </c>
      <c r="AO22" s="38">
        <v>237</v>
      </c>
      <c r="AP22" s="38">
        <v>243</v>
      </c>
      <c r="AQ22" s="22">
        <v>240</v>
      </c>
      <c r="AR22" s="479"/>
      <c r="AS22" s="23"/>
      <c r="AT22" s="457" t="s">
        <v>68</v>
      </c>
      <c r="AU22" s="459"/>
      <c r="AV22" s="459"/>
      <c r="AW22" s="21" t="s">
        <v>16</v>
      </c>
      <c r="AX22" s="38">
        <v>243</v>
      </c>
      <c r="AY22" s="38">
        <v>235</v>
      </c>
      <c r="AZ22" s="38">
        <v>243</v>
      </c>
      <c r="BA22" s="38">
        <v>241</v>
      </c>
      <c r="BB22" s="38">
        <v>195</v>
      </c>
      <c r="BC22" s="38">
        <v>191</v>
      </c>
      <c r="BD22" s="38">
        <v>195</v>
      </c>
      <c r="BE22" s="22">
        <v>194</v>
      </c>
      <c r="BF22" s="479"/>
      <c r="BG22" s="23"/>
      <c r="BH22" s="457" t="s">
        <v>68</v>
      </c>
      <c r="BI22" s="459"/>
      <c r="BJ22" s="459"/>
      <c r="BK22" s="21" t="s">
        <v>16</v>
      </c>
      <c r="BL22" s="38">
        <v>243</v>
      </c>
      <c r="BM22" s="38">
        <v>243</v>
      </c>
      <c r="BN22" s="38">
        <v>243</v>
      </c>
      <c r="BO22" s="38">
        <v>254</v>
      </c>
      <c r="BP22" s="38">
        <v>195</v>
      </c>
      <c r="BQ22" s="38">
        <v>193</v>
      </c>
      <c r="BR22" s="38">
        <v>147</v>
      </c>
      <c r="BS22" s="22">
        <v>190</v>
      </c>
      <c r="BT22" s="479"/>
      <c r="BU22" s="23"/>
      <c r="BV22" s="457" t="s">
        <v>68</v>
      </c>
      <c r="BW22" s="459"/>
      <c r="BX22" s="459"/>
      <c r="BY22" s="21" t="s">
        <v>16</v>
      </c>
      <c r="BZ22" s="22">
        <v>194</v>
      </c>
      <c r="CA22" s="22">
        <v>193</v>
      </c>
      <c r="CB22" s="22">
        <v>189</v>
      </c>
      <c r="CC22" s="38">
        <v>186</v>
      </c>
      <c r="CD22" s="38">
        <v>189</v>
      </c>
      <c r="CE22" s="38">
        <v>187</v>
      </c>
      <c r="CF22" s="38">
        <v>189</v>
      </c>
      <c r="CG22" s="22">
        <v>189</v>
      </c>
      <c r="CH22" s="479"/>
      <c r="CI22" s="23"/>
      <c r="CJ22" s="457" t="s">
        <v>68</v>
      </c>
      <c r="CK22" s="459"/>
      <c r="CL22" s="459"/>
      <c r="CM22" s="21" t="s">
        <v>16</v>
      </c>
      <c r="CN22" s="22">
        <v>194</v>
      </c>
      <c r="CO22" s="22">
        <v>126</v>
      </c>
      <c r="CP22" s="22">
        <v>235</v>
      </c>
      <c r="CQ22" s="38">
        <v>233</v>
      </c>
      <c r="CR22" s="38">
        <v>235</v>
      </c>
      <c r="CS22" s="38">
        <v>234</v>
      </c>
      <c r="CT22" s="38">
        <v>235</v>
      </c>
      <c r="CU22" s="22">
        <v>233</v>
      </c>
      <c r="CV22" s="479"/>
      <c r="CW22" s="23"/>
      <c r="CX22" s="457" t="s">
        <v>68</v>
      </c>
      <c r="CY22" s="459"/>
      <c r="CZ22" s="459"/>
      <c r="DA22" s="21" t="s">
        <v>16</v>
      </c>
      <c r="DB22" s="22">
        <v>194</v>
      </c>
      <c r="DC22" s="22">
        <v>194</v>
      </c>
      <c r="DD22" s="22">
        <v>194</v>
      </c>
      <c r="DE22" s="38">
        <v>193</v>
      </c>
      <c r="DF22" s="98"/>
      <c r="DG22" s="62"/>
      <c r="DH22" s="62"/>
      <c r="DI22" s="62"/>
      <c r="DJ22" s="492"/>
      <c r="DK22" s="23"/>
      <c r="DL22" s="457" t="s">
        <v>68</v>
      </c>
      <c r="DM22" s="459"/>
      <c r="DN22" s="459"/>
      <c r="DO22" s="21" t="s">
        <v>16</v>
      </c>
      <c r="DP22" s="526">
        <v>200</v>
      </c>
      <c r="DQ22" s="593"/>
      <c r="DR22" s="593"/>
      <c r="DS22" s="527"/>
      <c r="DT22" s="38">
        <v>200</v>
      </c>
      <c r="DU22" s="526">
        <v>200</v>
      </c>
      <c r="DV22" s="593"/>
      <c r="DW22" s="593"/>
      <c r="DX22" s="527"/>
      <c r="DY22" s="38">
        <v>197</v>
      </c>
      <c r="DZ22" s="526">
        <v>200</v>
      </c>
      <c r="EA22" s="593"/>
      <c r="EB22" s="593"/>
      <c r="EC22" s="527"/>
      <c r="ED22" s="38">
        <v>198</v>
      </c>
      <c r="EE22" s="526">
        <v>246</v>
      </c>
      <c r="EF22" s="593"/>
      <c r="EG22" s="593"/>
      <c r="EH22" s="527"/>
      <c r="EI22" s="22">
        <v>232</v>
      </c>
      <c r="EJ22" s="492"/>
      <c r="EK22" s="23"/>
      <c r="EL22" s="457" t="s">
        <v>68</v>
      </c>
      <c r="EM22" s="459"/>
      <c r="EN22" s="459"/>
      <c r="EO22" s="21" t="s">
        <v>16</v>
      </c>
      <c r="EP22" s="526">
        <v>246</v>
      </c>
      <c r="EQ22" s="593"/>
      <c r="ER22" s="593"/>
      <c r="ES22" s="527"/>
      <c r="ET22" s="38">
        <v>245</v>
      </c>
      <c r="EU22" s="526">
        <v>246</v>
      </c>
      <c r="EV22" s="593"/>
      <c r="EW22" s="593"/>
      <c r="EX22" s="527"/>
      <c r="EY22" s="38">
        <v>243</v>
      </c>
      <c r="EZ22" s="526">
        <v>251</v>
      </c>
      <c r="FA22" s="593"/>
      <c r="FB22" s="593"/>
      <c r="FC22" s="527"/>
      <c r="FD22" s="38">
        <v>246</v>
      </c>
      <c r="FE22" s="526">
        <v>202</v>
      </c>
      <c r="FF22" s="593"/>
      <c r="FG22" s="593"/>
      <c r="FH22" s="527"/>
      <c r="FI22" s="22">
        <v>185</v>
      </c>
      <c r="FJ22" s="22"/>
      <c r="FK22" s="492"/>
      <c r="FL22" s="23"/>
      <c r="FM22" s="457" t="s">
        <v>68</v>
      </c>
      <c r="FN22" s="459"/>
      <c r="FO22" s="459"/>
      <c r="FP22" s="21" t="s">
        <v>16</v>
      </c>
      <c r="FQ22" s="526">
        <v>202</v>
      </c>
      <c r="FR22" s="593"/>
      <c r="FS22" s="593"/>
      <c r="FT22" s="527"/>
      <c r="FU22" s="38">
        <v>199</v>
      </c>
      <c r="FV22" s="526">
        <v>251</v>
      </c>
      <c r="FW22" s="593"/>
      <c r="FX22" s="593"/>
      <c r="FY22" s="527"/>
      <c r="FZ22" s="38">
        <v>250</v>
      </c>
      <c r="GA22" s="526">
        <v>251</v>
      </c>
      <c r="GB22" s="593"/>
      <c r="GC22" s="593"/>
      <c r="GD22" s="527"/>
      <c r="GE22" s="22">
        <v>249</v>
      </c>
      <c r="GF22" s="526">
        <v>202</v>
      </c>
      <c r="GG22" s="593"/>
      <c r="GH22" s="593"/>
      <c r="GI22" s="527"/>
      <c r="GJ22" s="22">
        <v>200</v>
      </c>
      <c r="GK22" s="492"/>
      <c r="GL22" s="23"/>
      <c r="GM22" s="457" t="s">
        <v>68</v>
      </c>
      <c r="GN22" s="459"/>
      <c r="GO22" s="459"/>
      <c r="GP22" s="21" t="s">
        <v>16</v>
      </c>
      <c r="GQ22" s="526">
        <v>202</v>
      </c>
      <c r="GR22" s="593"/>
      <c r="GS22" s="593"/>
      <c r="GT22" s="527"/>
      <c r="GU22" s="22">
        <v>202</v>
      </c>
      <c r="GV22" s="526">
        <v>251</v>
      </c>
      <c r="GW22" s="593"/>
      <c r="GX22" s="593"/>
      <c r="GY22" s="527"/>
      <c r="GZ22" s="22">
        <v>250</v>
      </c>
      <c r="HA22" s="526">
        <v>251</v>
      </c>
      <c r="HB22" s="593"/>
      <c r="HC22" s="593"/>
      <c r="HD22" s="527"/>
      <c r="HE22" s="22">
        <v>248</v>
      </c>
      <c r="HF22" s="526">
        <v>212</v>
      </c>
      <c r="HG22" s="593"/>
      <c r="HH22" s="593"/>
      <c r="HI22" s="527"/>
      <c r="HJ22" s="92">
        <v>210</v>
      </c>
      <c r="HK22" s="492"/>
      <c r="HL22" s="23"/>
      <c r="HM22" s="457" t="s">
        <v>68</v>
      </c>
      <c r="HN22" s="459"/>
      <c r="HO22" s="459"/>
      <c r="HP22" s="21" t="s">
        <v>16</v>
      </c>
      <c r="HQ22" s="526">
        <v>212</v>
      </c>
      <c r="HR22" s="593"/>
      <c r="HS22" s="593"/>
      <c r="HT22" s="527"/>
      <c r="HU22" s="22">
        <v>198</v>
      </c>
      <c r="HV22" s="526">
        <v>257</v>
      </c>
      <c r="HW22" s="593"/>
      <c r="HX22" s="593"/>
      <c r="HY22" s="527"/>
      <c r="HZ22" s="22">
        <v>256</v>
      </c>
      <c r="IA22" s="526">
        <v>212</v>
      </c>
      <c r="IB22" s="593"/>
      <c r="IC22" s="593"/>
      <c r="ID22" s="527"/>
      <c r="IE22" s="22">
        <v>211</v>
      </c>
      <c r="IF22" s="526">
        <v>212</v>
      </c>
      <c r="IG22" s="593"/>
      <c r="IH22" s="593"/>
      <c r="II22" s="527"/>
      <c r="IJ22" s="22">
        <v>210</v>
      </c>
      <c r="IK22" s="492"/>
      <c r="IL22" s="23"/>
      <c r="IM22" s="457" t="s">
        <v>68</v>
      </c>
      <c r="IN22" s="459"/>
      <c r="IO22" s="459"/>
      <c r="IP22" s="21" t="s">
        <v>16</v>
      </c>
      <c r="IQ22" s="526">
        <v>220</v>
      </c>
      <c r="IR22" s="593"/>
      <c r="IS22" s="593"/>
      <c r="IT22" s="527"/>
      <c r="IU22" s="22">
        <v>219</v>
      </c>
      <c r="IV22" s="526">
        <v>185</v>
      </c>
      <c r="IW22" s="593"/>
      <c r="IX22" s="593"/>
      <c r="IY22" s="527"/>
      <c r="IZ22" s="22">
        <v>183</v>
      </c>
      <c r="JA22" s="526">
        <v>188</v>
      </c>
      <c r="JB22" s="593"/>
      <c r="JC22" s="593"/>
      <c r="JD22" s="527"/>
      <c r="JE22" s="22">
        <v>185</v>
      </c>
      <c r="JF22" s="526">
        <v>188</v>
      </c>
      <c r="JG22" s="593"/>
      <c r="JH22" s="593"/>
      <c r="JI22" s="527"/>
      <c r="JJ22" s="22">
        <v>188</v>
      </c>
      <c r="JK22" s="492"/>
      <c r="JL22" s="23"/>
      <c r="JM22" s="457" t="s">
        <v>68</v>
      </c>
      <c r="JN22" s="459"/>
      <c r="JO22" s="459"/>
      <c r="JP22" s="21" t="s">
        <v>16</v>
      </c>
      <c r="JQ22" s="526">
        <v>233</v>
      </c>
      <c r="JR22" s="593"/>
      <c r="JS22" s="593"/>
      <c r="JT22" s="527"/>
      <c r="JU22" s="22">
        <v>230</v>
      </c>
      <c r="JV22" s="526">
        <v>233</v>
      </c>
      <c r="JW22" s="593"/>
      <c r="JX22" s="593"/>
      <c r="JY22" s="527"/>
      <c r="JZ22" s="22">
        <v>231</v>
      </c>
      <c r="KA22" s="526">
        <v>264</v>
      </c>
      <c r="KB22" s="593"/>
      <c r="KC22" s="593"/>
      <c r="KD22" s="527"/>
      <c r="KE22" s="22">
        <v>264</v>
      </c>
      <c r="KF22" s="120"/>
      <c r="KG22" s="526">
        <v>264</v>
      </c>
      <c r="KH22" s="593"/>
      <c r="KI22" s="593"/>
      <c r="KJ22" s="527"/>
      <c r="KK22" s="22">
        <v>260</v>
      </c>
      <c r="KL22" s="492"/>
      <c r="KM22" s="23"/>
      <c r="KN22" s="457" t="s">
        <v>68</v>
      </c>
      <c r="KO22" s="459"/>
      <c r="KP22" s="459"/>
      <c r="KQ22" s="21" t="s">
        <v>16</v>
      </c>
      <c r="KR22" s="526">
        <v>233</v>
      </c>
      <c r="KS22" s="593"/>
      <c r="KT22" s="593"/>
      <c r="KU22" s="527"/>
      <c r="KV22" s="22">
        <v>233</v>
      </c>
      <c r="KW22" s="526">
        <v>231</v>
      </c>
      <c r="KX22" s="593"/>
      <c r="KY22" s="593"/>
      <c r="KZ22" s="527"/>
      <c r="LA22" s="22">
        <v>230</v>
      </c>
      <c r="LB22" s="526">
        <v>230</v>
      </c>
      <c r="LC22" s="593"/>
      <c r="LD22" s="593"/>
      <c r="LE22" s="527"/>
      <c r="LF22" s="22">
        <v>228</v>
      </c>
      <c r="LG22" s="526">
        <v>282</v>
      </c>
      <c r="LH22" s="593"/>
      <c r="LI22" s="593"/>
      <c r="LJ22" s="527"/>
      <c r="LK22" s="22">
        <v>282</v>
      </c>
      <c r="LL22" s="492"/>
      <c r="LM22" s="23"/>
      <c r="LN22" s="457" t="s">
        <v>68</v>
      </c>
      <c r="LO22" s="459"/>
      <c r="LP22" s="459"/>
      <c r="LQ22" s="21" t="s">
        <v>16</v>
      </c>
      <c r="LR22" s="526">
        <v>230</v>
      </c>
      <c r="LS22" s="593"/>
      <c r="LT22" s="593"/>
      <c r="LU22" s="527"/>
      <c r="LV22" s="22">
        <v>228</v>
      </c>
      <c r="LW22" s="526">
        <v>231</v>
      </c>
      <c r="LX22" s="593"/>
      <c r="LY22" s="593"/>
      <c r="LZ22" s="527"/>
      <c r="MA22" s="22">
        <v>230</v>
      </c>
      <c r="MB22" s="526">
        <v>282</v>
      </c>
      <c r="MC22" s="593"/>
      <c r="MD22" s="593"/>
      <c r="ME22" s="527"/>
      <c r="MF22" s="135">
        <v>282</v>
      </c>
      <c r="MG22" s="526">
        <v>180</v>
      </c>
      <c r="MH22" s="593"/>
      <c r="MI22" s="593"/>
      <c r="MJ22" s="527"/>
      <c r="MK22" s="148"/>
      <c r="ML22" s="526"/>
      <c r="MM22" s="593"/>
      <c r="MN22" s="593"/>
      <c r="MO22" s="527"/>
      <c r="MP22" s="22">
        <v>186</v>
      </c>
      <c r="MQ22" s="492"/>
      <c r="MR22" s="23"/>
      <c r="MS22" s="457" t="s">
        <v>68</v>
      </c>
      <c r="MT22" s="459"/>
      <c r="MU22" s="459"/>
      <c r="MV22" s="21" t="s">
        <v>16</v>
      </c>
      <c r="MW22" s="526">
        <v>282</v>
      </c>
      <c r="MX22" s="593"/>
      <c r="MY22" s="593"/>
      <c r="MZ22" s="527"/>
      <c r="NA22" s="22">
        <v>277</v>
      </c>
      <c r="NB22" s="526">
        <v>282</v>
      </c>
      <c r="NC22" s="593"/>
      <c r="ND22" s="593"/>
      <c r="NE22" s="527"/>
      <c r="NF22" s="22">
        <v>278</v>
      </c>
      <c r="NG22" s="526">
        <v>282</v>
      </c>
      <c r="NH22" s="593"/>
      <c r="NI22" s="593"/>
      <c r="NJ22" s="527"/>
      <c r="NK22" s="22">
        <v>278</v>
      </c>
      <c r="NL22" s="526">
        <v>230</v>
      </c>
      <c r="NM22" s="593"/>
      <c r="NN22" s="593"/>
      <c r="NO22" s="527"/>
      <c r="NP22" s="22">
        <v>226</v>
      </c>
      <c r="NQ22" s="22"/>
      <c r="NR22" s="492"/>
      <c r="NS22" s="23"/>
      <c r="NT22" s="457" t="s">
        <v>68</v>
      </c>
      <c r="NU22" s="459"/>
      <c r="NV22" s="459"/>
      <c r="NW22" s="21" t="s">
        <v>16</v>
      </c>
      <c r="NX22" s="526">
        <v>230</v>
      </c>
      <c r="NY22" s="593"/>
      <c r="NZ22" s="593"/>
      <c r="OA22" s="527"/>
      <c r="OB22" s="22">
        <v>224</v>
      </c>
      <c r="OC22" s="526">
        <v>231</v>
      </c>
      <c r="OD22" s="593"/>
      <c r="OE22" s="593"/>
      <c r="OF22" s="527"/>
      <c r="OG22" s="22">
        <v>228</v>
      </c>
      <c r="OH22" s="526">
        <v>282</v>
      </c>
      <c r="OI22" s="593"/>
      <c r="OJ22" s="593"/>
      <c r="OK22" s="527"/>
      <c r="OL22" s="22">
        <v>278</v>
      </c>
      <c r="OM22" s="526">
        <v>282</v>
      </c>
      <c r="ON22" s="593"/>
      <c r="OO22" s="593"/>
      <c r="OP22" s="527"/>
      <c r="OQ22" s="22">
        <v>282</v>
      </c>
      <c r="OR22" s="22"/>
      <c r="OS22" s="492"/>
      <c r="OT22" s="23"/>
      <c r="OU22" s="457" t="s">
        <v>68</v>
      </c>
      <c r="OV22" s="459"/>
      <c r="OW22" s="459"/>
      <c r="OX22" s="21" t="s">
        <v>16</v>
      </c>
      <c r="OY22" s="526">
        <v>264</v>
      </c>
      <c r="OZ22" s="593"/>
      <c r="PA22" s="593"/>
      <c r="PB22" s="527"/>
      <c r="PC22" s="22">
        <v>268</v>
      </c>
      <c r="PD22" s="526">
        <v>264</v>
      </c>
      <c r="PE22" s="593"/>
      <c r="PF22" s="593"/>
      <c r="PG22" s="527"/>
      <c r="PH22" s="22">
        <v>253</v>
      </c>
      <c r="PI22" s="526">
        <v>264</v>
      </c>
      <c r="PJ22" s="593"/>
      <c r="PK22" s="593"/>
      <c r="PL22" s="527"/>
      <c r="PM22" s="22">
        <v>264</v>
      </c>
      <c r="PN22" s="526">
        <v>264</v>
      </c>
      <c r="PO22" s="593"/>
      <c r="PP22" s="593"/>
      <c r="PQ22" s="527"/>
      <c r="PR22" s="22">
        <v>262</v>
      </c>
      <c r="PS22" s="62"/>
      <c r="PT22" s="492"/>
      <c r="PU22" s="23"/>
      <c r="PV22" s="457" t="s">
        <v>68</v>
      </c>
      <c r="PW22" s="459"/>
      <c r="PX22" s="459"/>
      <c r="PY22" s="21" t="s">
        <v>16</v>
      </c>
      <c r="PZ22" s="526">
        <v>213</v>
      </c>
      <c r="QA22" s="593"/>
      <c r="QB22" s="593"/>
      <c r="QC22" s="527"/>
      <c r="QD22" s="22">
        <v>210</v>
      </c>
      <c r="QE22" s="526">
        <v>264</v>
      </c>
      <c r="QF22" s="593"/>
      <c r="QG22" s="593"/>
      <c r="QH22" s="527"/>
      <c r="QI22" s="22">
        <v>258</v>
      </c>
      <c r="QJ22" s="526">
        <v>264</v>
      </c>
      <c r="QK22" s="593"/>
      <c r="QL22" s="593"/>
      <c r="QM22" s="527"/>
      <c r="QN22" s="22">
        <v>260</v>
      </c>
      <c r="QO22" s="526">
        <v>264</v>
      </c>
      <c r="QP22" s="593"/>
      <c r="QQ22" s="593"/>
      <c r="QR22" s="527"/>
      <c r="QS22" s="22">
        <v>258</v>
      </c>
      <c r="QT22" s="492"/>
      <c r="QU22" s="23"/>
      <c r="QV22" s="457" t="s">
        <v>68</v>
      </c>
      <c r="QW22" s="459"/>
      <c r="QX22" s="459"/>
      <c r="QY22" s="21" t="s">
        <v>16</v>
      </c>
      <c r="QZ22" s="526">
        <v>212</v>
      </c>
      <c r="RA22" s="593"/>
      <c r="RB22" s="593"/>
      <c r="RC22" s="527"/>
      <c r="RD22" s="22">
        <v>207</v>
      </c>
      <c r="RE22" s="526">
        <v>212</v>
      </c>
      <c r="RF22" s="593"/>
      <c r="RG22" s="593"/>
      <c r="RH22" s="527"/>
      <c r="RI22" s="22">
        <v>204</v>
      </c>
      <c r="RJ22" s="526">
        <v>252</v>
      </c>
      <c r="RK22" s="593"/>
      <c r="RL22" s="593"/>
      <c r="RM22" s="527"/>
      <c r="RN22" s="22">
        <v>252</v>
      </c>
      <c r="RO22" s="526">
        <v>252</v>
      </c>
      <c r="RP22" s="593"/>
      <c r="RQ22" s="593"/>
      <c r="RR22" s="527"/>
      <c r="RS22" s="22">
        <v>250</v>
      </c>
      <c r="RT22" s="22"/>
      <c r="RU22" s="492"/>
      <c r="RV22" s="23"/>
      <c r="RW22" s="457" t="s">
        <v>68</v>
      </c>
      <c r="RX22" s="459"/>
      <c r="RY22" s="459"/>
      <c r="RZ22" s="21" t="s">
        <v>16</v>
      </c>
      <c r="SA22" s="526">
        <v>252</v>
      </c>
      <c r="SB22" s="593"/>
      <c r="SC22" s="593"/>
      <c r="SD22" s="527"/>
      <c r="SE22" s="22">
        <v>252</v>
      </c>
      <c r="SF22" s="526">
        <v>212</v>
      </c>
      <c r="SG22" s="593"/>
      <c r="SH22" s="593"/>
      <c r="SI22" s="527"/>
      <c r="SJ22" s="22">
        <v>208</v>
      </c>
      <c r="SK22" s="526">
        <v>214</v>
      </c>
      <c r="SL22" s="593"/>
      <c r="SM22" s="593"/>
      <c r="SN22" s="527"/>
      <c r="SO22" s="22">
        <v>212</v>
      </c>
      <c r="SP22" s="526">
        <v>252</v>
      </c>
      <c r="SQ22" s="593"/>
      <c r="SR22" s="593"/>
      <c r="SS22" s="527"/>
      <c r="ST22" s="22">
        <v>250</v>
      </c>
      <c r="SU22" s="492"/>
      <c r="SV22" s="23"/>
      <c r="SW22" s="457" t="s">
        <v>68</v>
      </c>
      <c r="SX22" s="459"/>
      <c r="SY22" s="459"/>
      <c r="SZ22" s="21" t="s">
        <v>16</v>
      </c>
      <c r="TA22" s="526">
        <v>252</v>
      </c>
      <c r="TB22" s="593"/>
      <c r="TC22" s="593"/>
      <c r="TD22" s="527"/>
      <c r="TE22" s="22">
        <v>247</v>
      </c>
      <c r="TF22" s="526">
        <v>252</v>
      </c>
      <c r="TG22" s="593"/>
      <c r="TH22" s="593"/>
      <c r="TI22" s="527"/>
      <c r="TJ22" s="22">
        <v>252</v>
      </c>
      <c r="TK22" s="526">
        <v>214</v>
      </c>
      <c r="TL22" s="593"/>
      <c r="TM22" s="593"/>
      <c r="TN22" s="527"/>
      <c r="TO22" s="22">
        <v>212</v>
      </c>
      <c r="TP22" s="526"/>
      <c r="TQ22" s="593"/>
      <c r="TR22" s="593"/>
      <c r="TS22" s="527"/>
      <c r="TT22" s="22"/>
    </row>
    <row r="23" spans="2:540" ht="45" customHeight="1" x14ac:dyDescent="0.4">
      <c r="B23" s="479"/>
      <c r="C23" s="528" t="s">
        <v>18</v>
      </c>
      <c r="D23" s="459"/>
      <c r="E23" s="459"/>
      <c r="F23" s="459"/>
      <c r="G23" s="460"/>
      <c r="H23" s="38">
        <f t="shared" ref="H23:M23" si="0">SUM(H20:H22)</f>
        <v>1399</v>
      </c>
      <c r="I23" s="38">
        <f t="shared" si="0"/>
        <v>1391</v>
      </c>
      <c r="J23" s="38">
        <f t="shared" si="0"/>
        <v>1389</v>
      </c>
      <c r="K23" s="38">
        <f t="shared" si="0"/>
        <v>1323</v>
      </c>
      <c r="L23" s="38">
        <f t="shared" si="0"/>
        <v>1380</v>
      </c>
      <c r="M23" s="38">
        <f t="shared" si="0"/>
        <v>1334</v>
      </c>
      <c r="N23" s="38">
        <f>SUM(N20:N22)</f>
        <v>1360</v>
      </c>
      <c r="O23" s="22">
        <f>SUM(O20:O22)</f>
        <v>1332</v>
      </c>
      <c r="P23" s="479"/>
      <c r="Q23" s="528" t="s">
        <v>18</v>
      </c>
      <c r="R23" s="459"/>
      <c r="S23" s="459"/>
      <c r="T23" s="459"/>
      <c r="U23" s="460"/>
      <c r="V23" s="38">
        <f t="shared" ref="V23:AA23" si="1">SUM(V20:V22)</f>
        <v>1231</v>
      </c>
      <c r="W23" s="38">
        <f t="shared" si="1"/>
        <v>1179</v>
      </c>
      <c r="X23" s="38">
        <f t="shared" si="1"/>
        <v>1181</v>
      </c>
      <c r="Y23" s="38">
        <f t="shared" si="1"/>
        <v>1072</v>
      </c>
      <c r="Z23" s="38">
        <f t="shared" si="1"/>
        <v>1329</v>
      </c>
      <c r="AA23" s="38">
        <f t="shared" si="1"/>
        <v>1279</v>
      </c>
      <c r="AB23" s="38">
        <v>1319</v>
      </c>
      <c r="AC23" s="22">
        <v>1335</v>
      </c>
      <c r="AD23" s="479"/>
      <c r="AE23" s="528" t="s">
        <v>18</v>
      </c>
      <c r="AF23" s="459"/>
      <c r="AG23" s="459"/>
      <c r="AH23" s="459"/>
      <c r="AI23" s="460"/>
      <c r="AJ23" s="38">
        <f>SUM(AJ20:AJ22)</f>
        <v>1349</v>
      </c>
      <c r="AK23" s="38">
        <f>SUM(AK20:AK22)</f>
        <v>1260</v>
      </c>
      <c r="AL23" s="38">
        <v>1190</v>
      </c>
      <c r="AM23" s="38">
        <v>1238</v>
      </c>
      <c r="AN23" s="38">
        <v>1307</v>
      </c>
      <c r="AO23" s="38">
        <v>1299</v>
      </c>
      <c r="AP23" s="38">
        <v>1349</v>
      </c>
      <c r="AQ23" s="22">
        <f>SUM(AQ20:AQ22)</f>
        <v>1332</v>
      </c>
      <c r="AR23" s="479"/>
      <c r="AS23" s="528" t="s">
        <v>18</v>
      </c>
      <c r="AT23" s="459"/>
      <c r="AU23" s="459"/>
      <c r="AV23" s="459"/>
      <c r="AW23" s="460"/>
      <c r="AX23" s="38">
        <f>SUM(AX20:AX22)</f>
        <v>1339</v>
      </c>
      <c r="AY23" s="38">
        <f>SUM(AY20:AY22)</f>
        <v>1320</v>
      </c>
      <c r="AZ23" s="38">
        <v>1349</v>
      </c>
      <c r="BA23" s="38">
        <f>SUM(BA20:BA22)</f>
        <v>1298</v>
      </c>
      <c r="BB23" s="38">
        <f>SUM(BB20:BB22)</f>
        <v>1241</v>
      </c>
      <c r="BC23" s="38">
        <f>SUM(BC20:BC22)</f>
        <v>1198</v>
      </c>
      <c r="BD23" s="38">
        <v>1221</v>
      </c>
      <c r="BE23" s="22">
        <v>1154</v>
      </c>
      <c r="BF23" s="479"/>
      <c r="BG23" s="528" t="s">
        <v>18</v>
      </c>
      <c r="BH23" s="459"/>
      <c r="BI23" s="459"/>
      <c r="BJ23" s="459"/>
      <c r="BK23" s="460"/>
      <c r="BL23" s="38">
        <v>1349</v>
      </c>
      <c r="BM23" s="38">
        <v>1268</v>
      </c>
      <c r="BN23" s="38">
        <f>SUM(BN20:BN22)</f>
        <v>1321</v>
      </c>
      <c r="BO23" s="38">
        <v>1178</v>
      </c>
      <c r="BP23" s="38">
        <v>1243</v>
      </c>
      <c r="BQ23" s="38">
        <v>1239</v>
      </c>
      <c r="BR23" s="38">
        <v>1115</v>
      </c>
      <c r="BS23" s="22">
        <v>1054</v>
      </c>
      <c r="BT23" s="479"/>
      <c r="BU23" s="528" t="s">
        <v>18</v>
      </c>
      <c r="BV23" s="459"/>
      <c r="BW23" s="459"/>
      <c r="BX23" s="459"/>
      <c r="BY23" s="460"/>
      <c r="BZ23" s="22">
        <v>1189</v>
      </c>
      <c r="CA23" s="22">
        <v>1108</v>
      </c>
      <c r="CB23" s="22">
        <v>1149</v>
      </c>
      <c r="CC23" s="38">
        <v>1111</v>
      </c>
      <c r="CD23" s="38">
        <v>1139</v>
      </c>
      <c r="CE23" s="38">
        <v>1140</v>
      </c>
      <c r="CF23" s="38">
        <v>1164</v>
      </c>
      <c r="CG23" s="22">
        <v>1155</v>
      </c>
      <c r="CH23" s="479"/>
      <c r="CI23" s="528" t="s">
        <v>18</v>
      </c>
      <c r="CJ23" s="459"/>
      <c r="CK23" s="459"/>
      <c r="CL23" s="459"/>
      <c r="CM23" s="460"/>
      <c r="CN23" s="22">
        <v>1189</v>
      </c>
      <c r="CO23" s="22">
        <v>1023</v>
      </c>
      <c r="CP23" s="22">
        <v>1335</v>
      </c>
      <c r="CQ23" s="38">
        <v>1312</v>
      </c>
      <c r="CR23" s="38">
        <v>1400</v>
      </c>
      <c r="CS23" s="38">
        <v>1292</v>
      </c>
      <c r="CT23" s="38">
        <f>SUM(CT20:CT22)</f>
        <v>1400</v>
      </c>
      <c r="CU23" s="22">
        <v>1271</v>
      </c>
      <c r="CV23" s="479"/>
      <c r="CW23" s="528" t="s">
        <v>18</v>
      </c>
      <c r="CX23" s="459"/>
      <c r="CY23" s="459"/>
      <c r="CZ23" s="459"/>
      <c r="DA23" s="460"/>
      <c r="DB23" s="22">
        <v>1319</v>
      </c>
      <c r="DC23" s="22">
        <v>1241</v>
      </c>
      <c r="DD23" s="22">
        <v>1249</v>
      </c>
      <c r="DE23" s="38">
        <v>1208</v>
      </c>
      <c r="DF23" s="98"/>
      <c r="DG23" s="62"/>
      <c r="DH23" s="62"/>
      <c r="DI23" s="62"/>
      <c r="DJ23" s="492"/>
      <c r="DK23" s="528" t="s">
        <v>18</v>
      </c>
      <c r="DL23" s="459"/>
      <c r="DM23" s="459"/>
      <c r="DN23" s="459"/>
      <c r="DO23" s="460"/>
      <c r="DP23" s="526">
        <f>IF(DP20="","",DP20+DP21+DP22)</f>
        <v>1220</v>
      </c>
      <c r="DQ23" s="593"/>
      <c r="DR23" s="593"/>
      <c r="DS23" s="527"/>
      <c r="DT23" s="38">
        <f>IF(DT20="","",DT20+DT21+DT22)</f>
        <v>1141</v>
      </c>
      <c r="DU23" s="526">
        <f>IF(DU20="","",DU20+DU21+DU22)</f>
        <v>1240</v>
      </c>
      <c r="DV23" s="593"/>
      <c r="DW23" s="593"/>
      <c r="DX23" s="527"/>
      <c r="DY23" s="38">
        <f>IF(DY20="","",DY20+DY21+DY22)</f>
        <v>1208</v>
      </c>
      <c r="DZ23" s="526">
        <f>IF(DZ20="","",DZ20+DZ21+DZ22)</f>
        <v>1153</v>
      </c>
      <c r="EA23" s="593"/>
      <c r="EB23" s="593"/>
      <c r="EC23" s="527"/>
      <c r="ED23" s="38">
        <f>IF(ED20="","",ED20+ED21+ED22)</f>
        <v>1029</v>
      </c>
      <c r="EE23" s="526">
        <f>IF(EE20="","",EE20+EE21+EE22)</f>
        <v>1261</v>
      </c>
      <c r="EF23" s="593"/>
      <c r="EG23" s="593"/>
      <c r="EH23" s="527"/>
      <c r="EI23" s="22">
        <f>IF(EI20="","",EI20+EI21+EI22)</f>
        <v>1161</v>
      </c>
      <c r="EJ23" s="492"/>
      <c r="EK23" s="528" t="s">
        <v>18</v>
      </c>
      <c r="EL23" s="466"/>
      <c r="EM23" s="466"/>
      <c r="EN23" s="466"/>
      <c r="EO23" s="467"/>
      <c r="EP23" s="526">
        <f>IF(EP20="","",EP20+EP21+EP22)</f>
        <v>1251</v>
      </c>
      <c r="EQ23" s="593"/>
      <c r="ER23" s="593"/>
      <c r="ES23" s="527"/>
      <c r="ET23" s="38">
        <f>IF(ET20="","",ET20+ET21+ET22)</f>
        <v>1215</v>
      </c>
      <c r="EU23" s="526">
        <f>IF(EU20="","",EU20+EU21+EU22)</f>
        <v>1277.7</v>
      </c>
      <c r="EV23" s="593"/>
      <c r="EW23" s="593"/>
      <c r="EX23" s="527"/>
      <c r="EY23" s="38">
        <f>IF(EY20="","",EY20+EY21+EY22)</f>
        <v>1220</v>
      </c>
      <c r="EZ23" s="526">
        <f>IF(EZ20="","",EZ20+EZ21+EZ22)</f>
        <v>1295.7</v>
      </c>
      <c r="FA23" s="593"/>
      <c r="FB23" s="593"/>
      <c r="FC23" s="527"/>
      <c r="FD23" s="38">
        <f>IF(FD20="","",FD20+FD21+FD22)</f>
        <v>1249</v>
      </c>
      <c r="FE23" s="526">
        <f>IF(FE20="","",FE20+FE21+FE22)</f>
        <v>1086.7</v>
      </c>
      <c r="FF23" s="593"/>
      <c r="FG23" s="593"/>
      <c r="FH23" s="527"/>
      <c r="FI23" s="22">
        <f>IF(FI20="","",FI20+FI21+FI22)</f>
        <v>1118</v>
      </c>
      <c r="FJ23" s="22"/>
      <c r="FK23" s="492"/>
      <c r="FL23" s="528" t="s">
        <v>18</v>
      </c>
      <c r="FM23" s="466"/>
      <c r="FN23" s="466"/>
      <c r="FO23" s="466"/>
      <c r="FP23" s="467"/>
      <c r="FQ23" s="526">
        <f>IF(FQ20="","",FQ20+FQ21+FQ22)</f>
        <v>1086.7</v>
      </c>
      <c r="FR23" s="593"/>
      <c r="FS23" s="593"/>
      <c r="FT23" s="527"/>
      <c r="FU23" s="38">
        <f>IF(FU20="","",FU20+FU21+FU22)</f>
        <v>1160</v>
      </c>
      <c r="FV23" s="526">
        <f>IF(FV20="","",FV20+FV21+FV22)</f>
        <v>1285.7</v>
      </c>
      <c r="FW23" s="593"/>
      <c r="FX23" s="593"/>
      <c r="FY23" s="527"/>
      <c r="FZ23" s="38">
        <f>IF(FZ20="","",FZ20+FZ21+FZ22)</f>
        <v>1247</v>
      </c>
      <c r="GA23" s="526">
        <f>IF(GA20="","",GA20+GA21+GA22)</f>
        <v>1285.7</v>
      </c>
      <c r="GB23" s="593"/>
      <c r="GC23" s="593"/>
      <c r="GD23" s="527"/>
      <c r="GE23" s="22">
        <f>SUM(GE20:GE22)</f>
        <v>1259</v>
      </c>
      <c r="GF23" s="526">
        <f>IF(GF20="","",GF20+GF21+GF22)</f>
        <v>1116.7</v>
      </c>
      <c r="GG23" s="593"/>
      <c r="GH23" s="593"/>
      <c r="GI23" s="527"/>
      <c r="GJ23" s="22">
        <f>SUM(GJ20:GJ22)</f>
        <v>1133</v>
      </c>
      <c r="GK23" s="492"/>
      <c r="GL23" s="528" t="s">
        <v>18</v>
      </c>
      <c r="GM23" s="466"/>
      <c r="GN23" s="466"/>
      <c r="GO23" s="466"/>
      <c r="GP23" s="467"/>
      <c r="GQ23" s="526">
        <f>IF(GQ20="","",GQ20+GQ21+GQ22)</f>
        <v>1076.7</v>
      </c>
      <c r="GR23" s="593"/>
      <c r="GS23" s="593"/>
      <c r="GT23" s="527"/>
      <c r="GU23" s="22">
        <f>SUM(GU20:GU22)</f>
        <v>1101</v>
      </c>
      <c r="GV23" s="526">
        <f>IF(GV20="","",GV20+GV21+GV22)</f>
        <v>1275.7</v>
      </c>
      <c r="GW23" s="593"/>
      <c r="GX23" s="593"/>
      <c r="GY23" s="527"/>
      <c r="GZ23" s="22">
        <v>1234</v>
      </c>
      <c r="HA23" s="526">
        <f>IF(HA20="","",HA20+HA21+HA22)</f>
        <v>1315.7</v>
      </c>
      <c r="HB23" s="593"/>
      <c r="HC23" s="593"/>
      <c r="HD23" s="527"/>
      <c r="HE23" s="22">
        <f>SUM(HE20:HE22)</f>
        <v>1265</v>
      </c>
      <c r="HF23" s="526">
        <f>IF(HF20="","",HF20+HF21+HF22)</f>
        <v>1179</v>
      </c>
      <c r="HG23" s="593"/>
      <c r="HH23" s="593"/>
      <c r="HI23" s="527"/>
      <c r="HJ23" s="22">
        <f>SUM(HJ20:HJ22)</f>
        <v>1159</v>
      </c>
      <c r="HK23" s="492"/>
      <c r="HL23" s="528" t="s">
        <v>18</v>
      </c>
      <c r="HM23" s="466"/>
      <c r="HN23" s="466"/>
      <c r="HO23" s="466"/>
      <c r="HP23" s="467"/>
      <c r="HQ23" s="526">
        <f>IF(HQ20="","",HQ20+HQ21+HQ22)</f>
        <v>1085</v>
      </c>
      <c r="HR23" s="593"/>
      <c r="HS23" s="593"/>
      <c r="HT23" s="527"/>
      <c r="HU23" s="22">
        <f>SUM(HU20:HU22)</f>
        <v>1070</v>
      </c>
      <c r="HV23" s="526">
        <f>SUM(HV20:HV22)</f>
        <v>1274</v>
      </c>
      <c r="HW23" s="593">
        <f>SUM(HW20:HW22)</f>
        <v>0</v>
      </c>
      <c r="HX23" s="593">
        <f>SUM(HX20:HX22)</f>
        <v>0</v>
      </c>
      <c r="HY23" s="527">
        <f>SUM(HY20:HY22)</f>
        <v>0</v>
      </c>
      <c r="HZ23" s="22">
        <v>1288</v>
      </c>
      <c r="IA23" s="526">
        <f>SUM(IA20:IA22)</f>
        <v>1095</v>
      </c>
      <c r="IB23" s="593">
        <f>SUM(IB20:IB22)</f>
        <v>0</v>
      </c>
      <c r="IC23" s="593">
        <f>SUM(IC20:IC22)</f>
        <v>0</v>
      </c>
      <c r="ID23" s="527">
        <f>SUM(ID20:ID22)</f>
        <v>0</v>
      </c>
      <c r="IE23" s="22">
        <v>1136</v>
      </c>
      <c r="IF23" s="526">
        <f>SUM(IF20:IF22)</f>
        <v>1175</v>
      </c>
      <c r="IG23" s="593">
        <f>SUM(IG20:IG22)</f>
        <v>0</v>
      </c>
      <c r="IH23" s="593">
        <f>SUM(IH20:IH22)</f>
        <v>0</v>
      </c>
      <c r="II23" s="527">
        <f>SUM(II20:II22)</f>
        <v>0</v>
      </c>
      <c r="IJ23" s="22">
        <v>1186</v>
      </c>
      <c r="IK23" s="492"/>
      <c r="IL23" s="528" t="s">
        <v>18</v>
      </c>
      <c r="IM23" s="466"/>
      <c r="IN23" s="466"/>
      <c r="IO23" s="466"/>
      <c r="IP23" s="467"/>
      <c r="IQ23" s="526">
        <f>IF(IQ20="","",IQ20+IQ21+IQ22)</f>
        <v>1173</v>
      </c>
      <c r="IR23" s="593"/>
      <c r="IS23" s="593"/>
      <c r="IT23" s="527"/>
      <c r="IU23" s="22">
        <f>SUM(IU20:IU22)</f>
        <v>1176</v>
      </c>
      <c r="IV23" s="526">
        <f>IF(IV20="","",IV20+IV21+IV22)</f>
        <v>1151</v>
      </c>
      <c r="IW23" s="593"/>
      <c r="IX23" s="593"/>
      <c r="IY23" s="527"/>
      <c r="IZ23" s="22">
        <v>1111</v>
      </c>
      <c r="JA23" s="526">
        <f>IF(JA20="","",JA20+JA21+JA22)</f>
        <v>1120</v>
      </c>
      <c r="JB23" s="593"/>
      <c r="JC23" s="593"/>
      <c r="JD23" s="527"/>
      <c r="JE23" s="22">
        <v>1113</v>
      </c>
      <c r="JF23" s="526">
        <f>IF(JF20="","",JF20+JF21+JF22)</f>
        <v>1130</v>
      </c>
      <c r="JG23" s="593"/>
      <c r="JH23" s="593"/>
      <c r="JI23" s="527"/>
      <c r="JJ23" s="22">
        <v>1107</v>
      </c>
      <c r="JK23" s="492"/>
      <c r="JL23" s="528" t="s">
        <v>18</v>
      </c>
      <c r="JM23" s="466"/>
      <c r="JN23" s="466"/>
      <c r="JO23" s="466"/>
      <c r="JP23" s="467"/>
      <c r="JQ23" s="526">
        <f>IF(JQ20="","",JQ20+JQ21+JQ22)</f>
        <v>1179</v>
      </c>
      <c r="JR23" s="593"/>
      <c r="JS23" s="593"/>
      <c r="JT23" s="527"/>
      <c r="JU23" s="22">
        <f>SUM(JU20:JU22)</f>
        <v>1188</v>
      </c>
      <c r="JV23" s="526">
        <f>IF(JV20="","",JV20+JV21+JV22)</f>
        <v>1179</v>
      </c>
      <c r="JW23" s="593"/>
      <c r="JX23" s="593"/>
      <c r="JY23" s="527"/>
      <c r="JZ23" s="22">
        <v>1190</v>
      </c>
      <c r="KA23" s="526">
        <f>IF(KA20="","",KA20+KA21+KA22)</f>
        <v>1349</v>
      </c>
      <c r="KB23" s="593"/>
      <c r="KC23" s="593"/>
      <c r="KD23" s="527"/>
      <c r="KE23" s="22">
        <v>1370</v>
      </c>
      <c r="KF23" s="120"/>
      <c r="KG23" s="526">
        <f>IF(KG20="","",KG20+KG21+KG22)</f>
        <v>1363</v>
      </c>
      <c r="KH23" s="593"/>
      <c r="KI23" s="593"/>
      <c r="KJ23" s="527"/>
      <c r="KK23" s="22">
        <v>1318</v>
      </c>
      <c r="KL23" s="492"/>
      <c r="KM23" s="528" t="s">
        <v>18</v>
      </c>
      <c r="KN23" s="466"/>
      <c r="KO23" s="466"/>
      <c r="KP23" s="466"/>
      <c r="KQ23" s="467"/>
      <c r="KR23" s="526">
        <v>1268</v>
      </c>
      <c r="KS23" s="593"/>
      <c r="KT23" s="593"/>
      <c r="KU23" s="527"/>
      <c r="KV23" s="22">
        <v>1276</v>
      </c>
      <c r="KW23" s="526">
        <f>IF(KW20="","",KW20+KW21+KW22)</f>
        <v>1289</v>
      </c>
      <c r="KX23" s="593"/>
      <c r="KY23" s="593"/>
      <c r="KZ23" s="527"/>
      <c r="LA23" s="22">
        <v>1304</v>
      </c>
      <c r="LB23" s="526">
        <f>IF(LB20="","",LB20+LB21+LB22)</f>
        <v>1197</v>
      </c>
      <c r="LC23" s="593"/>
      <c r="LD23" s="593"/>
      <c r="LE23" s="527"/>
      <c r="LF23" s="22">
        <f>1198</f>
        <v>1198</v>
      </c>
      <c r="LG23" s="526">
        <f>IF(LG20="","",LG20+LG21+LG22)</f>
        <v>1465</v>
      </c>
      <c r="LH23" s="593"/>
      <c r="LI23" s="593"/>
      <c r="LJ23" s="527"/>
      <c r="LK23" s="22">
        <v>1451</v>
      </c>
      <c r="LL23" s="492"/>
      <c r="LM23" s="528" t="s">
        <v>18</v>
      </c>
      <c r="LN23" s="466"/>
      <c r="LO23" s="466"/>
      <c r="LP23" s="466"/>
      <c r="LQ23" s="467"/>
      <c r="LR23" s="526">
        <f>IF(LR20="","",LR20+LR21+LR22)</f>
        <v>1340</v>
      </c>
      <c r="LS23" s="593"/>
      <c r="LT23" s="593"/>
      <c r="LU23" s="527"/>
      <c r="LV23" s="22">
        <v>1328</v>
      </c>
      <c r="LW23" s="526">
        <f>IF(LW20="","",LW20+LW21+LW22)</f>
        <v>1260</v>
      </c>
      <c r="LX23" s="593"/>
      <c r="LY23" s="593"/>
      <c r="LZ23" s="527"/>
      <c r="MA23" s="22">
        <f>1340</f>
        <v>1340</v>
      </c>
      <c r="MB23" s="526">
        <f>IF(MB20="","",MB20+MB21+MB22)</f>
        <v>1373</v>
      </c>
      <c r="MC23" s="593"/>
      <c r="MD23" s="593"/>
      <c r="ME23" s="527"/>
      <c r="MF23" s="135">
        <v>1353</v>
      </c>
      <c r="MG23" s="526">
        <f>IF(MG20="","",MG20+MG21+MG22)</f>
        <v>1273</v>
      </c>
      <c r="MH23" s="593"/>
      <c r="MI23" s="593"/>
      <c r="MJ23" s="527"/>
      <c r="MK23" s="148"/>
      <c r="ML23" s="526"/>
      <c r="MM23" s="593"/>
      <c r="MN23" s="593"/>
      <c r="MO23" s="527"/>
      <c r="MP23" s="22">
        <v>1258</v>
      </c>
      <c r="MQ23" s="492"/>
      <c r="MR23" s="528" t="s">
        <v>18</v>
      </c>
      <c r="MS23" s="466"/>
      <c r="MT23" s="466"/>
      <c r="MU23" s="466"/>
      <c r="MV23" s="467"/>
      <c r="MW23" s="526">
        <f>IF(MW20="","",MW20+MW21+MW22)</f>
        <v>1453</v>
      </c>
      <c r="MX23" s="593"/>
      <c r="MY23" s="593"/>
      <c r="MZ23" s="527"/>
      <c r="NA23" s="22">
        <v>1443</v>
      </c>
      <c r="NB23" s="526">
        <f>IF(NB20="","",NB20+NB21+NB22)</f>
        <v>1343</v>
      </c>
      <c r="NC23" s="593"/>
      <c r="ND23" s="593"/>
      <c r="NE23" s="527"/>
      <c r="NF23" s="22">
        <v>1384</v>
      </c>
      <c r="NG23" s="526">
        <f>IF(NG20="","",NG20+NG21+NG22)</f>
        <v>1323</v>
      </c>
      <c r="NH23" s="593"/>
      <c r="NI23" s="593"/>
      <c r="NJ23" s="527"/>
      <c r="NK23" s="22">
        <v>1357</v>
      </c>
      <c r="NL23" s="526">
        <f>IF(NL20="","",NL20+NL21+NL22)</f>
        <v>1221</v>
      </c>
      <c r="NM23" s="593"/>
      <c r="NN23" s="593"/>
      <c r="NO23" s="527"/>
      <c r="NP23" s="22">
        <v>1195</v>
      </c>
      <c r="NQ23" s="22"/>
      <c r="NR23" s="492"/>
      <c r="NS23" s="528" t="s">
        <v>18</v>
      </c>
      <c r="NT23" s="466"/>
      <c r="NU23" s="466"/>
      <c r="NV23" s="466"/>
      <c r="NW23" s="467"/>
      <c r="NX23" s="526">
        <f>IF(NX20="","",NX20+NX21+NX22)</f>
        <v>1227</v>
      </c>
      <c r="NY23" s="593"/>
      <c r="NZ23" s="593"/>
      <c r="OA23" s="527"/>
      <c r="OB23" s="22">
        <v>1159</v>
      </c>
      <c r="OC23" s="526">
        <f>IF(OC20="","",OC20+OC21+OC22)</f>
        <v>1258</v>
      </c>
      <c r="OD23" s="593"/>
      <c r="OE23" s="593"/>
      <c r="OF23" s="527"/>
      <c r="OG23" s="22">
        <v>1173</v>
      </c>
      <c r="OH23" s="526">
        <f>IF(OH20="","",OH20+OH21+OH22)</f>
        <v>1333</v>
      </c>
      <c r="OI23" s="593"/>
      <c r="OJ23" s="593"/>
      <c r="OK23" s="527"/>
      <c r="OL23" s="22">
        <v>1220</v>
      </c>
      <c r="OM23" s="526">
        <f>IF(OM20="","",OM20+OM21+OM22)</f>
        <v>1334</v>
      </c>
      <c r="ON23" s="593"/>
      <c r="OO23" s="593"/>
      <c r="OP23" s="527"/>
      <c r="OQ23" s="22">
        <v>1337</v>
      </c>
      <c r="OR23" s="22"/>
      <c r="OS23" s="492"/>
      <c r="OT23" s="528" t="s">
        <v>18</v>
      </c>
      <c r="OU23" s="466"/>
      <c r="OV23" s="466"/>
      <c r="OW23" s="466"/>
      <c r="OX23" s="467"/>
      <c r="OY23" s="526">
        <f>IF(OY20="","",OY20+OY21+OY22)</f>
        <v>1318</v>
      </c>
      <c r="OZ23" s="593"/>
      <c r="PA23" s="593"/>
      <c r="PB23" s="527"/>
      <c r="PC23" s="22">
        <v>1339</v>
      </c>
      <c r="PD23" s="526">
        <f>IF(PD20="","",PD20+PD21+PD22)</f>
        <v>1317</v>
      </c>
      <c r="PE23" s="593"/>
      <c r="PF23" s="593"/>
      <c r="PG23" s="527"/>
      <c r="PH23" s="22">
        <v>1277</v>
      </c>
      <c r="PI23" s="526">
        <f>IF(PI20="","",PI20+PI21+PI22)</f>
        <v>1348</v>
      </c>
      <c r="PJ23" s="593"/>
      <c r="PK23" s="593"/>
      <c r="PL23" s="527"/>
      <c r="PM23" s="22">
        <v>1405</v>
      </c>
      <c r="PN23" s="526">
        <f>IF(PN20="","",PN20+PN21+PN22)</f>
        <v>1408</v>
      </c>
      <c r="PO23" s="593"/>
      <c r="PP23" s="593"/>
      <c r="PQ23" s="527"/>
      <c r="PR23" s="22">
        <v>1374</v>
      </c>
      <c r="PS23" s="62"/>
      <c r="PT23" s="492"/>
      <c r="PU23" s="528" t="s">
        <v>18</v>
      </c>
      <c r="PV23" s="466"/>
      <c r="PW23" s="466"/>
      <c r="PX23" s="466"/>
      <c r="PY23" s="467"/>
      <c r="PZ23" s="526">
        <v>1157</v>
      </c>
      <c r="QA23" s="593"/>
      <c r="QB23" s="593"/>
      <c r="QC23" s="527"/>
      <c r="QD23" s="22">
        <v>1078</v>
      </c>
      <c r="QE23" s="526">
        <v>1277</v>
      </c>
      <c r="QF23" s="593"/>
      <c r="QG23" s="593"/>
      <c r="QH23" s="527"/>
      <c r="QI23" s="22">
        <v>1179</v>
      </c>
      <c r="QJ23" s="526">
        <f>IF(QJ20="","",QJ20+QJ21+QJ22)</f>
        <v>1342</v>
      </c>
      <c r="QK23" s="593"/>
      <c r="QL23" s="593"/>
      <c r="QM23" s="527"/>
      <c r="QN23" s="22">
        <v>1328</v>
      </c>
      <c r="QO23" s="526">
        <f>IF(QO20="","",QO20+QO21+QO22)</f>
        <v>1352</v>
      </c>
      <c r="QP23" s="593"/>
      <c r="QQ23" s="593"/>
      <c r="QR23" s="527"/>
      <c r="QS23" s="22">
        <v>1308</v>
      </c>
      <c r="QT23" s="492"/>
      <c r="QU23" s="528" t="s">
        <v>18</v>
      </c>
      <c r="QV23" s="466"/>
      <c r="QW23" s="466"/>
      <c r="QX23" s="466"/>
      <c r="QY23" s="467"/>
      <c r="QZ23" s="526">
        <f>IF(QZ20="","",QZ20+QZ21+QZ22)</f>
        <v>1260</v>
      </c>
      <c r="RA23" s="593"/>
      <c r="RB23" s="593"/>
      <c r="RC23" s="527"/>
      <c r="RD23" s="22">
        <v>1136</v>
      </c>
      <c r="RE23" s="526">
        <f>IF(RE20="","",RE20+RE21+RE22)</f>
        <v>1176</v>
      </c>
      <c r="RF23" s="593"/>
      <c r="RG23" s="593"/>
      <c r="RH23" s="527"/>
      <c r="RI23" s="22">
        <v>1087</v>
      </c>
      <c r="RJ23" s="526">
        <f>IF(RJ20="","",RJ20+RJ21+RJ22)</f>
        <v>1360</v>
      </c>
      <c r="RK23" s="593"/>
      <c r="RL23" s="593"/>
      <c r="RM23" s="527"/>
      <c r="RN23" s="22">
        <v>1328</v>
      </c>
      <c r="RO23" s="526">
        <f>IF(RO20="","",RO20+RO21+RO22)</f>
        <v>1383</v>
      </c>
      <c r="RP23" s="593"/>
      <c r="RQ23" s="593"/>
      <c r="RR23" s="527"/>
      <c r="RS23" s="22">
        <v>1323</v>
      </c>
      <c r="RT23" s="22"/>
      <c r="RU23" s="492"/>
      <c r="RV23" s="528" t="s">
        <v>18</v>
      </c>
      <c r="RW23" s="466"/>
      <c r="RX23" s="466"/>
      <c r="RY23" s="466"/>
      <c r="RZ23" s="467"/>
      <c r="SA23" s="526">
        <f>IF(SA20="","",SA20+SA21+SA22)</f>
        <v>1362.7</v>
      </c>
      <c r="SB23" s="593"/>
      <c r="SC23" s="593"/>
      <c r="SD23" s="527"/>
      <c r="SE23" s="22">
        <v>1176</v>
      </c>
      <c r="SF23" s="526">
        <f>IF(SF20="","",SF20+SF21+SF22)</f>
        <v>1256.7</v>
      </c>
      <c r="SG23" s="593"/>
      <c r="SH23" s="593"/>
      <c r="SI23" s="527"/>
      <c r="SJ23" s="22">
        <v>1233</v>
      </c>
      <c r="SK23" s="526">
        <f>IF(SK20="","",SK20+SK21+SK22)</f>
        <v>1248.7</v>
      </c>
      <c r="SL23" s="593"/>
      <c r="SM23" s="593"/>
      <c r="SN23" s="527"/>
      <c r="SO23" s="22">
        <v>1180</v>
      </c>
      <c r="SP23" s="526">
        <f>IF(SP20="","",SP20+SP21+SP22)</f>
        <v>1367</v>
      </c>
      <c r="SQ23" s="593"/>
      <c r="SR23" s="593"/>
      <c r="SS23" s="527"/>
      <c r="ST23" s="22">
        <v>1324</v>
      </c>
      <c r="SU23" s="492"/>
      <c r="SV23" s="528" t="s">
        <v>18</v>
      </c>
      <c r="SW23" s="466"/>
      <c r="SX23" s="466"/>
      <c r="SY23" s="466"/>
      <c r="SZ23" s="467"/>
      <c r="TA23" s="526">
        <f>IF(TA20="","",TA20+TA21+TA22)</f>
        <v>1367</v>
      </c>
      <c r="TB23" s="593"/>
      <c r="TC23" s="593"/>
      <c r="TD23" s="527"/>
      <c r="TE23" s="22">
        <v>1332</v>
      </c>
      <c r="TF23" s="526">
        <f>IF(TF20="","",TF20+TF21+TF22)</f>
        <v>1363</v>
      </c>
      <c r="TG23" s="593"/>
      <c r="TH23" s="593"/>
      <c r="TI23" s="527"/>
      <c r="TJ23" s="22">
        <v>1344</v>
      </c>
      <c r="TK23" s="526">
        <f>IF(TK20="","",TK20+TK21+TK22)</f>
        <v>1165</v>
      </c>
      <c r="TL23" s="593"/>
      <c r="TM23" s="593"/>
      <c r="TN23" s="527"/>
      <c r="TO23" s="22">
        <v>1157</v>
      </c>
      <c r="TP23" s="526"/>
      <c r="TQ23" s="593"/>
      <c r="TR23" s="593"/>
      <c r="TS23" s="527"/>
      <c r="TT23" s="22"/>
    </row>
    <row r="24" spans="2:540" ht="45" customHeight="1" x14ac:dyDescent="0.4">
      <c r="B24" s="479"/>
      <c r="C24" s="512" t="s">
        <v>69</v>
      </c>
      <c r="D24" s="458"/>
      <c r="E24" s="458"/>
      <c r="F24" s="458"/>
      <c r="G24" s="25" t="s">
        <v>6</v>
      </c>
      <c r="H24" s="39">
        <v>1514</v>
      </c>
      <c r="I24" s="24">
        <v>1490</v>
      </c>
      <c r="J24" s="39">
        <v>1518</v>
      </c>
      <c r="K24" s="24">
        <v>1423</v>
      </c>
      <c r="L24" s="39">
        <v>1518</v>
      </c>
      <c r="M24" s="39">
        <v>1406</v>
      </c>
      <c r="N24" s="39">
        <v>1529</v>
      </c>
      <c r="O24" s="24">
        <v>1458</v>
      </c>
      <c r="P24" s="479"/>
      <c r="Q24" s="512" t="s">
        <v>69</v>
      </c>
      <c r="R24" s="458"/>
      <c r="S24" s="458"/>
      <c r="T24" s="458"/>
      <c r="U24" s="25" t="s">
        <v>6</v>
      </c>
      <c r="V24" s="39">
        <v>1479</v>
      </c>
      <c r="W24" s="39">
        <v>1376</v>
      </c>
      <c r="X24" s="39">
        <v>1434</v>
      </c>
      <c r="Y24" s="39">
        <v>1329</v>
      </c>
      <c r="Z24" s="39">
        <v>1524</v>
      </c>
      <c r="AA24" s="39">
        <v>1415</v>
      </c>
      <c r="AB24" s="39">
        <v>1448</v>
      </c>
      <c r="AC24" s="24">
        <v>1403</v>
      </c>
      <c r="AD24" s="479"/>
      <c r="AE24" s="512" t="s">
        <v>69</v>
      </c>
      <c r="AF24" s="458"/>
      <c r="AG24" s="458"/>
      <c r="AH24" s="458"/>
      <c r="AI24" s="25" t="s">
        <v>6</v>
      </c>
      <c r="AJ24" s="39">
        <v>1501</v>
      </c>
      <c r="AK24" s="39">
        <v>1362</v>
      </c>
      <c r="AL24" s="39">
        <v>1259</v>
      </c>
      <c r="AM24" s="39">
        <v>1328</v>
      </c>
      <c r="AN24" s="39">
        <v>1462</v>
      </c>
      <c r="AO24" s="39">
        <v>1442</v>
      </c>
      <c r="AP24" s="39">
        <v>1422</v>
      </c>
      <c r="AQ24" s="24">
        <v>1379</v>
      </c>
      <c r="AR24" s="479"/>
      <c r="AS24" s="512" t="s">
        <v>69</v>
      </c>
      <c r="AT24" s="458"/>
      <c r="AU24" s="458"/>
      <c r="AV24" s="458"/>
      <c r="AW24" s="25" t="s">
        <v>6</v>
      </c>
      <c r="AX24" s="39">
        <v>1472</v>
      </c>
      <c r="AY24" s="39">
        <v>1441</v>
      </c>
      <c r="AZ24" s="39">
        <v>1504</v>
      </c>
      <c r="BA24" s="39">
        <v>1414</v>
      </c>
      <c r="BB24" s="39">
        <v>1482</v>
      </c>
      <c r="BC24" s="39">
        <v>1401</v>
      </c>
      <c r="BD24" s="39">
        <v>1471</v>
      </c>
      <c r="BE24" s="24">
        <v>1379</v>
      </c>
      <c r="BF24" s="479"/>
      <c r="BG24" s="512" t="s">
        <v>69</v>
      </c>
      <c r="BH24" s="458"/>
      <c r="BI24" s="458"/>
      <c r="BJ24" s="458"/>
      <c r="BK24" s="25" t="s">
        <v>6</v>
      </c>
      <c r="BL24" s="39">
        <v>1513</v>
      </c>
      <c r="BM24" s="39">
        <v>1354</v>
      </c>
      <c r="BN24" s="39">
        <v>1351</v>
      </c>
      <c r="BO24" s="39">
        <v>1178.3</v>
      </c>
      <c r="BP24" s="39">
        <v>1453</v>
      </c>
      <c r="BQ24" s="39">
        <v>1394</v>
      </c>
      <c r="BR24" s="39">
        <v>1212</v>
      </c>
      <c r="BS24" s="24">
        <v>1096</v>
      </c>
      <c r="BT24" s="479"/>
      <c r="BU24" s="512" t="s">
        <v>69</v>
      </c>
      <c r="BV24" s="458"/>
      <c r="BW24" s="458"/>
      <c r="BX24" s="458"/>
      <c r="BY24" s="25" t="s">
        <v>6</v>
      </c>
      <c r="BZ24" s="24">
        <v>1415</v>
      </c>
      <c r="CA24" s="24">
        <v>1297</v>
      </c>
      <c r="CB24" s="24">
        <v>1357</v>
      </c>
      <c r="CC24" s="39">
        <v>1301</v>
      </c>
      <c r="CD24" s="39">
        <v>1347</v>
      </c>
      <c r="CE24" s="39">
        <v>1313</v>
      </c>
      <c r="CF24" s="39">
        <v>1381</v>
      </c>
      <c r="CG24" s="24">
        <v>1284</v>
      </c>
      <c r="CH24" s="479"/>
      <c r="CI24" s="512" t="s">
        <v>69</v>
      </c>
      <c r="CJ24" s="458"/>
      <c r="CK24" s="458"/>
      <c r="CL24" s="458"/>
      <c r="CM24" s="25" t="s">
        <v>6</v>
      </c>
      <c r="CN24" s="24">
        <v>1333</v>
      </c>
      <c r="CO24" s="24">
        <v>1077</v>
      </c>
      <c r="CP24" s="24">
        <v>1431</v>
      </c>
      <c r="CQ24" s="39">
        <v>1414</v>
      </c>
      <c r="CR24" s="39">
        <v>1466</v>
      </c>
      <c r="CS24" s="39">
        <v>1347</v>
      </c>
      <c r="CT24" s="39">
        <v>1457</v>
      </c>
      <c r="CU24" s="24">
        <v>1328</v>
      </c>
      <c r="CV24" s="479"/>
      <c r="CW24" s="512" t="s">
        <v>69</v>
      </c>
      <c r="CX24" s="458"/>
      <c r="CY24" s="458"/>
      <c r="CZ24" s="458"/>
      <c r="DA24" s="25" t="s">
        <v>6</v>
      </c>
      <c r="DB24" s="24">
        <v>1441</v>
      </c>
      <c r="DC24" s="24">
        <v>1326</v>
      </c>
      <c r="DD24" s="24">
        <v>1443</v>
      </c>
      <c r="DE24" s="39">
        <v>1370</v>
      </c>
      <c r="DF24" s="98"/>
      <c r="DG24" s="62"/>
      <c r="DH24" s="62"/>
      <c r="DI24" s="62"/>
      <c r="DJ24" s="492"/>
      <c r="DK24" s="512" t="s">
        <v>69</v>
      </c>
      <c r="DL24" s="458"/>
      <c r="DM24" s="458"/>
      <c r="DN24" s="458"/>
      <c r="DO24" s="25" t="s">
        <v>6</v>
      </c>
      <c r="DP24" s="532">
        <v>1282</v>
      </c>
      <c r="DQ24" s="594"/>
      <c r="DR24" s="594"/>
      <c r="DS24" s="533"/>
      <c r="DT24" s="71">
        <v>1179</v>
      </c>
      <c r="DU24" s="532">
        <v>1269</v>
      </c>
      <c r="DV24" s="594"/>
      <c r="DW24" s="594"/>
      <c r="DX24" s="533"/>
      <c r="DY24" s="71">
        <v>1225</v>
      </c>
      <c r="DZ24" s="532">
        <v>1180</v>
      </c>
      <c r="EA24" s="594"/>
      <c r="EB24" s="594"/>
      <c r="EC24" s="533"/>
      <c r="ED24" s="71">
        <v>1029</v>
      </c>
      <c r="EE24" s="532">
        <v>1314</v>
      </c>
      <c r="EF24" s="594"/>
      <c r="EG24" s="594"/>
      <c r="EH24" s="533"/>
      <c r="EI24" s="84">
        <v>1161</v>
      </c>
      <c r="EJ24" s="492"/>
      <c r="EK24" s="512" t="s">
        <v>69</v>
      </c>
      <c r="EL24" s="458"/>
      <c r="EM24" s="458"/>
      <c r="EN24" s="458"/>
      <c r="EO24" s="25" t="s">
        <v>6</v>
      </c>
      <c r="EP24" s="532">
        <v>1310</v>
      </c>
      <c r="EQ24" s="594"/>
      <c r="ER24" s="594"/>
      <c r="ES24" s="533"/>
      <c r="ET24" s="71">
        <v>1215</v>
      </c>
      <c r="EU24" s="532">
        <v>1302.7</v>
      </c>
      <c r="EV24" s="594"/>
      <c r="EW24" s="594"/>
      <c r="EX24" s="533"/>
      <c r="EY24" s="71">
        <v>1220</v>
      </c>
      <c r="EZ24" s="532">
        <v>1303.5999999999999</v>
      </c>
      <c r="FA24" s="594"/>
      <c r="FB24" s="594"/>
      <c r="FC24" s="533"/>
      <c r="FD24" s="71">
        <v>1249</v>
      </c>
      <c r="FE24" s="532">
        <v>1202</v>
      </c>
      <c r="FF24" s="594"/>
      <c r="FG24" s="594"/>
      <c r="FH24" s="533"/>
      <c r="FI24" s="84">
        <v>1201</v>
      </c>
      <c r="FJ24" s="24"/>
      <c r="FK24" s="492"/>
      <c r="FL24" s="512" t="s">
        <v>69</v>
      </c>
      <c r="FM24" s="458"/>
      <c r="FN24" s="458"/>
      <c r="FO24" s="458"/>
      <c r="FP24" s="25" t="s">
        <v>6</v>
      </c>
      <c r="FQ24" s="532">
        <v>1189</v>
      </c>
      <c r="FR24" s="594"/>
      <c r="FS24" s="594"/>
      <c r="FT24" s="533"/>
      <c r="FU24" s="71">
        <v>1200</v>
      </c>
      <c r="FV24" s="532">
        <v>1299</v>
      </c>
      <c r="FW24" s="594"/>
      <c r="FX24" s="594"/>
      <c r="FY24" s="533"/>
      <c r="FZ24" s="71">
        <v>1247</v>
      </c>
      <c r="GA24" s="532">
        <v>1340.7</v>
      </c>
      <c r="GB24" s="594"/>
      <c r="GC24" s="594"/>
      <c r="GD24" s="533"/>
      <c r="GE24" s="24">
        <v>1300</v>
      </c>
      <c r="GF24" s="532">
        <v>1228</v>
      </c>
      <c r="GG24" s="594"/>
      <c r="GH24" s="594"/>
      <c r="GI24" s="533"/>
      <c r="GJ24" s="24">
        <v>1178</v>
      </c>
      <c r="GK24" s="492"/>
      <c r="GL24" s="512" t="s">
        <v>69</v>
      </c>
      <c r="GM24" s="458"/>
      <c r="GN24" s="458"/>
      <c r="GO24" s="458"/>
      <c r="GP24" s="25" t="s">
        <v>6</v>
      </c>
      <c r="GQ24" s="532">
        <v>1187</v>
      </c>
      <c r="GR24" s="594"/>
      <c r="GS24" s="594"/>
      <c r="GT24" s="533"/>
      <c r="GU24" s="24">
        <v>1159</v>
      </c>
      <c r="GV24" s="532">
        <v>1362</v>
      </c>
      <c r="GW24" s="594"/>
      <c r="GX24" s="594"/>
      <c r="GY24" s="533"/>
      <c r="GZ24" s="24">
        <v>1285</v>
      </c>
      <c r="HA24" s="532">
        <v>1406</v>
      </c>
      <c r="HB24" s="594"/>
      <c r="HC24" s="594"/>
      <c r="HD24" s="533"/>
      <c r="HE24" s="24">
        <v>1344</v>
      </c>
      <c r="HF24" s="532">
        <v>1251</v>
      </c>
      <c r="HG24" s="594"/>
      <c r="HH24" s="594"/>
      <c r="HI24" s="533"/>
      <c r="HJ24" s="94">
        <v>1219</v>
      </c>
      <c r="HK24" s="492"/>
      <c r="HL24" s="512" t="s">
        <v>69</v>
      </c>
      <c r="HM24" s="458"/>
      <c r="HN24" s="458"/>
      <c r="HO24" s="458"/>
      <c r="HP24" s="25" t="s">
        <v>6</v>
      </c>
      <c r="HQ24" s="532">
        <v>1208</v>
      </c>
      <c r="HR24" s="594"/>
      <c r="HS24" s="594"/>
      <c r="HT24" s="533"/>
      <c r="HU24" s="24">
        <v>1141</v>
      </c>
      <c r="HV24" s="532">
        <v>1302</v>
      </c>
      <c r="HW24" s="594"/>
      <c r="HX24" s="594"/>
      <c r="HY24" s="533"/>
      <c r="HZ24" s="24">
        <v>1288</v>
      </c>
      <c r="IA24" s="532">
        <v>1175</v>
      </c>
      <c r="IB24" s="594"/>
      <c r="IC24" s="594"/>
      <c r="ID24" s="533"/>
      <c r="IE24" s="24">
        <v>1136</v>
      </c>
      <c r="IF24" s="532">
        <v>1282</v>
      </c>
      <c r="IG24" s="594"/>
      <c r="IH24" s="594"/>
      <c r="II24" s="533"/>
      <c r="IJ24" s="24">
        <v>1217</v>
      </c>
      <c r="IK24" s="492"/>
      <c r="IL24" s="512" t="s">
        <v>69</v>
      </c>
      <c r="IM24" s="458"/>
      <c r="IN24" s="458"/>
      <c r="IO24" s="458"/>
      <c r="IP24" s="25" t="s">
        <v>6</v>
      </c>
      <c r="IQ24" s="532">
        <v>1331</v>
      </c>
      <c r="IR24" s="594"/>
      <c r="IS24" s="594"/>
      <c r="IT24" s="533"/>
      <c r="IU24" s="24">
        <v>1212</v>
      </c>
      <c r="IV24" s="532">
        <v>1312</v>
      </c>
      <c r="IW24" s="594"/>
      <c r="IX24" s="594"/>
      <c r="IY24" s="533"/>
      <c r="IZ24" s="24">
        <v>1254</v>
      </c>
      <c r="JA24" s="532">
        <v>1246</v>
      </c>
      <c r="JB24" s="594"/>
      <c r="JC24" s="594"/>
      <c r="JD24" s="533"/>
      <c r="JE24" s="24">
        <v>1233</v>
      </c>
      <c r="JF24" s="532">
        <v>1190</v>
      </c>
      <c r="JG24" s="594"/>
      <c r="JH24" s="594"/>
      <c r="JI24" s="533"/>
      <c r="JJ24" s="24">
        <v>1107</v>
      </c>
      <c r="JK24" s="492"/>
      <c r="JL24" s="512" t="s">
        <v>69</v>
      </c>
      <c r="JM24" s="458"/>
      <c r="JN24" s="458"/>
      <c r="JO24" s="458"/>
      <c r="JP24" s="25" t="s">
        <v>6</v>
      </c>
      <c r="JQ24" s="532">
        <v>1356.7</v>
      </c>
      <c r="JR24" s="594"/>
      <c r="JS24" s="594"/>
      <c r="JT24" s="533"/>
      <c r="JU24" s="24">
        <v>1271</v>
      </c>
      <c r="JV24" s="532">
        <v>1326</v>
      </c>
      <c r="JW24" s="594"/>
      <c r="JX24" s="594"/>
      <c r="JY24" s="533"/>
      <c r="JZ24" s="24">
        <v>1241</v>
      </c>
      <c r="KA24" s="532">
        <v>1461</v>
      </c>
      <c r="KB24" s="594"/>
      <c r="KC24" s="594"/>
      <c r="KD24" s="533"/>
      <c r="KE24" s="84">
        <v>1403</v>
      </c>
      <c r="KF24" s="119"/>
      <c r="KG24" s="532">
        <v>1429</v>
      </c>
      <c r="KH24" s="594"/>
      <c r="KI24" s="594"/>
      <c r="KJ24" s="533"/>
      <c r="KK24" s="24">
        <v>1318</v>
      </c>
      <c r="KL24" s="492"/>
      <c r="KM24" s="512" t="s">
        <v>69</v>
      </c>
      <c r="KN24" s="458"/>
      <c r="KO24" s="458"/>
      <c r="KP24" s="458"/>
      <c r="KQ24" s="25" t="s">
        <v>6</v>
      </c>
      <c r="KR24" s="532">
        <v>1313</v>
      </c>
      <c r="KS24" s="594"/>
      <c r="KT24" s="594"/>
      <c r="KU24" s="533"/>
      <c r="KV24" s="24">
        <v>1276</v>
      </c>
      <c r="KW24" s="532">
        <v>1340</v>
      </c>
      <c r="KX24" s="594"/>
      <c r="KY24" s="594"/>
      <c r="KZ24" s="533"/>
      <c r="LA24" s="24">
        <v>1304</v>
      </c>
      <c r="LB24" s="532">
        <v>1402</v>
      </c>
      <c r="LC24" s="594"/>
      <c r="LD24" s="594"/>
      <c r="LE24" s="533"/>
      <c r="LF24" s="24">
        <v>1294</v>
      </c>
      <c r="LG24" s="532">
        <v>1572</v>
      </c>
      <c r="LH24" s="594"/>
      <c r="LI24" s="594"/>
      <c r="LJ24" s="533"/>
      <c r="LK24" s="84">
        <v>1451</v>
      </c>
      <c r="LL24" s="492"/>
      <c r="LM24" s="512" t="s">
        <v>69</v>
      </c>
      <c r="LN24" s="458"/>
      <c r="LO24" s="458"/>
      <c r="LP24" s="458"/>
      <c r="LQ24" s="25" t="s">
        <v>6</v>
      </c>
      <c r="LR24" s="532">
        <v>1386</v>
      </c>
      <c r="LS24" s="594"/>
      <c r="LT24" s="594"/>
      <c r="LU24" s="533"/>
      <c r="LV24" s="24">
        <v>1328</v>
      </c>
      <c r="LW24" s="532">
        <v>1447</v>
      </c>
      <c r="LX24" s="594"/>
      <c r="LY24" s="594"/>
      <c r="LZ24" s="533"/>
      <c r="MA24" s="84">
        <v>1418</v>
      </c>
      <c r="MB24" s="532">
        <v>1477</v>
      </c>
      <c r="MC24" s="594"/>
      <c r="MD24" s="594"/>
      <c r="ME24" s="533"/>
      <c r="MF24" s="141">
        <v>1377</v>
      </c>
      <c r="MG24" s="532">
        <v>1315</v>
      </c>
      <c r="MH24" s="594"/>
      <c r="MI24" s="594"/>
      <c r="MJ24" s="533"/>
      <c r="MK24" s="146"/>
      <c r="ML24" s="532"/>
      <c r="MM24" s="594"/>
      <c r="MN24" s="594"/>
      <c r="MO24" s="533"/>
      <c r="MP24" s="24">
        <v>1301</v>
      </c>
      <c r="MQ24" s="492"/>
      <c r="MR24" s="512" t="s">
        <v>69</v>
      </c>
      <c r="MS24" s="458"/>
      <c r="MT24" s="458"/>
      <c r="MU24" s="458"/>
      <c r="MV24" s="25" t="s">
        <v>6</v>
      </c>
      <c r="MW24" s="532">
        <v>1583</v>
      </c>
      <c r="MX24" s="594"/>
      <c r="MY24" s="594"/>
      <c r="MZ24" s="533"/>
      <c r="NA24" s="84">
        <v>1537</v>
      </c>
      <c r="NB24" s="532">
        <v>1489</v>
      </c>
      <c r="NC24" s="594"/>
      <c r="ND24" s="594"/>
      <c r="NE24" s="533"/>
      <c r="NF24" s="84">
        <v>1488</v>
      </c>
      <c r="NG24" s="532">
        <v>1507</v>
      </c>
      <c r="NH24" s="594"/>
      <c r="NI24" s="594"/>
      <c r="NJ24" s="533"/>
      <c r="NK24" s="84">
        <v>1461</v>
      </c>
      <c r="NL24" s="532">
        <v>1396</v>
      </c>
      <c r="NM24" s="594"/>
      <c r="NN24" s="594"/>
      <c r="NO24" s="533"/>
      <c r="NP24" s="24">
        <v>1268</v>
      </c>
      <c r="NQ24" s="24"/>
      <c r="NR24" s="492"/>
      <c r="NS24" s="512" t="s">
        <v>69</v>
      </c>
      <c r="NT24" s="458"/>
      <c r="NU24" s="458"/>
      <c r="NV24" s="458"/>
      <c r="NW24" s="25" t="s">
        <v>6</v>
      </c>
      <c r="NX24" s="532">
        <v>1490</v>
      </c>
      <c r="NY24" s="594"/>
      <c r="NZ24" s="594"/>
      <c r="OA24" s="533"/>
      <c r="OB24" s="84">
        <v>1448</v>
      </c>
      <c r="OC24" s="532">
        <v>1482</v>
      </c>
      <c r="OD24" s="594"/>
      <c r="OE24" s="594"/>
      <c r="OF24" s="533"/>
      <c r="OG24" s="84">
        <v>1427</v>
      </c>
      <c r="OH24" s="532">
        <v>1421</v>
      </c>
      <c r="OI24" s="594"/>
      <c r="OJ24" s="594"/>
      <c r="OK24" s="533"/>
      <c r="OL24" s="84">
        <v>1242</v>
      </c>
      <c r="OM24" s="532">
        <v>1387</v>
      </c>
      <c r="ON24" s="594"/>
      <c r="OO24" s="594"/>
      <c r="OP24" s="533"/>
      <c r="OQ24" s="24">
        <v>1337</v>
      </c>
      <c r="OR24" s="24"/>
      <c r="OS24" s="492"/>
      <c r="OT24" s="512" t="s">
        <v>69</v>
      </c>
      <c r="OU24" s="458"/>
      <c r="OV24" s="458"/>
      <c r="OW24" s="458"/>
      <c r="OX24" s="25" t="s">
        <v>6</v>
      </c>
      <c r="OY24" s="532">
        <v>1515</v>
      </c>
      <c r="OZ24" s="594"/>
      <c r="PA24" s="594"/>
      <c r="PB24" s="533"/>
      <c r="PC24" s="84">
        <v>1439</v>
      </c>
      <c r="PD24" s="532">
        <v>1415</v>
      </c>
      <c r="PE24" s="594"/>
      <c r="PF24" s="594"/>
      <c r="PG24" s="533"/>
      <c r="PH24" s="84">
        <v>1363</v>
      </c>
      <c r="PI24" s="532">
        <v>1576</v>
      </c>
      <c r="PJ24" s="594"/>
      <c r="PK24" s="594"/>
      <c r="PL24" s="533"/>
      <c r="PM24" s="84">
        <v>1526</v>
      </c>
      <c r="PN24" s="532">
        <v>1651</v>
      </c>
      <c r="PO24" s="594"/>
      <c r="PP24" s="594"/>
      <c r="PQ24" s="533"/>
      <c r="PR24" s="84">
        <v>1559</v>
      </c>
      <c r="PS24" s="62"/>
      <c r="PT24" s="492"/>
      <c r="PU24" s="512" t="s">
        <v>69</v>
      </c>
      <c r="PV24" s="458"/>
      <c r="PW24" s="458"/>
      <c r="PX24" s="458"/>
      <c r="PY24" s="25" t="s">
        <v>6</v>
      </c>
      <c r="PZ24" s="532">
        <v>1521</v>
      </c>
      <c r="QA24" s="594"/>
      <c r="QB24" s="594"/>
      <c r="QC24" s="533"/>
      <c r="QD24" s="84">
        <v>1367</v>
      </c>
      <c r="QE24" s="532">
        <v>1417</v>
      </c>
      <c r="QF24" s="594"/>
      <c r="QG24" s="594"/>
      <c r="QH24" s="533"/>
      <c r="QI24" s="84">
        <v>1179</v>
      </c>
      <c r="QJ24" s="532">
        <f>QJ23+QJ26</f>
        <v>1586.9</v>
      </c>
      <c r="QK24" s="594"/>
      <c r="QL24" s="594"/>
      <c r="QM24" s="533"/>
      <c r="QN24" s="84">
        <v>1537</v>
      </c>
      <c r="QO24" s="532">
        <v>1607</v>
      </c>
      <c r="QP24" s="594"/>
      <c r="QQ24" s="594"/>
      <c r="QR24" s="533"/>
      <c r="QS24" s="84">
        <v>1514</v>
      </c>
      <c r="QT24" s="492"/>
      <c r="QU24" s="512" t="s">
        <v>69</v>
      </c>
      <c r="QV24" s="458"/>
      <c r="QW24" s="458"/>
      <c r="QX24" s="458"/>
      <c r="QY24" s="25" t="s">
        <v>6</v>
      </c>
      <c r="QZ24" s="532">
        <v>1538</v>
      </c>
      <c r="RA24" s="594"/>
      <c r="RB24" s="594"/>
      <c r="RC24" s="533"/>
      <c r="RD24" s="84">
        <v>1358</v>
      </c>
      <c r="RE24" s="532">
        <v>1532</v>
      </c>
      <c r="RF24" s="594"/>
      <c r="RG24" s="594"/>
      <c r="RH24" s="533"/>
      <c r="RI24" s="84">
        <v>1361</v>
      </c>
      <c r="RJ24" s="532">
        <v>1456</v>
      </c>
      <c r="RK24" s="594"/>
      <c r="RL24" s="594"/>
      <c r="RM24" s="533"/>
      <c r="RN24" s="84">
        <v>1328</v>
      </c>
      <c r="RO24" s="532">
        <v>1472</v>
      </c>
      <c r="RP24" s="594"/>
      <c r="RQ24" s="594"/>
      <c r="RR24" s="533"/>
      <c r="RS24" s="84">
        <v>1323</v>
      </c>
      <c r="RT24" s="84"/>
      <c r="RU24" s="492"/>
      <c r="RV24" s="512" t="s">
        <v>69</v>
      </c>
      <c r="RW24" s="458"/>
      <c r="RX24" s="458"/>
      <c r="RY24" s="458"/>
      <c r="RZ24" s="25" t="s">
        <v>6</v>
      </c>
      <c r="SA24" s="532">
        <v>1479</v>
      </c>
      <c r="SB24" s="594"/>
      <c r="SC24" s="594"/>
      <c r="SD24" s="533"/>
      <c r="SE24" s="84">
        <v>1176</v>
      </c>
      <c r="SF24" s="532">
        <v>1412</v>
      </c>
      <c r="SG24" s="594"/>
      <c r="SH24" s="594"/>
      <c r="SI24" s="533"/>
      <c r="SJ24" s="84">
        <v>1388</v>
      </c>
      <c r="SK24" s="532">
        <v>1414</v>
      </c>
      <c r="SL24" s="594"/>
      <c r="SM24" s="594"/>
      <c r="SN24" s="533"/>
      <c r="SO24" s="84">
        <v>1349</v>
      </c>
      <c r="SP24" s="532">
        <v>1443</v>
      </c>
      <c r="SQ24" s="594"/>
      <c r="SR24" s="594"/>
      <c r="SS24" s="533"/>
      <c r="ST24" s="84">
        <v>1424</v>
      </c>
      <c r="SU24" s="492"/>
      <c r="SV24" s="512" t="s">
        <v>69</v>
      </c>
      <c r="SW24" s="458"/>
      <c r="SX24" s="458"/>
      <c r="SY24" s="458"/>
      <c r="SZ24" s="25" t="s">
        <v>6</v>
      </c>
      <c r="TA24" s="532">
        <v>1446</v>
      </c>
      <c r="TB24" s="594"/>
      <c r="TC24" s="594"/>
      <c r="TD24" s="533"/>
      <c r="TE24" s="84">
        <v>1419</v>
      </c>
      <c r="TF24" s="532">
        <v>1460</v>
      </c>
      <c r="TG24" s="594"/>
      <c r="TH24" s="594"/>
      <c r="TI24" s="533"/>
      <c r="TJ24" s="84">
        <v>1442</v>
      </c>
      <c r="TK24" s="532">
        <v>1422</v>
      </c>
      <c r="TL24" s="594"/>
      <c r="TM24" s="594"/>
      <c r="TN24" s="533"/>
      <c r="TO24" s="84">
        <v>1337</v>
      </c>
      <c r="TP24" s="532"/>
      <c r="TQ24" s="594"/>
      <c r="TR24" s="594"/>
      <c r="TS24" s="533"/>
      <c r="TT24" s="84"/>
    </row>
    <row r="25" spans="2:540" ht="45" customHeight="1" x14ac:dyDescent="0.4">
      <c r="B25" s="479"/>
      <c r="C25" s="26"/>
      <c r="D25" s="644" t="s">
        <v>5</v>
      </c>
      <c r="E25" s="645"/>
      <c r="F25" s="645"/>
      <c r="G25" s="645"/>
      <c r="H25" s="40">
        <v>784</v>
      </c>
      <c r="I25" s="27">
        <v>712</v>
      </c>
      <c r="J25" s="40">
        <v>778</v>
      </c>
      <c r="K25" s="27">
        <v>632</v>
      </c>
      <c r="L25" s="40">
        <v>786</v>
      </c>
      <c r="M25" s="40">
        <v>645</v>
      </c>
      <c r="N25" s="40">
        <v>786</v>
      </c>
      <c r="O25" s="27">
        <v>716</v>
      </c>
      <c r="P25" s="479"/>
      <c r="Q25" s="26"/>
      <c r="R25" s="644" t="s">
        <v>5</v>
      </c>
      <c r="S25" s="645"/>
      <c r="T25" s="645"/>
      <c r="U25" s="645"/>
      <c r="V25" s="40">
        <v>783</v>
      </c>
      <c r="W25" s="40">
        <v>702</v>
      </c>
      <c r="X25" s="40">
        <v>736</v>
      </c>
      <c r="Y25" s="40">
        <v>650</v>
      </c>
      <c r="Z25" s="40">
        <v>781</v>
      </c>
      <c r="AA25" s="40">
        <v>689</v>
      </c>
      <c r="AB25" s="40">
        <v>706</v>
      </c>
      <c r="AC25" s="27">
        <v>671</v>
      </c>
      <c r="AD25" s="479"/>
      <c r="AE25" s="26"/>
      <c r="AF25" s="644" t="s">
        <v>5</v>
      </c>
      <c r="AG25" s="645"/>
      <c r="AH25" s="645"/>
      <c r="AI25" s="645"/>
      <c r="AJ25" s="40">
        <v>759</v>
      </c>
      <c r="AK25" s="40">
        <v>603</v>
      </c>
      <c r="AL25" s="40">
        <v>566</v>
      </c>
      <c r="AM25" s="40">
        <v>638</v>
      </c>
      <c r="AN25" s="40">
        <v>728</v>
      </c>
      <c r="AO25" s="40">
        <v>729</v>
      </c>
      <c r="AP25" s="40">
        <v>681</v>
      </c>
      <c r="AQ25" s="27">
        <v>653</v>
      </c>
      <c r="AR25" s="479"/>
      <c r="AS25" s="26"/>
      <c r="AT25" s="644" t="s">
        <v>5</v>
      </c>
      <c r="AU25" s="645"/>
      <c r="AV25" s="645"/>
      <c r="AW25" s="645"/>
      <c r="AX25" s="40">
        <v>730</v>
      </c>
      <c r="AY25" s="40">
        <v>713</v>
      </c>
      <c r="AZ25" s="40">
        <v>752</v>
      </c>
      <c r="BA25" s="40">
        <v>685</v>
      </c>
      <c r="BB25" s="40">
        <v>784</v>
      </c>
      <c r="BC25" s="40">
        <v>708</v>
      </c>
      <c r="BD25" s="40">
        <v>775</v>
      </c>
      <c r="BE25" s="27">
        <v>699</v>
      </c>
      <c r="BF25" s="479"/>
      <c r="BG25" s="26"/>
      <c r="BH25" s="644" t="s">
        <v>5</v>
      </c>
      <c r="BI25" s="645"/>
      <c r="BJ25" s="645"/>
      <c r="BK25" s="645"/>
      <c r="BL25" s="40">
        <v>752</v>
      </c>
      <c r="BM25" s="40">
        <v>592</v>
      </c>
      <c r="BN25" s="40">
        <v>581</v>
      </c>
      <c r="BO25" s="40">
        <v>323</v>
      </c>
      <c r="BP25" s="40">
        <v>798</v>
      </c>
      <c r="BQ25" s="40">
        <v>762</v>
      </c>
      <c r="BR25" s="40">
        <v>558</v>
      </c>
      <c r="BS25" s="27">
        <v>461</v>
      </c>
      <c r="BT25" s="479"/>
      <c r="BU25" s="26"/>
      <c r="BV25" s="644" t="s">
        <v>5</v>
      </c>
      <c r="BW25" s="645"/>
      <c r="BX25" s="645"/>
      <c r="BY25" s="645"/>
      <c r="BZ25" s="27">
        <v>760</v>
      </c>
      <c r="CA25" s="27">
        <v>681</v>
      </c>
      <c r="CB25" s="27">
        <v>721</v>
      </c>
      <c r="CC25" s="40">
        <v>684</v>
      </c>
      <c r="CD25" s="40">
        <v>720</v>
      </c>
      <c r="CE25" s="40">
        <v>689</v>
      </c>
      <c r="CF25" s="40">
        <v>750</v>
      </c>
      <c r="CG25" s="27">
        <v>677</v>
      </c>
      <c r="CH25" s="479"/>
      <c r="CI25" s="26"/>
      <c r="CJ25" s="644" t="s">
        <v>5</v>
      </c>
      <c r="CK25" s="645"/>
      <c r="CL25" s="645"/>
      <c r="CM25" s="645"/>
      <c r="CN25" s="27">
        <v>697</v>
      </c>
      <c r="CO25" s="27">
        <v>389</v>
      </c>
      <c r="CP25" s="27">
        <v>730</v>
      </c>
      <c r="CQ25" s="40">
        <v>733</v>
      </c>
      <c r="CR25" s="40">
        <v>733</v>
      </c>
      <c r="CS25" s="40">
        <v>634</v>
      </c>
      <c r="CT25" s="40">
        <v>727</v>
      </c>
      <c r="CU25" s="27">
        <v>617</v>
      </c>
      <c r="CV25" s="479"/>
      <c r="CW25" s="26"/>
      <c r="CX25" s="644" t="s">
        <v>5</v>
      </c>
      <c r="CY25" s="645"/>
      <c r="CZ25" s="645"/>
      <c r="DA25" s="645"/>
      <c r="DB25" s="27">
        <v>753</v>
      </c>
      <c r="DC25" s="27">
        <v>649</v>
      </c>
      <c r="DD25" s="27">
        <v>755</v>
      </c>
      <c r="DE25" s="40">
        <v>683</v>
      </c>
      <c r="DF25" s="97"/>
      <c r="DG25" s="67"/>
      <c r="DH25" s="67"/>
      <c r="DI25" s="67"/>
      <c r="DJ25" s="54" t="s">
        <v>285</v>
      </c>
      <c r="DK25" s="26"/>
      <c r="DL25" s="644" t="s">
        <v>5</v>
      </c>
      <c r="DM25" s="645"/>
      <c r="DN25" s="645"/>
      <c r="DO25" s="645"/>
      <c r="DP25" s="540">
        <v>687</v>
      </c>
      <c r="DQ25" s="598"/>
      <c r="DR25" s="598"/>
      <c r="DS25" s="541"/>
      <c r="DT25" s="40">
        <v>593</v>
      </c>
      <c r="DU25" s="540">
        <v>680</v>
      </c>
      <c r="DV25" s="598"/>
      <c r="DW25" s="598"/>
      <c r="DX25" s="541"/>
      <c r="DY25" s="40">
        <v>600</v>
      </c>
      <c r="DZ25" s="540">
        <v>605</v>
      </c>
      <c r="EA25" s="598"/>
      <c r="EB25" s="598"/>
      <c r="EC25" s="541"/>
      <c r="ED25" s="40">
        <v>460</v>
      </c>
      <c r="EE25" s="540">
        <v>627</v>
      </c>
      <c r="EF25" s="598"/>
      <c r="EG25" s="598"/>
      <c r="EH25" s="541"/>
      <c r="EI25" s="27">
        <v>450</v>
      </c>
      <c r="EJ25" s="54" t="s">
        <v>285</v>
      </c>
      <c r="EK25" s="26"/>
      <c r="EL25" s="534" t="s">
        <v>5</v>
      </c>
      <c r="EM25" s="535"/>
      <c r="EN25" s="535"/>
      <c r="EO25" s="536"/>
      <c r="EP25" s="540">
        <v>643</v>
      </c>
      <c r="EQ25" s="598"/>
      <c r="ER25" s="598"/>
      <c r="ES25" s="541"/>
      <c r="ET25" s="40">
        <v>514</v>
      </c>
      <c r="EU25" s="540">
        <v>651.5</v>
      </c>
      <c r="EV25" s="598"/>
      <c r="EW25" s="598"/>
      <c r="EX25" s="541"/>
      <c r="EY25" s="40">
        <v>570</v>
      </c>
      <c r="EZ25" s="540">
        <v>655.20000000000005</v>
      </c>
      <c r="FA25" s="598"/>
      <c r="FB25" s="598"/>
      <c r="FC25" s="541"/>
      <c r="FD25" s="40">
        <v>607</v>
      </c>
      <c r="FE25" s="540">
        <v>576.5</v>
      </c>
      <c r="FF25" s="598"/>
      <c r="FG25" s="598"/>
      <c r="FH25" s="541"/>
      <c r="FI25" s="27">
        <v>588</v>
      </c>
      <c r="FJ25" s="27"/>
      <c r="FK25" s="54" t="s">
        <v>285</v>
      </c>
      <c r="FL25" s="26"/>
      <c r="FM25" s="534" t="s">
        <v>5</v>
      </c>
      <c r="FN25" s="535"/>
      <c r="FO25" s="535"/>
      <c r="FP25" s="536"/>
      <c r="FQ25" s="540">
        <v>597</v>
      </c>
      <c r="FR25" s="598"/>
      <c r="FS25" s="598"/>
      <c r="FT25" s="541"/>
      <c r="FU25" s="40">
        <v>541</v>
      </c>
      <c r="FV25" s="540">
        <v>656</v>
      </c>
      <c r="FW25" s="598"/>
      <c r="FX25" s="598"/>
      <c r="FY25" s="541"/>
      <c r="FZ25" s="40">
        <v>599</v>
      </c>
      <c r="GA25" s="540">
        <v>654</v>
      </c>
      <c r="GB25" s="598"/>
      <c r="GC25" s="598"/>
      <c r="GD25" s="541"/>
      <c r="GE25" s="27">
        <v>607</v>
      </c>
      <c r="GF25" s="540">
        <v>596</v>
      </c>
      <c r="GG25" s="598"/>
      <c r="GH25" s="598"/>
      <c r="GI25" s="541"/>
      <c r="GJ25" s="27">
        <v>528</v>
      </c>
      <c r="GK25" s="54" t="s">
        <v>285</v>
      </c>
      <c r="GL25" s="26"/>
      <c r="GM25" s="534" t="s">
        <v>5</v>
      </c>
      <c r="GN25" s="535"/>
      <c r="GO25" s="535"/>
      <c r="GP25" s="536"/>
      <c r="GQ25" s="540">
        <v>546</v>
      </c>
      <c r="GR25" s="598"/>
      <c r="GS25" s="598"/>
      <c r="GT25" s="541"/>
      <c r="GU25" s="27">
        <v>518</v>
      </c>
      <c r="GV25" s="540">
        <v>646</v>
      </c>
      <c r="GW25" s="598"/>
      <c r="GX25" s="598"/>
      <c r="GY25" s="541"/>
      <c r="GZ25" s="27">
        <v>555</v>
      </c>
      <c r="HA25" s="540">
        <v>654</v>
      </c>
      <c r="HB25" s="598"/>
      <c r="HC25" s="598"/>
      <c r="HD25" s="541"/>
      <c r="HE25" s="27">
        <v>579</v>
      </c>
      <c r="HF25" s="540">
        <v>605</v>
      </c>
      <c r="HG25" s="598"/>
      <c r="HH25" s="598"/>
      <c r="HI25" s="541"/>
      <c r="HJ25" s="93">
        <v>580</v>
      </c>
      <c r="HK25" s="54" t="s">
        <v>285</v>
      </c>
      <c r="HL25" s="26"/>
      <c r="HM25" s="534" t="s">
        <v>5</v>
      </c>
      <c r="HN25" s="535"/>
      <c r="HO25" s="535"/>
      <c r="HP25" s="536"/>
      <c r="HQ25" s="540">
        <v>565</v>
      </c>
      <c r="HR25" s="598"/>
      <c r="HS25" s="598"/>
      <c r="HT25" s="541"/>
      <c r="HU25" s="27">
        <v>460</v>
      </c>
      <c r="HV25" s="540">
        <v>611</v>
      </c>
      <c r="HW25" s="598"/>
      <c r="HX25" s="598"/>
      <c r="HY25" s="541"/>
      <c r="HZ25" s="27">
        <v>541</v>
      </c>
      <c r="IA25" s="540">
        <v>547</v>
      </c>
      <c r="IB25" s="598"/>
      <c r="IC25" s="598"/>
      <c r="ID25" s="541"/>
      <c r="IE25" s="27">
        <v>428</v>
      </c>
      <c r="IF25" s="540">
        <v>603</v>
      </c>
      <c r="IG25" s="598"/>
      <c r="IH25" s="598"/>
      <c r="II25" s="541"/>
      <c r="IJ25" s="27">
        <v>481</v>
      </c>
      <c r="IK25" s="54" t="s">
        <v>285</v>
      </c>
      <c r="IL25" s="26"/>
      <c r="IM25" s="534" t="s">
        <v>5</v>
      </c>
      <c r="IN25" s="535"/>
      <c r="IO25" s="535"/>
      <c r="IP25" s="536"/>
      <c r="IQ25" s="540">
        <v>616</v>
      </c>
      <c r="IR25" s="598"/>
      <c r="IS25" s="598"/>
      <c r="IT25" s="541"/>
      <c r="IU25" s="27">
        <v>491</v>
      </c>
      <c r="IV25" s="540">
        <v>599</v>
      </c>
      <c r="IW25" s="598"/>
      <c r="IX25" s="598"/>
      <c r="IY25" s="541"/>
      <c r="IZ25" s="27">
        <v>555</v>
      </c>
      <c r="JA25" s="540">
        <v>529</v>
      </c>
      <c r="JB25" s="598"/>
      <c r="JC25" s="598"/>
      <c r="JD25" s="541"/>
      <c r="JE25" s="27">
        <v>523</v>
      </c>
      <c r="JF25" s="540">
        <v>473</v>
      </c>
      <c r="JG25" s="598"/>
      <c r="JH25" s="598"/>
      <c r="JI25" s="541"/>
      <c r="JJ25" s="27">
        <v>398</v>
      </c>
      <c r="JK25" s="54" t="s">
        <v>285</v>
      </c>
      <c r="JL25" s="26"/>
      <c r="JM25" s="534" t="s">
        <v>5</v>
      </c>
      <c r="JN25" s="535"/>
      <c r="JO25" s="535"/>
      <c r="JP25" s="536"/>
      <c r="JQ25" s="540">
        <v>632.6</v>
      </c>
      <c r="JR25" s="598"/>
      <c r="JS25" s="598"/>
      <c r="JT25" s="541"/>
      <c r="JU25" s="27">
        <v>561</v>
      </c>
      <c r="JV25" s="540">
        <v>603</v>
      </c>
      <c r="JW25" s="598"/>
      <c r="JX25" s="598"/>
      <c r="JY25" s="541"/>
      <c r="JZ25" s="27">
        <v>521</v>
      </c>
      <c r="KA25" s="540">
        <v>562</v>
      </c>
      <c r="KB25" s="598"/>
      <c r="KC25" s="598"/>
      <c r="KD25" s="541"/>
      <c r="KE25" s="27">
        <v>516</v>
      </c>
      <c r="KF25" s="122"/>
      <c r="KG25" s="540">
        <v>657</v>
      </c>
      <c r="KH25" s="598"/>
      <c r="KI25" s="598"/>
      <c r="KJ25" s="541"/>
      <c r="KK25" s="27">
        <v>539</v>
      </c>
      <c r="KL25" s="54" t="s">
        <v>285</v>
      </c>
      <c r="KM25" s="26"/>
      <c r="KN25" s="534" t="s">
        <v>5</v>
      </c>
      <c r="KO25" s="535"/>
      <c r="KP25" s="535"/>
      <c r="KQ25" s="536"/>
      <c r="KR25" s="540">
        <v>575</v>
      </c>
      <c r="KS25" s="598"/>
      <c r="KT25" s="598"/>
      <c r="KU25" s="541"/>
      <c r="KV25" s="27">
        <v>430</v>
      </c>
      <c r="KW25" s="540">
        <v>600</v>
      </c>
      <c r="KX25" s="598"/>
      <c r="KY25" s="598"/>
      <c r="KZ25" s="541"/>
      <c r="LA25" s="27">
        <v>563</v>
      </c>
      <c r="LB25" s="540">
        <v>673</v>
      </c>
      <c r="LC25" s="598"/>
      <c r="LD25" s="598"/>
      <c r="LE25" s="541"/>
      <c r="LF25" s="27">
        <v>559</v>
      </c>
      <c r="LG25" s="540">
        <v>745</v>
      </c>
      <c r="LH25" s="598"/>
      <c r="LI25" s="598"/>
      <c r="LJ25" s="541"/>
      <c r="LK25" s="27">
        <v>567</v>
      </c>
      <c r="LL25" s="54" t="s">
        <v>285</v>
      </c>
      <c r="LM25" s="26"/>
      <c r="LN25" s="534" t="s">
        <v>5</v>
      </c>
      <c r="LO25" s="535"/>
      <c r="LP25" s="535"/>
      <c r="LQ25" s="536"/>
      <c r="LR25" s="540">
        <v>646</v>
      </c>
      <c r="LS25" s="598"/>
      <c r="LT25" s="598"/>
      <c r="LU25" s="541"/>
      <c r="LV25" s="27">
        <v>535</v>
      </c>
      <c r="LW25" s="540">
        <v>734</v>
      </c>
      <c r="LX25" s="598"/>
      <c r="LY25" s="598"/>
      <c r="LZ25" s="541"/>
      <c r="MA25" s="27">
        <v>634</v>
      </c>
      <c r="MB25" s="540">
        <v>719</v>
      </c>
      <c r="MC25" s="598"/>
      <c r="MD25" s="598"/>
      <c r="ME25" s="541"/>
      <c r="MF25" s="136">
        <v>616</v>
      </c>
      <c r="MG25" s="540">
        <v>558</v>
      </c>
      <c r="MH25" s="598"/>
      <c r="MI25" s="598"/>
      <c r="MJ25" s="541"/>
      <c r="MK25" s="153"/>
      <c r="ML25" s="540"/>
      <c r="MM25" s="598"/>
      <c r="MN25" s="598"/>
      <c r="MO25" s="541"/>
      <c r="MP25" s="27">
        <v>531</v>
      </c>
      <c r="MQ25" s="54" t="s">
        <v>285</v>
      </c>
      <c r="MR25" s="26"/>
      <c r="MS25" s="534" t="s">
        <v>5</v>
      </c>
      <c r="MT25" s="535"/>
      <c r="MU25" s="535"/>
      <c r="MV25" s="536"/>
      <c r="MW25" s="540">
        <v>765</v>
      </c>
      <c r="MX25" s="598"/>
      <c r="MY25" s="598"/>
      <c r="MZ25" s="541"/>
      <c r="NA25" s="27">
        <v>697</v>
      </c>
      <c r="NB25" s="540">
        <v>695</v>
      </c>
      <c r="NC25" s="598"/>
      <c r="ND25" s="598"/>
      <c r="NE25" s="541"/>
      <c r="NF25" s="27">
        <v>676</v>
      </c>
      <c r="NG25" s="540">
        <v>770</v>
      </c>
      <c r="NH25" s="598"/>
      <c r="NI25" s="598"/>
      <c r="NJ25" s="541"/>
      <c r="NK25" s="27">
        <v>689</v>
      </c>
      <c r="NL25" s="540">
        <v>681</v>
      </c>
      <c r="NM25" s="598"/>
      <c r="NN25" s="598"/>
      <c r="NO25" s="541"/>
      <c r="NP25" s="27">
        <v>545</v>
      </c>
      <c r="NQ25" s="27"/>
      <c r="NR25" s="54" t="s">
        <v>285</v>
      </c>
      <c r="NS25" s="26"/>
      <c r="NT25" s="534" t="s">
        <v>5</v>
      </c>
      <c r="NU25" s="535"/>
      <c r="NV25" s="535"/>
      <c r="NW25" s="536"/>
      <c r="NX25" s="540">
        <v>775</v>
      </c>
      <c r="NY25" s="598"/>
      <c r="NZ25" s="598"/>
      <c r="OA25" s="541"/>
      <c r="OB25" s="27">
        <v>745</v>
      </c>
      <c r="OC25" s="540">
        <v>765</v>
      </c>
      <c r="OD25" s="598"/>
      <c r="OE25" s="598"/>
      <c r="OF25" s="541"/>
      <c r="OG25" s="27">
        <v>698</v>
      </c>
      <c r="OH25" s="540">
        <v>668</v>
      </c>
      <c r="OI25" s="598"/>
      <c r="OJ25" s="598"/>
      <c r="OK25" s="541"/>
      <c r="OL25" s="27">
        <v>460</v>
      </c>
      <c r="OM25" s="540">
        <v>638</v>
      </c>
      <c r="ON25" s="598"/>
      <c r="OO25" s="598"/>
      <c r="OP25" s="541"/>
      <c r="OQ25" s="27">
        <v>477</v>
      </c>
      <c r="OR25" s="27"/>
      <c r="OS25" s="54" t="s">
        <v>285</v>
      </c>
      <c r="OT25" s="26"/>
      <c r="OU25" s="534" t="s">
        <v>5</v>
      </c>
      <c r="OV25" s="535"/>
      <c r="OW25" s="535"/>
      <c r="OX25" s="536"/>
      <c r="OY25" s="540">
        <v>778</v>
      </c>
      <c r="OZ25" s="598"/>
      <c r="PA25" s="598"/>
      <c r="PB25" s="541"/>
      <c r="PC25" s="27">
        <v>656</v>
      </c>
      <c r="PD25" s="540">
        <v>681</v>
      </c>
      <c r="PE25" s="598"/>
      <c r="PF25" s="598"/>
      <c r="PG25" s="541"/>
      <c r="PH25" s="27">
        <v>591</v>
      </c>
      <c r="PI25" s="540">
        <v>840</v>
      </c>
      <c r="PJ25" s="598"/>
      <c r="PK25" s="598"/>
      <c r="PL25" s="541"/>
      <c r="PM25" s="27">
        <v>712</v>
      </c>
      <c r="PN25" s="540">
        <v>850</v>
      </c>
      <c r="PO25" s="598"/>
      <c r="PP25" s="598"/>
      <c r="PQ25" s="541"/>
      <c r="PR25" s="27">
        <v>743</v>
      </c>
      <c r="PS25" s="67"/>
      <c r="PT25" s="54" t="s">
        <v>285</v>
      </c>
      <c r="PU25" s="26"/>
      <c r="PV25" s="534" t="s">
        <v>5</v>
      </c>
      <c r="PW25" s="535"/>
      <c r="PX25" s="535"/>
      <c r="PY25" s="536"/>
      <c r="PZ25" s="540">
        <v>812</v>
      </c>
      <c r="QA25" s="598"/>
      <c r="QB25" s="598"/>
      <c r="QC25" s="541"/>
      <c r="QD25" s="27">
        <v>668</v>
      </c>
      <c r="QE25" s="540">
        <v>674.8</v>
      </c>
      <c r="QF25" s="598"/>
      <c r="QG25" s="598"/>
      <c r="QH25" s="541"/>
      <c r="QI25" s="27">
        <v>291</v>
      </c>
      <c r="QJ25" s="540">
        <v>836.5</v>
      </c>
      <c r="QK25" s="598"/>
      <c r="QL25" s="598"/>
      <c r="QM25" s="541"/>
      <c r="QN25" s="27">
        <v>765</v>
      </c>
      <c r="QO25" s="540">
        <v>814.8</v>
      </c>
      <c r="QP25" s="598"/>
      <c r="QQ25" s="598"/>
      <c r="QR25" s="541"/>
      <c r="QS25" s="27">
        <v>687</v>
      </c>
      <c r="QT25" s="54" t="s">
        <v>285</v>
      </c>
      <c r="QU25" s="26"/>
      <c r="QV25" s="534" t="s">
        <v>5</v>
      </c>
      <c r="QW25" s="535"/>
      <c r="QX25" s="535"/>
      <c r="QY25" s="536"/>
      <c r="QZ25" s="540">
        <v>827</v>
      </c>
      <c r="RA25" s="598"/>
      <c r="RB25" s="598"/>
      <c r="RC25" s="541"/>
      <c r="RD25" s="27">
        <v>656</v>
      </c>
      <c r="RE25" s="540">
        <v>824</v>
      </c>
      <c r="RF25" s="598"/>
      <c r="RG25" s="598"/>
      <c r="RH25" s="541"/>
      <c r="RI25" s="27">
        <v>656</v>
      </c>
      <c r="RJ25" s="540">
        <v>832</v>
      </c>
      <c r="RK25" s="598"/>
      <c r="RL25" s="598"/>
      <c r="RM25" s="541"/>
      <c r="RN25" s="27">
        <v>671</v>
      </c>
      <c r="RO25" s="540">
        <v>828</v>
      </c>
      <c r="RP25" s="598"/>
      <c r="RQ25" s="598"/>
      <c r="RR25" s="541"/>
      <c r="RS25" s="27">
        <v>638</v>
      </c>
      <c r="RT25" s="27"/>
      <c r="RU25" s="54" t="s">
        <v>285</v>
      </c>
      <c r="RV25" s="26"/>
      <c r="RW25" s="534" t="s">
        <v>5</v>
      </c>
      <c r="RX25" s="535"/>
      <c r="RY25" s="535"/>
      <c r="RZ25" s="536"/>
      <c r="SA25" s="540">
        <v>835.1</v>
      </c>
      <c r="SB25" s="598"/>
      <c r="SC25" s="598"/>
      <c r="SD25" s="541"/>
      <c r="SE25" s="27">
        <v>348</v>
      </c>
      <c r="SF25" s="540">
        <v>823</v>
      </c>
      <c r="SG25" s="598"/>
      <c r="SH25" s="598"/>
      <c r="SI25" s="541"/>
      <c r="SJ25" s="27">
        <v>808</v>
      </c>
      <c r="SK25" s="540">
        <v>823</v>
      </c>
      <c r="SL25" s="598"/>
      <c r="SM25" s="598"/>
      <c r="SN25" s="541"/>
      <c r="SO25" s="27">
        <v>770</v>
      </c>
      <c r="SP25" s="540">
        <v>823</v>
      </c>
      <c r="SQ25" s="598"/>
      <c r="SR25" s="598"/>
      <c r="SS25" s="541"/>
      <c r="ST25" s="27">
        <v>785</v>
      </c>
      <c r="SU25" s="54" t="s">
        <v>285</v>
      </c>
      <c r="SV25" s="26"/>
      <c r="SW25" s="534" t="s">
        <v>5</v>
      </c>
      <c r="SX25" s="535"/>
      <c r="SY25" s="535"/>
      <c r="SZ25" s="536"/>
      <c r="TA25" s="540">
        <v>823</v>
      </c>
      <c r="TB25" s="598"/>
      <c r="TC25" s="598"/>
      <c r="TD25" s="541"/>
      <c r="TE25" s="27">
        <v>768</v>
      </c>
      <c r="TF25" s="540">
        <v>824</v>
      </c>
      <c r="TG25" s="598"/>
      <c r="TH25" s="598"/>
      <c r="TI25" s="541"/>
      <c r="TJ25" s="27">
        <v>785</v>
      </c>
      <c r="TK25" s="540">
        <v>833</v>
      </c>
      <c r="TL25" s="598"/>
      <c r="TM25" s="598"/>
      <c r="TN25" s="541"/>
      <c r="TO25" s="27">
        <v>677</v>
      </c>
      <c r="TP25" s="540"/>
      <c r="TQ25" s="598"/>
      <c r="TR25" s="598"/>
      <c r="TS25" s="541"/>
      <c r="TT25" s="27"/>
    </row>
    <row r="26" spans="2:540" ht="69" customHeight="1" x14ac:dyDescent="0.4">
      <c r="B26" s="480"/>
      <c r="C26" s="542" t="s">
        <v>17</v>
      </c>
      <c r="D26" s="543"/>
      <c r="E26" s="543"/>
      <c r="F26" s="543"/>
      <c r="G26" s="21" t="s">
        <v>7</v>
      </c>
      <c r="H26" s="38">
        <v>115</v>
      </c>
      <c r="I26" s="22">
        <v>99</v>
      </c>
      <c r="J26" s="38">
        <v>129</v>
      </c>
      <c r="K26" s="22">
        <v>100</v>
      </c>
      <c r="L26" s="38">
        <v>138</v>
      </c>
      <c r="M26" s="38">
        <v>72</v>
      </c>
      <c r="N26" s="38">
        <v>169</v>
      </c>
      <c r="O26" s="22">
        <v>126</v>
      </c>
      <c r="P26" s="480"/>
      <c r="Q26" s="542" t="s">
        <v>17</v>
      </c>
      <c r="R26" s="543"/>
      <c r="S26" s="543"/>
      <c r="T26" s="543"/>
      <c r="U26" s="21" t="s">
        <v>7</v>
      </c>
      <c r="V26" s="38">
        <v>248</v>
      </c>
      <c r="W26" s="38">
        <v>197</v>
      </c>
      <c r="X26" s="38">
        <v>253</v>
      </c>
      <c r="Y26" s="38">
        <v>257</v>
      </c>
      <c r="Z26" s="38">
        <v>196</v>
      </c>
      <c r="AA26" s="38">
        <v>136</v>
      </c>
      <c r="AB26" s="38">
        <v>129</v>
      </c>
      <c r="AC26" s="22">
        <v>68</v>
      </c>
      <c r="AD26" s="480"/>
      <c r="AE26" s="542" t="s">
        <v>17</v>
      </c>
      <c r="AF26" s="543"/>
      <c r="AG26" s="543"/>
      <c r="AH26" s="543"/>
      <c r="AI26" s="21" t="s">
        <v>7</v>
      </c>
      <c r="AJ26" s="38">
        <v>152</v>
      </c>
      <c r="AK26" s="38">
        <v>102</v>
      </c>
      <c r="AL26" s="38">
        <v>69</v>
      </c>
      <c r="AM26" s="38">
        <v>90</v>
      </c>
      <c r="AN26" s="38">
        <v>155</v>
      </c>
      <c r="AO26" s="38">
        <v>143</v>
      </c>
      <c r="AP26" s="38">
        <v>73</v>
      </c>
      <c r="AQ26" s="22">
        <v>47</v>
      </c>
      <c r="AR26" s="480"/>
      <c r="AS26" s="542" t="s">
        <v>17</v>
      </c>
      <c r="AT26" s="543"/>
      <c r="AU26" s="543"/>
      <c r="AV26" s="543"/>
      <c r="AW26" s="21" t="s">
        <v>7</v>
      </c>
      <c r="AX26" s="38">
        <v>133</v>
      </c>
      <c r="AY26" s="38">
        <f>AY24-AY23</f>
        <v>121</v>
      </c>
      <c r="AZ26" s="38">
        <v>155</v>
      </c>
      <c r="BA26" s="38">
        <f>BA24-BA23</f>
        <v>116</v>
      </c>
      <c r="BB26" s="38">
        <f>BB24-BB23</f>
        <v>241</v>
      </c>
      <c r="BC26" s="38">
        <f>BC24-BC23</f>
        <v>203</v>
      </c>
      <c r="BD26" s="38">
        <v>250</v>
      </c>
      <c r="BE26" s="22">
        <v>225</v>
      </c>
      <c r="BF26" s="480"/>
      <c r="BG26" s="542" t="s">
        <v>17</v>
      </c>
      <c r="BH26" s="543"/>
      <c r="BI26" s="543"/>
      <c r="BJ26" s="543"/>
      <c r="BK26" s="21" t="s">
        <v>7</v>
      </c>
      <c r="BL26" s="38">
        <v>164</v>
      </c>
      <c r="BM26" s="38">
        <v>86</v>
      </c>
      <c r="BN26" s="38">
        <f>BN24-BN23</f>
        <v>30</v>
      </c>
      <c r="BO26" s="38">
        <v>0.3</v>
      </c>
      <c r="BP26" s="38">
        <v>210</v>
      </c>
      <c r="BQ26" s="38">
        <v>155</v>
      </c>
      <c r="BR26" s="38">
        <v>97</v>
      </c>
      <c r="BS26" s="22">
        <v>42</v>
      </c>
      <c r="BT26" s="480"/>
      <c r="BU26" s="542" t="s">
        <v>17</v>
      </c>
      <c r="BV26" s="543"/>
      <c r="BW26" s="543"/>
      <c r="BX26" s="543"/>
      <c r="BY26" s="21" t="s">
        <v>7</v>
      </c>
      <c r="BZ26" s="22">
        <v>226</v>
      </c>
      <c r="CA26" s="22">
        <v>189</v>
      </c>
      <c r="CB26" s="22">
        <v>208</v>
      </c>
      <c r="CC26" s="38">
        <v>190</v>
      </c>
      <c r="CD26" s="38">
        <v>208</v>
      </c>
      <c r="CE26" s="38">
        <v>173</v>
      </c>
      <c r="CF26" s="38">
        <v>217</v>
      </c>
      <c r="CG26" s="22">
        <v>129</v>
      </c>
      <c r="CH26" s="480"/>
      <c r="CI26" s="542" t="s">
        <v>17</v>
      </c>
      <c r="CJ26" s="543"/>
      <c r="CK26" s="543"/>
      <c r="CL26" s="543"/>
      <c r="CM26" s="21" t="s">
        <v>7</v>
      </c>
      <c r="CN26" s="22">
        <v>144</v>
      </c>
      <c r="CO26" s="22">
        <v>54</v>
      </c>
      <c r="CP26" s="22">
        <v>96</v>
      </c>
      <c r="CQ26" s="38">
        <v>102</v>
      </c>
      <c r="CR26" s="38">
        <v>66</v>
      </c>
      <c r="CS26" s="38">
        <v>55</v>
      </c>
      <c r="CT26" s="38">
        <v>57</v>
      </c>
      <c r="CU26" s="22">
        <v>57</v>
      </c>
      <c r="CV26" s="480"/>
      <c r="CW26" s="542" t="s">
        <v>17</v>
      </c>
      <c r="CX26" s="543"/>
      <c r="CY26" s="543"/>
      <c r="CZ26" s="543"/>
      <c r="DA26" s="21" t="s">
        <v>7</v>
      </c>
      <c r="DB26" s="22">
        <v>122</v>
      </c>
      <c r="DC26" s="22">
        <v>85</v>
      </c>
      <c r="DD26" s="22">
        <v>194</v>
      </c>
      <c r="DE26" s="38">
        <v>162</v>
      </c>
      <c r="DF26" s="98"/>
      <c r="DG26" s="62"/>
      <c r="DH26" s="62"/>
      <c r="DI26" s="62"/>
      <c r="DJ26" s="53"/>
      <c r="DK26" s="542" t="s">
        <v>17</v>
      </c>
      <c r="DL26" s="543"/>
      <c r="DM26" s="543"/>
      <c r="DN26" s="543"/>
      <c r="DO26" s="21" t="s">
        <v>7</v>
      </c>
      <c r="DP26" s="526">
        <f>IF(DP20="","",DP24-DP23)</f>
        <v>62</v>
      </c>
      <c r="DQ26" s="593"/>
      <c r="DR26" s="593"/>
      <c r="DS26" s="527"/>
      <c r="DT26" s="38">
        <f>IF(DT20="","",DT24-DT23)</f>
        <v>38</v>
      </c>
      <c r="DU26" s="526">
        <f>IF(DU20="","",DU24-DU23)</f>
        <v>29</v>
      </c>
      <c r="DV26" s="593"/>
      <c r="DW26" s="593"/>
      <c r="DX26" s="527"/>
      <c r="DY26" s="38">
        <f>IF(DY20="","",DY24-DY23)</f>
        <v>17</v>
      </c>
      <c r="DZ26" s="526">
        <f>IF(DZ20="","",DZ24-DZ23)</f>
        <v>27</v>
      </c>
      <c r="EA26" s="593"/>
      <c r="EB26" s="593"/>
      <c r="EC26" s="527"/>
      <c r="ED26" s="38">
        <f>IF(ED20="","",ED24-ED23)</f>
        <v>0</v>
      </c>
      <c r="EE26" s="526">
        <f>IF(EE20="","",EE24-EE23)</f>
        <v>53</v>
      </c>
      <c r="EF26" s="593"/>
      <c r="EG26" s="593"/>
      <c r="EH26" s="527"/>
      <c r="EI26" s="22">
        <f>IF(EI20="","",EI24-EI23)</f>
        <v>0</v>
      </c>
      <c r="EJ26" s="53"/>
      <c r="EK26" s="542" t="s">
        <v>17</v>
      </c>
      <c r="EL26" s="543"/>
      <c r="EM26" s="543"/>
      <c r="EN26" s="543"/>
      <c r="EO26" s="21" t="s">
        <v>7</v>
      </c>
      <c r="EP26" s="526">
        <f>IF(EP20="","",EP24-EP23)</f>
        <v>59</v>
      </c>
      <c r="EQ26" s="593"/>
      <c r="ER26" s="593"/>
      <c r="ES26" s="527"/>
      <c r="ET26" s="38">
        <f>IF(ET20="","",ET24-ET23)</f>
        <v>0</v>
      </c>
      <c r="EU26" s="526">
        <f>IF(EU20="","",EU24-EU23)</f>
        <v>25</v>
      </c>
      <c r="EV26" s="593"/>
      <c r="EW26" s="593"/>
      <c r="EX26" s="527"/>
      <c r="EY26" s="38">
        <f>IF(EY20="","",EY24-EY23)</f>
        <v>0</v>
      </c>
      <c r="EZ26" s="526">
        <f>IF(EZ20="","",EZ24-EZ23)</f>
        <v>7.8999999999998636</v>
      </c>
      <c r="FA26" s="593"/>
      <c r="FB26" s="593"/>
      <c r="FC26" s="527"/>
      <c r="FD26" s="38">
        <f>IF(FD20="","",FD24-FD23)</f>
        <v>0</v>
      </c>
      <c r="FE26" s="526">
        <f>IF(FE20="","",FE24-FE23)</f>
        <v>115.29999999999995</v>
      </c>
      <c r="FF26" s="593"/>
      <c r="FG26" s="593"/>
      <c r="FH26" s="527"/>
      <c r="FI26" s="22">
        <f>IF(FI20="","",FI24-FI23)</f>
        <v>83</v>
      </c>
      <c r="FJ26" s="22"/>
      <c r="FK26" s="53"/>
      <c r="FL26" s="542" t="s">
        <v>17</v>
      </c>
      <c r="FM26" s="543"/>
      <c r="FN26" s="543"/>
      <c r="FO26" s="543"/>
      <c r="FP26" s="21" t="s">
        <v>7</v>
      </c>
      <c r="FQ26" s="526">
        <f>IF(FQ20="","",FQ24-FQ23)</f>
        <v>102.29999999999995</v>
      </c>
      <c r="FR26" s="593"/>
      <c r="FS26" s="593"/>
      <c r="FT26" s="527"/>
      <c r="FU26" s="38">
        <f>IF(FU20="","",FU24-FU23)</f>
        <v>40</v>
      </c>
      <c r="FV26" s="526">
        <f>IF(FV20="","",FV24-FV23)</f>
        <v>13.299999999999955</v>
      </c>
      <c r="FW26" s="593"/>
      <c r="FX26" s="593"/>
      <c r="FY26" s="527"/>
      <c r="FZ26" s="38">
        <f>IF(FZ20="","",FZ24-FZ23)</f>
        <v>0</v>
      </c>
      <c r="GA26" s="526">
        <f>IF(GA20="","",GA24-GA23)</f>
        <v>55</v>
      </c>
      <c r="GB26" s="593"/>
      <c r="GC26" s="593"/>
      <c r="GD26" s="527"/>
      <c r="GE26" s="22">
        <v>41</v>
      </c>
      <c r="GF26" s="526">
        <f>IF(GF20="","",GF24-GF23)</f>
        <v>111.29999999999995</v>
      </c>
      <c r="GG26" s="593"/>
      <c r="GH26" s="593"/>
      <c r="GI26" s="527"/>
      <c r="GJ26" s="22">
        <v>45</v>
      </c>
      <c r="GK26" s="53"/>
      <c r="GL26" s="542" t="s">
        <v>17</v>
      </c>
      <c r="GM26" s="543"/>
      <c r="GN26" s="543"/>
      <c r="GO26" s="543"/>
      <c r="GP26" s="21" t="s">
        <v>7</v>
      </c>
      <c r="GQ26" s="526">
        <f>IF(GQ20="","",GQ24-GQ23)</f>
        <v>110.29999999999995</v>
      </c>
      <c r="GR26" s="593"/>
      <c r="GS26" s="593"/>
      <c r="GT26" s="527"/>
      <c r="GU26" s="22">
        <v>58</v>
      </c>
      <c r="GV26" s="526">
        <f>IF(GV20="","",GV24-GV23)</f>
        <v>86.299999999999955</v>
      </c>
      <c r="GW26" s="593"/>
      <c r="GX26" s="593"/>
      <c r="GY26" s="527"/>
      <c r="GZ26" s="22">
        <v>51</v>
      </c>
      <c r="HA26" s="526">
        <f>IF(HA20="","",HA24-HA23)</f>
        <v>90.299999999999955</v>
      </c>
      <c r="HB26" s="593"/>
      <c r="HC26" s="593"/>
      <c r="HD26" s="527"/>
      <c r="HE26" s="22">
        <v>79</v>
      </c>
      <c r="HF26" s="526">
        <f>IF(HF20="","",HF24-HF23)</f>
        <v>72</v>
      </c>
      <c r="HG26" s="593"/>
      <c r="HH26" s="593"/>
      <c r="HI26" s="527"/>
      <c r="HJ26" s="92">
        <v>60</v>
      </c>
      <c r="HK26" s="53"/>
      <c r="HL26" s="542" t="s">
        <v>17</v>
      </c>
      <c r="HM26" s="543"/>
      <c r="HN26" s="543"/>
      <c r="HO26" s="543"/>
      <c r="HP26" s="21" t="s">
        <v>7</v>
      </c>
      <c r="HQ26" s="526">
        <f>IF(HQ20="","",HQ24-HQ23)</f>
        <v>123</v>
      </c>
      <c r="HR26" s="593"/>
      <c r="HS26" s="593"/>
      <c r="HT26" s="527"/>
      <c r="HU26" s="22">
        <v>71</v>
      </c>
      <c r="HV26" s="526">
        <f>IF(HV20="","",HV24-HV23)</f>
        <v>28</v>
      </c>
      <c r="HW26" s="593"/>
      <c r="HX26" s="593"/>
      <c r="HY26" s="527"/>
      <c r="HZ26" s="22">
        <v>0</v>
      </c>
      <c r="IA26" s="526">
        <f>IF(IA20="","",IA24-IA23)</f>
        <v>80</v>
      </c>
      <c r="IB26" s="593"/>
      <c r="IC26" s="593"/>
      <c r="ID26" s="527"/>
      <c r="IE26" s="22">
        <v>0</v>
      </c>
      <c r="IF26" s="526">
        <f>IF(IF20="","",IF24-IF23)</f>
        <v>107</v>
      </c>
      <c r="IG26" s="593"/>
      <c r="IH26" s="593"/>
      <c r="II26" s="527"/>
      <c r="IJ26" s="22">
        <v>31</v>
      </c>
      <c r="IK26" s="53"/>
      <c r="IL26" s="542" t="s">
        <v>17</v>
      </c>
      <c r="IM26" s="543"/>
      <c r="IN26" s="543"/>
      <c r="IO26" s="543"/>
      <c r="IP26" s="21" t="s">
        <v>7</v>
      </c>
      <c r="IQ26" s="526">
        <f>IF(IQ20="","",IQ24-IQ23)</f>
        <v>158</v>
      </c>
      <c r="IR26" s="593"/>
      <c r="IS26" s="593"/>
      <c r="IT26" s="527"/>
      <c r="IU26" s="22">
        <v>36</v>
      </c>
      <c r="IV26" s="526">
        <f>IF(IV20="","",IV24-IV23)</f>
        <v>161</v>
      </c>
      <c r="IW26" s="593"/>
      <c r="IX26" s="593"/>
      <c r="IY26" s="527"/>
      <c r="IZ26" s="22">
        <v>143</v>
      </c>
      <c r="JA26" s="526">
        <f>IF(JA20="","",JA24-JA23)</f>
        <v>126</v>
      </c>
      <c r="JB26" s="593"/>
      <c r="JC26" s="593"/>
      <c r="JD26" s="527"/>
      <c r="JE26" s="22">
        <v>120</v>
      </c>
      <c r="JF26" s="526">
        <f>IF(JF20="","",JF24-JF23)</f>
        <v>60</v>
      </c>
      <c r="JG26" s="593"/>
      <c r="JH26" s="593"/>
      <c r="JI26" s="527"/>
      <c r="JJ26" s="22">
        <v>0</v>
      </c>
      <c r="JK26" s="53"/>
      <c r="JL26" s="542" t="s">
        <v>17</v>
      </c>
      <c r="JM26" s="543"/>
      <c r="JN26" s="543"/>
      <c r="JO26" s="543"/>
      <c r="JP26" s="21" t="s">
        <v>7</v>
      </c>
      <c r="JQ26" s="526">
        <f>IF(JQ20="","",JQ24-JQ23)</f>
        <v>177.70000000000005</v>
      </c>
      <c r="JR26" s="593"/>
      <c r="JS26" s="593"/>
      <c r="JT26" s="527"/>
      <c r="JU26" s="22">
        <v>83</v>
      </c>
      <c r="JV26" s="526">
        <f>IF(JV20="","",JV24-JV23)</f>
        <v>147</v>
      </c>
      <c r="JW26" s="593"/>
      <c r="JX26" s="593"/>
      <c r="JY26" s="527"/>
      <c r="JZ26" s="22">
        <v>51</v>
      </c>
      <c r="KA26" s="526">
        <f>IF(KA20="","",KA24-KA23)</f>
        <v>112</v>
      </c>
      <c r="KB26" s="593"/>
      <c r="KC26" s="593"/>
      <c r="KD26" s="527"/>
      <c r="KE26" s="22">
        <v>33</v>
      </c>
      <c r="KF26" s="120"/>
      <c r="KG26" s="526">
        <f>IF(KG20="","",KG24-KG23)</f>
        <v>66</v>
      </c>
      <c r="KH26" s="593"/>
      <c r="KI26" s="593"/>
      <c r="KJ26" s="527"/>
      <c r="KK26" s="22">
        <v>0</v>
      </c>
      <c r="KL26" s="53"/>
      <c r="KM26" s="542" t="s">
        <v>17</v>
      </c>
      <c r="KN26" s="543"/>
      <c r="KO26" s="543"/>
      <c r="KP26" s="543"/>
      <c r="KQ26" s="21" t="s">
        <v>7</v>
      </c>
      <c r="KR26" s="526">
        <v>45</v>
      </c>
      <c r="KS26" s="593"/>
      <c r="KT26" s="593"/>
      <c r="KU26" s="527"/>
      <c r="KV26" s="22">
        <v>0</v>
      </c>
      <c r="KW26" s="526">
        <f>IF(KW20="","",KW24-KW23)</f>
        <v>51</v>
      </c>
      <c r="KX26" s="593"/>
      <c r="KY26" s="593"/>
      <c r="KZ26" s="527"/>
      <c r="LA26" s="22">
        <v>0</v>
      </c>
      <c r="LB26" s="526">
        <f>IF(LB20="","",LB24-LB23)</f>
        <v>205</v>
      </c>
      <c r="LC26" s="593"/>
      <c r="LD26" s="593"/>
      <c r="LE26" s="527"/>
      <c r="LF26" s="22">
        <v>96</v>
      </c>
      <c r="LG26" s="526">
        <f>IF(LG20="","",LG24-LG23)</f>
        <v>107</v>
      </c>
      <c r="LH26" s="593"/>
      <c r="LI26" s="593"/>
      <c r="LJ26" s="527"/>
      <c r="LK26" s="22">
        <v>0</v>
      </c>
      <c r="LL26" s="53"/>
      <c r="LM26" s="542" t="s">
        <v>17</v>
      </c>
      <c r="LN26" s="543"/>
      <c r="LO26" s="543"/>
      <c r="LP26" s="543"/>
      <c r="LQ26" s="21" t="s">
        <v>7</v>
      </c>
      <c r="LR26" s="526">
        <f>IF(LR20="","",LR24-LR23)</f>
        <v>46</v>
      </c>
      <c r="LS26" s="593"/>
      <c r="LT26" s="593"/>
      <c r="LU26" s="527"/>
      <c r="LV26" s="22">
        <v>0</v>
      </c>
      <c r="LW26" s="526">
        <f>IF(LW20="","",LW24-LW23)</f>
        <v>187</v>
      </c>
      <c r="LX26" s="593"/>
      <c r="LY26" s="593"/>
      <c r="LZ26" s="527"/>
      <c r="MA26" s="22">
        <v>78</v>
      </c>
      <c r="MB26" s="526">
        <f>IF(MB20="","",MB24-MB23)</f>
        <v>104</v>
      </c>
      <c r="MC26" s="593"/>
      <c r="MD26" s="593"/>
      <c r="ME26" s="527"/>
      <c r="MF26" s="135">
        <v>24</v>
      </c>
      <c r="MG26" s="526">
        <v>42</v>
      </c>
      <c r="MH26" s="593"/>
      <c r="MI26" s="593"/>
      <c r="MJ26" s="527"/>
      <c r="MK26" s="148"/>
      <c r="ML26" s="526"/>
      <c r="MM26" s="593"/>
      <c r="MN26" s="593"/>
      <c r="MO26" s="527"/>
      <c r="MP26" s="22">
        <v>43</v>
      </c>
      <c r="MQ26" s="53"/>
      <c r="MR26" s="542" t="s">
        <v>17</v>
      </c>
      <c r="MS26" s="543"/>
      <c r="MT26" s="543"/>
      <c r="MU26" s="543"/>
      <c r="MV26" s="21" t="s">
        <v>7</v>
      </c>
      <c r="MW26" s="526">
        <f>IF(MW20="","",MW24-MW23)</f>
        <v>130</v>
      </c>
      <c r="MX26" s="593"/>
      <c r="MY26" s="593"/>
      <c r="MZ26" s="527"/>
      <c r="NA26" s="22">
        <v>94</v>
      </c>
      <c r="NB26" s="526">
        <f>IF(NB20="","",NB24-NB23)</f>
        <v>146</v>
      </c>
      <c r="NC26" s="593"/>
      <c r="ND26" s="593"/>
      <c r="NE26" s="527"/>
      <c r="NF26" s="22">
        <v>104</v>
      </c>
      <c r="NG26" s="526">
        <v>184</v>
      </c>
      <c r="NH26" s="593"/>
      <c r="NI26" s="593"/>
      <c r="NJ26" s="527"/>
      <c r="NK26" s="22">
        <v>104</v>
      </c>
      <c r="NL26" s="526">
        <f>IF(NL20="","",NL24-NL23)</f>
        <v>175</v>
      </c>
      <c r="NM26" s="593"/>
      <c r="NN26" s="593"/>
      <c r="NO26" s="527"/>
      <c r="NP26" s="22">
        <v>73</v>
      </c>
      <c r="NQ26" s="22"/>
      <c r="NR26" s="53"/>
      <c r="NS26" s="542" t="s">
        <v>17</v>
      </c>
      <c r="NT26" s="543"/>
      <c r="NU26" s="543"/>
      <c r="NV26" s="543"/>
      <c r="NW26" s="21" t="s">
        <v>7</v>
      </c>
      <c r="NX26" s="526">
        <f>IF(NX20="","",NX24-NX23)</f>
        <v>263</v>
      </c>
      <c r="NY26" s="593"/>
      <c r="NZ26" s="593"/>
      <c r="OA26" s="527"/>
      <c r="OB26" s="22">
        <v>289</v>
      </c>
      <c r="OC26" s="526">
        <f>IF(OC20="","",OC24-OC23)</f>
        <v>224</v>
      </c>
      <c r="OD26" s="593"/>
      <c r="OE26" s="593"/>
      <c r="OF26" s="527"/>
      <c r="OG26" s="22">
        <v>254</v>
      </c>
      <c r="OH26" s="526">
        <f>IF(OH20="","",OH24-OH23)</f>
        <v>88</v>
      </c>
      <c r="OI26" s="593"/>
      <c r="OJ26" s="593"/>
      <c r="OK26" s="527"/>
      <c r="OL26" s="22">
        <v>22</v>
      </c>
      <c r="OM26" s="526">
        <f>IF(OM20="","",OM24-OM23)</f>
        <v>53</v>
      </c>
      <c r="ON26" s="593"/>
      <c r="OO26" s="593"/>
      <c r="OP26" s="527"/>
      <c r="OQ26" s="22">
        <v>0</v>
      </c>
      <c r="OR26" s="22"/>
      <c r="OS26" s="53"/>
      <c r="OT26" s="542" t="s">
        <v>17</v>
      </c>
      <c r="OU26" s="543"/>
      <c r="OV26" s="543"/>
      <c r="OW26" s="543"/>
      <c r="OX26" s="21" t="s">
        <v>7</v>
      </c>
      <c r="OY26" s="526">
        <f>IF(OY20="","",OY24-OY23)</f>
        <v>197</v>
      </c>
      <c r="OZ26" s="593"/>
      <c r="PA26" s="593"/>
      <c r="PB26" s="527"/>
      <c r="PC26" s="22">
        <v>100</v>
      </c>
      <c r="PD26" s="526">
        <f>IF(PD20="","",PD24-PD23)</f>
        <v>98</v>
      </c>
      <c r="PE26" s="593"/>
      <c r="PF26" s="593"/>
      <c r="PG26" s="527"/>
      <c r="PH26" s="22">
        <v>86</v>
      </c>
      <c r="PI26" s="526">
        <f>IF(PI20="","",PI24-PI23)</f>
        <v>228</v>
      </c>
      <c r="PJ26" s="593"/>
      <c r="PK26" s="593"/>
      <c r="PL26" s="527"/>
      <c r="PM26" s="22">
        <v>121</v>
      </c>
      <c r="PN26" s="526">
        <f>IF(PN20="","",PN24-PN23)</f>
        <v>243</v>
      </c>
      <c r="PO26" s="593"/>
      <c r="PP26" s="593"/>
      <c r="PQ26" s="527"/>
      <c r="PR26" s="22">
        <v>185</v>
      </c>
      <c r="PS26" s="192"/>
      <c r="PT26" s="53"/>
      <c r="PU26" s="542" t="s">
        <v>17</v>
      </c>
      <c r="PV26" s="543"/>
      <c r="PW26" s="543"/>
      <c r="PX26" s="543"/>
      <c r="PY26" s="21" t="s">
        <v>7</v>
      </c>
      <c r="PZ26" s="526">
        <v>364</v>
      </c>
      <c r="QA26" s="593"/>
      <c r="QB26" s="593"/>
      <c r="QC26" s="527"/>
      <c r="QD26" s="22">
        <v>289</v>
      </c>
      <c r="QE26" s="526">
        <v>140</v>
      </c>
      <c r="QF26" s="593"/>
      <c r="QG26" s="593"/>
      <c r="QH26" s="527"/>
      <c r="QI26" s="22">
        <v>0</v>
      </c>
      <c r="QJ26" s="526">
        <v>244.9</v>
      </c>
      <c r="QK26" s="593"/>
      <c r="QL26" s="593"/>
      <c r="QM26" s="527"/>
      <c r="QN26" s="22">
        <v>209</v>
      </c>
      <c r="QO26" s="526">
        <f>IF(QO20="","",QO24-QO23)</f>
        <v>255</v>
      </c>
      <c r="QP26" s="593"/>
      <c r="QQ26" s="593"/>
      <c r="QR26" s="527"/>
      <c r="QS26" s="22">
        <v>206</v>
      </c>
      <c r="QT26" s="53"/>
      <c r="QU26" s="542" t="s">
        <v>17</v>
      </c>
      <c r="QV26" s="543"/>
      <c r="QW26" s="543"/>
      <c r="QX26" s="543"/>
      <c r="QY26" s="21" t="s">
        <v>7</v>
      </c>
      <c r="QZ26" s="526">
        <f>IF(QZ20="","",QZ24-QZ23)</f>
        <v>278</v>
      </c>
      <c r="RA26" s="593"/>
      <c r="RB26" s="593"/>
      <c r="RC26" s="527"/>
      <c r="RD26" s="22">
        <v>222</v>
      </c>
      <c r="RE26" s="526">
        <f>IF(RE20="","",RE24-RE23)</f>
        <v>356</v>
      </c>
      <c r="RF26" s="593"/>
      <c r="RG26" s="593"/>
      <c r="RH26" s="527"/>
      <c r="RI26" s="22">
        <v>274</v>
      </c>
      <c r="RJ26" s="526">
        <f>IF(RJ20="","",RJ24-RJ23)</f>
        <v>96</v>
      </c>
      <c r="RK26" s="593"/>
      <c r="RL26" s="593"/>
      <c r="RM26" s="527"/>
      <c r="RN26" s="22">
        <v>0</v>
      </c>
      <c r="RO26" s="526">
        <f>IF(RO20="","",RO24-RO23)</f>
        <v>89</v>
      </c>
      <c r="RP26" s="593"/>
      <c r="RQ26" s="593"/>
      <c r="RR26" s="527"/>
      <c r="RS26" s="22">
        <v>0</v>
      </c>
      <c r="RT26" s="22"/>
      <c r="RU26" s="53"/>
      <c r="RV26" s="542" t="s">
        <v>17</v>
      </c>
      <c r="RW26" s="543"/>
      <c r="RX26" s="543"/>
      <c r="RY26" s="543"/>
      <c r="RZ26" s="21" t="s">
        <v>7</v>
      </c>
      <c r="SA26" s="526">
        <f>IF(SA20="","",SA24-SA23)</f>
        <v>116.29999999999995</v>
      </c>
      <c r="SB26" s="593"/>
      <c r="SC26" s="593"/>
      <c r="SD26" s="527"/>
      <c r="SE26" s="22">
        <v>0</v>
      </c>
      <c r="SF26" s="526">
        <f>IF(SF20="","",SF24-SF23)</f>
        <v>155.29999999999995</v>
      </c>
      <c r="SG26" s="593"/>
      <c r="SH26" s="593"/>
      <c r="SI26" s="527"/>
      <c r="SJ26" s="22">
        <v>155</v>
      </c>
      <c r="SK26" s="526">
        <f>IF(SK20="","",SK24-SK23)</f>
        <v>165.29999999999995</v>
      </c>
      <c r="SL26" s="593"/>
      <c r="SM26" s="593"/>
      <c r="SN26" s="527"/>
      <c r="SO26" s="22">
        <v>169</v>
      </c>
      <c r="SP26" s="526">
        <f>IF(SP20="","",SP24-SP23)</f>
        <v>76</v>
      </c>
      <c r="SQ26" s="593"/>
      <c r="SR26" s="593"/>
      <c r="SS26" s="527"/>
      <c r="ST26" s="22">
        <v>100</v>
      </c>
      <c r="SU26" s="53"/>
      <c r="SV26" s="542" t="s">
        <v>17</v>
      </c>
      <c r="SW26" s="543"/>
      <c r="SX26" s="543"/>
      <c r="SY26" s="543"/>
      <c r="SZ26" s="21" t="s">
        <v>7</v>
      </c>
      <c r="TA26" s="526">
        <f>IF(TA20="","",TA24-TA23)</f>
        <v>79</v>
      </c>
      <c r="TB26" s="593"/>
      <c r="TC26" s="593"/>
      <c r="TD26" s="527"/>
      <c r="TE26" s="22">
        <v>87</v>
      </c>
      <c r="TF26" s="526">
        <f>IF(TF20="","",TF24-TF23)</f>
        <v>97</v>
      </c>
      <c r="TG26" s="593"/>
      <c r="TH26" s="593"/>
      <c r="TI26" s="527"/>
      <c r="TJ26" s="22">
        <v>98</v>
      </c>
      <c r="TK26" s="526">
        <f>IF(TK20="","",TK24-TK23)</f>
        <v>257</v>
      </c>
      <c r="TL26" s="593"/>
      <c r="TM26" s="593"/>
      <c r="TN26" s="527"/>
      <c r="TO26" s="22">
        <v>180</v>
      </c>
      <c r="TP26" s="526"/>
      <c r="TQ26" s="593"/>
      <c r="TR26" s="593"/>
      <c r="TS26" s="527"/>
      <c r="TT26" s="22"/>
    </row>
    <row r="27" spans="2:540" ht="28.35" customHeight="1" x14ac:dyDescent="0.4">
      <c r="C27" s="2"/>
      <c r="H27" s="1" t="s">
        <v>22</v>
      </c>
      <c r="I27" s="2"/>
      <c r="J27" s="2"/>
      <c r="K27" s="2"/>
      <c r="Q27" s="2"/>
      <c r="V27" s="1" t="s">
        <v>22</v>
      </c>
      <c r="W27" s="2"/>
      <c r="X27" s="2"/>
      <c r="Y27" s="2"/>
      <c r="AE27" s="2"/>
      <c r="AJ27" s="1" t="s">
        <v>22</v>
      </c>
      <c r="AK27" s="2"/>
      <c r="AL27" s="2"/>
      <c r="AM27" s="2"/>
      <c r="AS27" s="2"/>
      <c r="AX27" s="1" t="s">
        <v>22</v>
      </c>
      <c r="AY27" s="2"/>
      <c r="AZ27" s="2"/>
      <c r="BA27" s="2"/>
      <c r="BG27" s="2"/>
      <c r="BL27" s="1" t="s">
        <v>22</v>
      </c>
      <c r="BM27" s="2"/>
      <c r="BN27" s="2"/>
      <c r="BO27" s="2"/>
      <c r="BU27" s="2"/>
      <c r="BZ27" s="1" t="s">
        <v>22</v>
      </c>
      <c r="CA27" s="2"/>
      <c r="CB27" s="2"/>
      <c r="CC27" s="2"/>
      <c r="CI27" s="2"/>
      <c r="CN27" s="1" t="s">
        <v>22</v>
      </c>
      <c r="CO27" s="2"/>
      <c r="CP27" s="2"/>
      <c r="CQ27" s="2"/>
      <c r="CW27" s="2"/>
      <c r="DB27" s="1" t="s">
        <v>22</v>
      </c>
      <c r="DC27" s="2"/>
      <c r="DD27" s="2"/>
      <c r="DE27" s="2"/>
      <c r="DH27" s="68"/>
      <c r="DI27" s="68"/>
      <c r="DK27" s="2"/>
      <c r="DP27" s="1" t="s">
        <v>22</v>
      </c>
      <c r="DQ27" s="2"/>
      <c r="DR27" s="2"/>
      <c r="DS27" s="2"/>
      <c r="DX27" s="2"/>
      <c r="DZ27" s="1" t="s">
        <v>286</v>
      </c>
      <c r="EJ27" s="3"/>
      <c r="EK27" s="3"/>
      <c r="EP27" s="1" t="s">
        <v>22</v>
      </c>
      <c r="ET27" s="3"/>
      <c r="EU27" s="3"/>
      <c r="EV27" s="3"/>
      <c r="EW27" s="3"/>
      <c r="EY27" s="1"/>
      <c r="EZ27" s="1" t="s">
        <v>286</v>
      </c>
      <c r="FA27" s="3"/>
      <c r="FB27" s="3"/>
      <c r="FC27" s="3"/>
      <c r="FE27" s="1"/>
      <c r="FF27" s="3"/>
      <c r="FG27" s="3"/>
      <c r="FH27" s="3"/>
      <c r="FI27" s="1"/>
      <c r="FJ27" s="3"/>
      <c r="FQ27" s="1" t="s">
        <v>22</v>
      </c>
      <c r="FR27" s="3"/>
      <c r="FS27" s="3"/>
      <c r="FT27" s="3"/>
      <c r="FU27" s="1"/>
      <c r="FV27" s="1"/>
      <c r="FW27" s="3"/>
      <c r="FX27" s="3"/>
      <c r="FY27" s="3"/>
      <c r="GA27" s="1" t="s">
        <v>286</v>
      </c>
      <c r="GB27" s="3"/>
      <c r="GC27" s="3"/>
      <c r="GD27" s="3"/>
      <c r="GE27" s="3"/>
      <c r="GF27" s="3"/>
      <c r="GG27" s="3"/>
      <c r="GH27" s="3"/>
      <c r="GI27" s="3"/>
      <c r="GJ27" s="3"/>
      <c r="GK27" s="85"/>
      <c r="GQ27" s="1" t="s">
        <v>22</v>
      </c>
      <c r="GU27" s="3"/>
      <c r="GV27" s="3"/>
      <c r="GW27" s="3"/>
      <c r="GX27" s="3"/>
      <c r="GZ27" s="3"/>
      <c r="HA27" s="1" t="s">
        <v>286</v>
      </c>
      <c r="HB27" s="3"/>
      <c r="HC27" s="3"/>
      <c r="HD27" s="3"/>
      <c r="HE27" s="3"/>
      <c r="HF27" s="3"/>
      <c r="HG27" s="3"/>
      <c r="HH27" s="3"/>
      <c r="HI27" s="3"/>
      <c r="HJ27" s="3"/>
      <c r="HK27" s="85"/>
      <c r="HQ27" s="1" t="s">
        <v>22</v>
      </c>
      <c r="HU27" s="3"/>
      <c r="HV27" s="3"/>
      <c r="HW27" s="3"/>
      <c r="HX27" s="3"/>
      <c r="HZ27" s="3"/>
      <c r="IA27" s="1" t="s">
        <v>286</v>
      </c>
      <c r="IB27" s="3"/>
      <c r="IC27" s="3"/>
      <c r="ID27" s="3"/>
      <c r="IE27" s="3"/>
      <c r="IF27" s="3"/>
      <c r="IG27" s="3"/>
      <c r="IH27" s="3"/>
      <c r="II27" s="3"/>
      <c r="IJ27" s="3"/>
      <c r="IK27" s="85"/>
      <c r="IQ27" s="1" t="s">
        <v>22</v>
      </c>
      <c r="IU27" s="3"/>
      <c r="IV27" s="3"/>
      <c r="IW27" s="3"/>
      <c r="IX27" s="3"/>
      <c r="IZ27" s="3"/>
      <c r="JA27" s="1" t="s">
        <v>286</v>
      </c>
      <c r="JB27" s="3"/>
      <c r="JC27" s="3"/>
      <c r="JD27" s="3"/>
      <c r="JE27" s="3"/>
      <c r="JK27" s="85"/>
      <c r="JQ27" s="1" t="s">
        <v>22</v>
      </c>
      <c r="JU27" s="3"/>
      <c r="JV27" s="3"/>
      <c r="JW27" s="3"/>
      <c r="JX27" s="3"/>
      <c r="JZ27" s="3"/>
      <c r="KA27" s="1" t="s">
        <v>286</v>
      </c>
      <c r="KB27" s="3"/>
      <c r="KC27" s="3"/>
      <c r="KD27" s="3"/>
      <c r="KE27" s="3"/>
      <c r="KF27" s="3"/>
      <c r="KG27" s="1"/>
      <c r="KH27" s="3"/>
      <c r="KI27" s="3"/>
      <c r="KJ27" s="3"/>
      <c r="KK27" s="3"/>
      <c r="KL27" s="85"/>
      <c r="KR27" s="1" t="s">
        <v>22</v>
      </c>
      <c r="KV27" s="3"/>
      <c r="KW27" s="3"/>
      <c r="KX27" s="3"/>
      <c r="KY27" s="3"/>
      <c r="LA27" s="3"/>
      <c r="LB27" s="1" t="s">
        <v>286</v>
      </c>
      <c r="LC27" s="3"/>
      <c r="LD27" s="3"/>
      <c r="LE27" s="3"/>
      <c r="LF27" s="3"/>
      <c r="LH27" s="3"/>
      <c r="LI27" s="3"/>
      <c r="LJ27" s="3"/>
      <c r="LL27" s="85"/>
      <c r="LR27" s="1" t="s">
        <v>22</v>
      </c>
      <c r="LS27" s="3"/>
      <c r="LT27" s="3"/>
      <c r="LU27" s="3"/>
      <c r="LV27" s="3"/>
      <c r="LW27" s="1"/>
      <c r="LX27" s="3"/>
      <c r="LY27" s="3"/>
      <c r="LZ27" s="3"/>
      <c r="MA27" s="1"/>
      <c r="MB27" s="1" t="s">
        <v>286</v>
      </c>
      <c r="MC27" s="3"/>
      <c r="MD27" s="3"/>
      <c r="ME27" s="3"/>
      <c r="MF27" s="3"/>
      <c r="MH27" s="3"/>
      <c r="MI27" s="3"/>
      <c r="MJ27" s="3"/>
      <c r="MK27" s="3"/>
      <c r="ML27" s="1"/>
      <c r="MM27" s="3"/>
      <c r="MN27" s="3"/>
      <c r="MO27" s="3"/>
      <c r="MP27" s="3"/>
      <c r="MQ27" s="85"/>
      <c r="MW27" s="1" t="s">
        <v>22</v>
      </c>
      <c r="MX27" s="3"/>
      <c r="MY27" s="3"/>
      <c r="MZ27" s="3"/>
      <c r="NA27" s="1"/>
      <c r="NB27" s="1"/>
      <c r="NC27" s="3"/>
      <c r="ND27" s="3"/>
      <c r="NE27" s="3"/>
      <c r="NF27" s="1"/>
      <c r="NG27" s="1" t="s">
        <v>286</v>
      </c>
      <c r="NH27" s="3"/>
      <c r="NI27" s="3"/>
      <c r="NJ27" s="3"/>
      <c r="NM27" s="3"/>
      <c r="NN27" s="3"/>
      <c r="NO27" s="3"/>
      <c r="NP27" s="3"/>
      <c r="NQ27" s="3"/>
      <c r="NR27" s="85"/>
      <c r="NX27" s="1" t="s">
        <v>22</v>
      </c>
      <c r="NY27" s="3"/>
      <c r="NZ27" s="3"/>
      <c r="OA27" s="3"/>
      <c r="OB27" s="1"/>
      <c r="OC27" s="1"/>
      <c r="OD27" s="3"/>
      <c r="OE27" s="3"/>
      <c r="OF27" s="3"/>
      <c r="OG27" s="1"/>
      <c r="OH27" s="1" t="s">
        <v>286</v>
      </c>
      <c r="OI27" s="3"/>
      <c r="OJ27" s="3"/>
      <c r="OK27" s="3"/>
      <c r="OM27" s="1"/>
      <c r="ON27" s="3"/>
      <c r="OO27" s="3"/>
      <c r="OP27" s="3"/>
      <c r="OQ27" s="3"/>
      <c r="OR27" s="3"/>
      <c r="OS27" s="85"/>
      <c r="OY27" s="1" t="s">
        <v>22</v>
      </c>
      <c r="OZ27" s="3"/>
      <c r="PA27" s="3"/>
      <c r="PB27" s="3"/>
      <c r="PC27" s="1"/>
      <c r="PD27" s="1"/>
      <c r="PE27" s="3"/>
      <c r="PF27" s="3"/>
      <c r="PG27" s="3"/>
      <c r="PH27" s="1"/>
      <c r="PI27" s="1" t="s">
        <v>286</v>
      </c>
      <c r="PJ27" s="3"/>
      <c r="PK27" s="3"/>
      <c r="PL27" s="3"/>
      <c r="PO27" s="3"/>
      <c r="PP27" s="3"/>
      <c r="PQ27" s="3"/>
      <c r="PR27" s="3"/>
      <c r="PS27" s="3"/>
      <c r="PT27" s="85"/>
      <c r="PZ27" s="1" t="s">
        <v>22</v>
      </c>
      <c r="QA27" s="3"/>
      <c r="QB27" s="3"/>
      <c r="QC27" s="3"/>
      <c r="QD27" s="1"/>
      <c r="QE27" s="1"/>
      <c r="QF27" s="3"/>
      <c r="QG27" s="3"/>
      <c r="QH27" s="3"/>
      <c r="QI27" s="1"/>
      <c r="QJ27" s="1" t="s">
        <v>286</v>
      </c>
      <c r="QK27" s="3"/>
      <c r="QL27" s="3"/>
      <c r="QM27" s="3"/>
      <c r="QP27" s="3"/>
      <c r="QQ27" s="3"/>
      <c r="QR27" s="3"/>
      <c r="QS27" s="3"/>
      <c r="QT27" s="85"/>
      <c r="QZ27" s="1" t="s">
        <v>22</v>
      </c>
      <c r="RA27" s="3"/>
      <c r="RB27" s="3"/>
      <c r="RC27" s="3"/>
      <c r="RD27" s="1"/>
      <c r="RE27" s="1"/>
      <c r="RF27" s="3"/>
      <c r="RG27" s="3"/>
      <c r="RH27" s="3"/>
      <c r="RI27" s="1"/>
      <c r="RJ27" s="1" t="s">
        <v>286</v>
      </c>
      <c r="RK27" s="3"/>
      <c r="RL27" s="3"/>
      <c r="RM27" s="3"/>
      <c r="RN27" s="3"/>
      <c r="RP27" s="3"/>
      <c r="RQ27" s="3"/>
      <c r="RR27" s="3"/>
      <c r="RS27" s="1"/>
      <c r="RT27" s="3"/>
      <c r="RU27" s="85"/>
      <c r="SA27" s="1" t="s">
        <v>22</v>
      </c>
      <c r="SB27" s="3"/>
      <c r="SC27" s="3"/>
      <c r="SD27" s="3"/>
      <c r="SE27" s="1"/>
      <c r="SF27" s="1"/>
      <c r="SG27" s="3"/>
      <c r="SH27" s="3"/>
      <c r="SI27" s="3"/>
      <c r="SJ27" s="1"/>
      <c r="SK27" s="1" t="s">
        <v>286</v>
      </c>
      <c r="SL27" s="3"/>
      <c r="SM27" s="3"/>
      <c r="SN27" s="3"/>
      <c r="SO27" s="1"/>
      <c r="SP27" s="1"/>
      <c r="SQ27" s="3"/>
      <c r="SR27" s="3"/>
      <c r="SS27" s="3"/>
      <c r="ST27" s="1"/>
      <c r="SU27" s="85"/>
      <c r="TA27" s="1" t="s">
        <v>22</v>
      </c>
      <c r="TB27" s="3"/>
      <c r="TC27" s="3"/>
      <c r="TD27" s="3"/>
      <c r="TE27" s="1"/>
      <c r="TF27" s="1"/>
      <c r="TG27" s="3"/>
      <c r="TH27" s="3"/>
      <c r="TI27" s="3"/>
      <c r="TJ27" s="1"/>
      <c r="TK27" s="1" t="s">
        <v>286</v>
      </c>
      <c r="TL27" s="3"/>
      <c r="TM27" s="3"/>
      <c r="TN27" s="3"/>
      <c r="TO27" s="1"/>
      <c r="TP27" s="1"/>
      <c r="TQ27" s="3"/>
      <c r="TR27" s="3"/>
      <c r="TS27" s="3"/>
      <c r="TT27" s="1"/>
    </row>
    <row r="28" spans="2:540" ht="28.35" customHeight="1" x14ac:dyDescent="0.4">
      <c r="C28" s="2"/>
      <c r="H28" s="2" t="s">
        <v>235</v>
      </c>
      <c r="I28" s="2"/>
      <c r="J28" s="2"/>
      <c r="K28" s="2"/>
      <c r="Q28" s="2"/>
      <c r="V28" s="2" t="s">
        <v>235</v>
      </c>
      <c r="W28" s="2"/>
      <c r="X28" s="2"/>
      <c r="Y28" s="2"/>
      <c r="AE28" s="2"/>
      <c r="AJ28" s="2" t="s">
        <v>235</v>
      </c>
      <c r="AK28" s="2"/>
      <c r="AL28" s="2"/>
      <c r="AM28" s="2"/>
      <c r="AS28" s="2"/>
      <c r="AX28" s="2" t="s">
        <v>235</v>
      </c>
      <c r="AY28" s="2"/>
      <c r="AZ28" s="2"/>
      <c r="BA28" s="2"/>
      <c r="BG28" s="2"/>
      <c r="BL28" s="2" t="s">
        <v>235</v>
      </c>
      <c r="BM28" s="2"/>
      <c r="BN28" s="2"/>
      <c r="BO28" s="2"/>
      <c r="BU28" s="2"/>
      <c r="BZ28" s="2" t="s">
        <v>235</v>
      </c>
      <c r="CA28" s="2"/>
      <c r="CB28" s="2"/>
      <c r="CC28" s="2"/>
      <c r="CI28" s="2"/>
      <c r="CN28" s="2" t="s">
        <v>235</v>
      </c>
      <c r="CO28" s="2"/>
      <c r="CP28" s="2"/>
      <c r="CQ28" s="2"/>
      <c r="CW28" s="2"/>
      <c r="DB28" s="2" t="s">
        <v>235</v>
      </c>
      <c r="DC28" s="2"/>
      <c r="DD28" s="2"/>
      <c r="DE28" s="2"/>
      <c r="DK28" s="2"/>
      <c r="DP28" s="2" t="s">
        <v>292</v>
      </c>
      <c r="DQ28" s="2"/>
      <c r="DR28" s="2"/>
      <c r="DS28" s="2"/>
      <c r="DX28" s="2"/>
      <c r="DZ28" s="1" t="s">
        <v>303</v>
      </c>
      <c r="EJ28" s="3"/>
      <c r="EK28" s="3"/>
      <c r="EP28" s="2" t="s">
        <v>306</v>
      </c>
      <c r="ET28" s="3"/>
      <c r="EU28" s="3"/>
      <c r="EV28" s="3"/>
      <c r="EW28" s="3"/>
      <c r="EY28" s="1"/>
      <c r="EZ28" s="1" t="s">
        <v>303</v>
      </c>
      <c r="FA28" s="3"/>
      <c r="FB28" s="3"/>
      <c r="FC28" s="3"/>
      <c r="FE28" s="1"/>
      <c r="FF28" s="3"/>
      <c r="FG28" s="3"/>
      <c r="FH28" s="3"/>
      <c r="FI28" s="1"/>
      <c r="FJ28" s="3"/>
      <c r="FQ28" s="2" t="s">
        <v>306</v>
      </c>
      <c r="FR28" s="3"/>
      <c r="FS28" s="3"/>
      <c r="FT28" s="3"/>
      <c r="FU28" s="1"/>
      <c r="FV28" s="1"/>
      <c r="FW28" s="3"/>
      <c r="FX28" s="3"/>
      <c r="FY28" s="3"/>
      <c r="GA28" s="1" t="s">
        <v>303</v>
      </c>
      <c r="GB28" s="3"/>
      <c r="GC28" s="3"/>
      <c r="GD28" s="3"/>
      <c r="GE28" s="3"/>
      <c r="GF28" s="3"/>
      <c r="GG28" s="3"/>
      <c r="GH28" s="3"/>
      <c r="GI28" s="3"/>
      <c r="GJ28" s="3"/>
      <c r="GQ28" s="2" t="s">
        <v>306</v>
      </c>
      <c r="GU28" s="3"/>
      <c r="GV28" s="3"/>
      <c r="GW28" s="3"/>
      <c r="GX28" s="3"/>
      <c r="GZ28" s="3"/>
      <c r="HA28" s="1" t="s">
        <v>303</v>
      </c>
      <c r="HB28" s="3"/>
      <c r="HC28" s="3"/>
      <c r="HD28" s="3"/>
      <c r="HE28" s="3"/>
      <c r="HF28" s="3"/>
      <c r="HG28" s="3"/>
      <c r="HH28" s="3"/>
      <c r="HI28" s="3"/>
      <c r="HJ28" s="3"/>
      <c r="HQ28" s="2" t="s">
        <v>346</v>
      </c>
      <c r="HU28" s="3"/>
      <c r="HV28" s="3"/>
      <c r="HW28" s="3"/>
      <c r="HX28" s="3"/>
      <c r="HZ28" s="3"/>
      <c r="IA28" s="1" t="s">
        <v>303</v>
      </c>
      <c r="IB28" s="3"/>
      <c r="IC28" s="3"/>
      <c r="ID28" s="3"/>
      <c r="IE28" s="3"/>
      <c r="IF28" s="3"/>
      <c r="IG28" s="3"/>
      <c r="IH28" s="3"/>
      <c r="II28" s="3"/>
      <c r="IJ28" s="3"/>
      <c r="IQ28" s="2" t="s">
        <v>355</v>
      </c>
      <c r="IU28" s="3"/>
      <c r="IV28" s="3"/>
      <c r="IW28" s="3"/>
      <c r="IX28" s="3"/>
      <c r="IZ28" s="3"/>
      <c r="JA28" s="1" t="s">
        <v>303</v>
      </c>
      <c r="JB28" s="3"/>
      <c r="JC28" s="3"/>
      <c r="JD28" s="3"/>
      <c r="JE28" s="3"/>
      <c r="JQ28" s="2" t="s">
        <v>355</v>
      </c>
      <c r="JU28" s="3"/>
      <c r="JV28" s="3"/>
      <c r="JW28" s="3"/>
      <c r="JX28" s="3"/>
      <c r="JZ28" s="3"/>
      <c r="KA28" s="1" t="s">
        <v>303</v>
      </c>
      <c r="KB28" s="3"/>
      <c r="KC28" s="3"/>
      <c r="KD28" s="3"/>
      <c r="KE28" s="3"/>
      <c r="KF28" s="3"/>
      <c r="KG28" s="1"/>
      <c r="KH28" s="3"/>
      <c r="KI28" s="3"/>
      <c r="KJ28" s="3"/>
      <c r="KK28" s="3"/>
      <c r="KR28" s="2" t="s">
        <v>386</v>
      </c>
      <c r="KV28" s="3"/>
      <c r="KW28" s="3"/>
      <c r="KX28" s="3"/>
      <c r="KY28" s="3"/>
      <c r="LA28" s="3"/>
      <c r="LB28" s="1" t="s">
        <v>303</v>
      </c>
      <c r="LC28" s="3"/>
      <c r="LD28" s="3"/>
      <c r="LE28" s="3"/>
      <c r="LF28" s="3"/>
      <c r="LH28" s="3"/>
      <c r="LI28" s="3"/>
      <c r="LJ28" s="3"/>
      <c r="LR28" s="2" t="s">
        <v>386</v>
      </c>
      <c r="LS28" s="3"/>
      <c r="LT28" s="3"/>
      <c r="LU28" s="3"/>
      <c r="LV28" s="3"/>
      <c r="LW28" s="1"/>
      <c r="LX28" s="3"/>
      <c r="LY28" s="3"/>
      <c r="LZ28" s="3"/>
      <c r="MA28" s="1"/>
      <c r="MB28" s="1" t="s">
        <v>303</v>
      </c>
      <c r="MC28" s="3"/>
      <c r="MD28" s="3"/>
      <c r="ME28" s="3"/>
      <c r="MF28" s="3"/>
      <c r="MH28" s="3"/>
      <c r="MI28" s="3"/>
      <c r="MJ28" s="3"/>
      <c r="MK28" s="3"/>
      <c r="ML28" s="1"/>
      <c r="MM28" s="3"/>
      <c r="MN28" s="3"/>
      <c r="MO28" s="3"/>
      <c r="MP28" s="3"/>
      <c r="MW28" s="2" t="s">
        <v>386</v>
      </c>
      <c r="MX28" s="3"/>
      <c r="MY28" s="3"/>
      <c r="MZ28" s="3"/>
      <c r="NA28" s="1"/>
      <c r="NB28" s="1"/>
      <c r="NC28" s="3"/>
      <c r="ND28" s="3"/>
      <c r="NE28" s="3"/>
      <c r="NF28" s="1"/>
      <c r="NG28" s="1" t="s">
        <v>303</v>
      </c>
      <c r="NH28" s="3"/>
      <c r="NI28" s="3"/>
      <c r="NJ28" s="3"/>
      <c r="NM28" s="3"/>
      <c r="NN28" s="3"/>
      <c r="NO28" s="3"/>
      <c r="NP28" s="3"/>
      <c r="NQ28" s="3"/>
      <c r="NX28" s="2" t="s">
        <v>386</v>
      </c>
      <c r="NY28" s="3"/>
      <c r="NZ28" s="3"/>
      <c r="OA28" s="3"/>
      <c r="OB28" s="1"/>
      <c r="OC28" s="1"/>
      <c r="OD28" s="3"/>
      <c r="OE28" s="3"/>
      <c r="OF28" s="3"/>
      <c r="OG28" s="1"/>
      <c r="OH28" s="1" t="s">
        <v>303</v>
      </c>
      <c r="OI28" s="3"/>
      <c r="OJ28" s="3"/>
      <c r="OK28" s="3"/>
      <c r="OM28" s="1"/>
      <c r="ON28" s="3"/>
      <c r="OO28" s="3"/>
      <c r="OP28" s="3"/>
      <c r="OQ28" s="3"/>
      <c r="OR28" s="3"/>
      <c r="OY28" s="2" t="s">
        <v>441</v>
      </c>
      <c r="OZ28" s="3"/>
      <c r="PA28" s="3"/>
      <c r="PB28" s="3"/>
      <c r="PC28" s="1"/>
      <c r="PD28" s="1"/>
      <c r="PE28" s="3"/>
      <c r="PF28" s="3"/>
      <c r="PG28" s="3"/>
      <c r="PH28" s="1"/>
      <c r="PI28" s="1" t="s">
        <v>303</v>
      </c>
      <c r="PJ28" s="3"/>
      <c r="PK28" s="3"/>
      <c r="PL28" s="3"/>
      <c r="PO28" s="3"/>
      <c r="PP28" s="3"/>
      <c r="PQ28" s="3"/>
      <c r="PR28" s="3"/>
      <c r="PS28" s="3"/>
      <c r="PZ28" s="2" t="s">
        <v>441</v>
      </c>
      <c r="QA28" s="3"/>
      <c r="QB28" s="3"/>
      <c r="QC28" s="3"/>
      <c r="QD28" s="1"/>
      <c r="QE28" s="1"/>
      <c r="QF28" s="3"/>
      <c r="QG28" s="3"/>
      <c r="QH28" s="3"/>
      <c r="QI28" s="1"/>
      <c r="QJ28" s="1" t="s">
        <v>303</v>
      </c>
      <c r="QK28" s="3"/>
      <c r="QL28" s="3"/>
      <c r="QM28" s="3"/>
      <c r="QP28" s="3"/>
      <c r="QQ28" s="3"/>
      <c r="QR28" s="3"/>
      <c r="QS28" s="3"/>
      <c r="QZ28" s="2" t="s">
        <v>441</v>
      </c>
      <c r="RA28" s="3"/>
      <c r="RB28" s="3"/>
      <c r="RC28" s="3"/>
      <c r="RD28" s="1"/>
      <c r="RE28" s="1"/>
      <c r="RF28" s="3"/>
      <c r="RG28" s="3"/>
      <c r="RH28" s="3"/>
      <c r="RI28" s="1"/>
      <c r="RJ28" s="1" t="s">
        <v>303</v>
      </c>
      <c r="RK28" s="3"/>
      <c r="RL28" s="3"/>
      <c r="RM28" s="3"/>
      <c r="RN28" s="3"/>
      <c r="RP28" s="3"/>
      <c r="RQ28" s="3"/>
      <c r="RR28" s="3"/>
      <c r="RS28" s="1"/>
      <c r="RT28" s="3"/>
      <c r="SA28" s="2" t="s">
        <v>441</v>
      </c>
      <c r="SB28" s="3"/>
      <c r="SC28" s="3"/>
      <c r="SD28" s="3"/>
      <c r="SE28" s="1"/>
      <c r="SF28" s="1"/>
      <c r="SG28" s="3"/>
      <c r="SH28" s="3"/>
      <c r="SI28" s="3"/>
      <c r="SJ28" s="1"/>
      <c r="SK28" s="1" t="s">
        <v>303</v>
      </c>
      <c r="SL28" s="3"/>
      <c r="SM28" s="3"/>
      <c r="SN28" s="3"/>
      <c r="SO28" s="1"/>
      <c r="SP28" s="1"/>
      <c r="SQ28" s="3"/>
      <c r="SR28" s="3"/>
      <c r="SS28" s="3"/>
      <c r="ST28" s="1"/>
      <c r="TA28" s="2" t="s">
        <v>441</v>
      </c>
      <c r="TB28" s="3"/>
      <c r="TC28" s="3"/>
      <c r="TD28" s="3"/>
      <c r="TE28" s="1"/>
      <c r="TF28" s="1"/>
      <c r="TG28" s="3"/>
      <c r="TH28" s="3"/>
      <c r="TI28" s="3"/>
      <c r="TJ28" s="1"/>
      <c r="TK28" s="1" t="s">
        <v>303</v>
      </c>
      <c r="TL28" s="3"/>
      <c r="TM28" s="3"/>
      <c r="TN28" s="3"/>
      <c r="TO28" s="1"/>
      <c r="TP28" s="1"/>
      <c r="TQ28" s="3"/>
      <c r="TR28" s="3"/>
      <c r="TS28" s="3"/>
      <c r="TT28" s="1"/>
    </row>
    <row r="29" spans="2:540" ht="28.35" customHeight="1" x14ac:dyDescent="0.4">
      <c r="C29" s="2"/>
      <c r="H29" s="1" t="s">
        <v>23</v>
      </c>
      <c r="I29" s="2"/>
      <c r="J29" s="2"/>
      <c r="K29" s="2"/>
      <c r="Q29" s="2"/>
      <c r="V29" s="1" t="s">
        <v>23</v>
      </c>
      <c r="W29" s="2"/>
      <c r="X29" s="2"/>
      <c r="Y29" s="2"/>
      <c r="AE29" s="2"/>
      <c r="AJ29" s="1" t="s">
        <v>23</v>
      </c>
      <c r="AK29" s="2"/>
      <c r="AL29" s="2"/>
      <c r="AM29" s="2"/>
      <c r="AS29" s="2"/>
      <c r="AX29" s="1" t="s">
        <v>23</v>
      </c>
      <c r="AY29" s="2"/>
      <c r="AZ29" s="2"/>
      <c r="BA29" s="2"/>
      <c r="BG29" s="2"/>
      <c r="BL29" s="1" t="s">
        <v>23</v>
      </c>
      <c r="BM29" s="2"/>
      <c r="BN29" s="2"/>
      <c r="BO29" s="2"/>
      <c r="BU29" s="2"/>
      <c r="BZ29" s="1" t="s">
        <v>23</v>
      </c>
      <c r="CA29" s="2"/>
      <c r="CB29" s="2"/>
      <c r="CC29" s="2"/>
      <c r="CI29" s="2"/>
      <c r="CN29" s="1" t="s">
        <v>23</v>
      </c>
      <c r="CO29" s="2"/>
      <c r="CP29" s="2"/>
      <c r="CQ29" s="2"/>
      <c r="CW29" s="2"/>
      <c r="DB29" s="1" t="s">
        <v>23</v>
      </c>
      <c r="DC29" s="2"/>
      <c r="DD29" s="2"/>
      <c r="DE29" s="2"/>
      <c r="DK29" s="2"/>
      <c r="DP29" s="1" t="s">
        <v>23</v>
      </c>
      <c r="DQ29" s="2"/>
      <c r="DR29" s="2"/>
      <c r="DS29" s="2"/>
      <c r="DX29" s="2"/>
      <c r="DZ29" s="1" t="s">
        <v>288</v>
      </c>
      <c r="EJ29" s="3"/>
      <c r="EK29" s="3"/>
      <c r="EP29" s="1" t="s">
        <v>23</v>
      </c>
      <c r="ET29" s="3"/>
      <c r="EU29" s="3"/>
      <c r="EV29" s="3"/>
      <c r="EW29" s="3"/>
      <c r="EY29" s="1"/>
      <c r="EZ29" s="1" t="s">
        <v>288</v>
      </c>
      <c r="FA29" s="3"/>
      <c r="FB29" s="3"/>
      <c r="FC29" s="3"/>
      <c r="FE29" s="1"/>
      <c r="FF29" s="3"/>
      <c r="FG29" s="3"/>
      <c r="FH29" s="3"/>
      <c r="FI29" s="1"/>
      <c r="FJ29" s="3"/>
      <c r="FQ29" s="1" t="s">
        <v>23</v>
      </c>
      <c r="FR29" s="3"/>
      <c r="FS29" s="3"/>
      <c r="FT29" s="3"/>
      <c r="FU29" s="1"/>
      <c r="FV29" s="1"/>
      <c r="FW29" s="3"/>
      <c r="FX29" s="3"/>
      <c r="FY29" s="3"/>
      <c r="GA29" s="1" t="s">
        <v>288</v>
      </c>
      <c r="GB29" s="3"/>
      <c r="GC29" s="3"/>
      <c r="GD29" s="3"/>
      <c r="GE29" s="3"/>
      <c r="GF29" s="3"/>
      <c r="GG29" s="3"/>
      <c r="GH29" s="3"/>
      <c r="GI29" s="3"/>
      <c r="GJ29" s="3"/>
      <c r="GQ29" s="1" t="s">
        <v>23</v>
      </c>
      <c r="GU29" s="3"/>
      <c r="GV29" s="3"/>
      <c r="GW29" s="3"/>
      <c r="GX29" s="3"/>
      <c r="GZ29" s="3"/>
      <c r="HA29" s="1" t="s">
        <v>288</v>
      </c>
      <c r="HB29" s="3"/>
      <c r="HC29" s="3"/>
      <c r="HD29" s="3"/>
      <c r="HE29" s="3"/>
      <c r="HF29" s="3"/>
      <c r="HG29" s="3"/>
      <c r="HH29" s="3"/>
      <c r="HI29" s="3"/>
      <c r="HJ29" s="3"/>
      <c r="HQ29" s="1" t="s">
        <v>23</v>
      </c>
      <c r="HU29" s="3"/>
      <c r="HV29" s="3"/>
      <c r="HW29" s="3"/>
      <c r="HX29" s="3"/>
      <c r="HZ29" s="3"/>
      <c r="IA29" s="1" t="s">
        <v>288</v>
      </c>
      <c r="IB29" s="3"/>
      <c r="IC29" s="3"/>
      <c r="ID29" s="3"/>
      <c r="IE29" s="3"/>
      <c r="IF29" s="3"/>
      <c r="IG29" s="3"/>
      <c r="IH29" s="3"/>
      <c r="II29" s="3"/>
      <c r="IJ29" s="3"/>
      <c r="IQ29" s="1" t="s">
        <v>23</v>
      </c>
      <c r="IU29" s="3"/>
      <c r="IV29" s="3"/>
      <c r="IW29" s="3"/>
      <c r="IX29" s="3"/>
      <c r="IZ29" s="3"/>
      <c r="JA29" s="1" t="s">
        <v>288</v>
      </c>
      <c r="JB29" s="3"/>
      <c r="JC29" s="3"/>
      <c r="JD29" s="3"/>
      <c r="JE29" s="3"/>
      <c r="JQ29" s="1" t="s">
        <v>23</v>
      </c>
      <c r="JU29" s="3"/>
      <c r="JV29" s="3"/>
      <c r="JW29" s="3"/>
      <c r="JX29" s="3"/>
      <c r="JZ29" s="3"/>
      <c r="KA29" s="1" t="s">
        <v>288</v>
      </c>
      <c r="KB29" s="3"/>
      <c r="KC29" s="3"/>
      <c r="KD29" s="3"/>
      <c r="KE29" s="3"/>
      <c r="KF29" s="3"/>
      <c r="KG29" s="1"/>
      <c r="KH29" s="3"/>
      <c r="KI29" s="3"/>
      <c r="KJ29" s="3"/>
      <c r="KK29" s="3"/>
      <c r="KR29" s="1" t="s">
        <v>23</v>
      </c>
      <c r="KV29" s="3"/>
      <c r="KW29" s="3"/>
      <c r="KX29" s="3"/>
      <c r="KY29" s="3"/>
      <c r="LA29" s="3"/>
      <c r="LB29" s="1" t="s">
        <v>288</v>
      </c>
      <c r="LC29" s="3"/>
      <c r="LD29" s="3"/>
      <c r="LE29" s="3"/>
      <c r="LF29" s="3"/>
      <c r="LH29" s="3"/>
      <c r="LI29" s="3"/>
      <c r="LJ29" s="3"/>
      <c r="LR29" s="1" t="s">
        <v>23</v>
      </c>
      <c r="LS29" s="3"/>
      <c r="LT29" s="3"/>
      <c r="LU29" s="3"/>
      <c r="LV29" s="3"/>
      <c r="LW29" s="1"/>
      <c r="LX29" s="3"/>
      <c r="LY29" s="3"/>
      <c r="LZ29" s="3"/>
      <c r="MA29" s="1"/>
      <c r="MB29" s="1" t="s">
        <v>288</v>
      </c>
      <c r="MC29" s="3"/>
      <c r="MD29" s="3"/>
      <c r="ME29" s="3"/>
      <c r="MF29" s="3"/>
      <c r="MH29" s="3"/>
      <c r="MI29" s="3"/>
      <c r="MJ29" s="3"/>
      <c r="MK29" s="3"/>
      <c r="ML29" s="1"/>
      <c r="MM29" s="3"/>
      <c r="MN29" s="3"/>
      <c r="MO29" s="3"/>
      <c r="MP29" s="3"/>
      <c r="MW29" s="1" t="s">
        <v>23</v>
      </c>
      <c r="MX29" s="3"/>
      <c r="MY29" s="3"/>
      <c r="MZ29" s="3"/>
      <c r="NA29" s="1"/>
      <c r="NB29" s="1"/>
      <c r="NC29" s="3"/>
      <c r="ND29" s="3"/>
      <c r="NE29" s="3"/>
      <c r="NF29" s="1"/>
      <c r="NG29" s="1" t="s">
        <v>288</v>
      </c>
      <c r="NH29" s="3"/>
      <c r="NI29" s="3"/>
      <c r="NJ29" s="3"/>
      <c r="NM29" s="3"/>
      <c r="NN29" s="3"/>
      <c r="NO29" s="3"/>
      <c r="NP29" s="3"/>
      <c r="NQ29" s="3"/>
      <c r="NX29" s="1" t="s">
        <v>23</v>
      </c>
      <c r="NY29" s="3"/>
      <c r="NZ29" s="3"/>
      <c r="OA29" s="3"/>
      <c r="OB29" s="1"/>
      <c r="OC29" s="1"/>
      <c r="OD29" s="3"/>
      <c r="OE29" s="3"/>
      <c r="OF29" s="3"/>
      <c r="OG29" s="1"/>
      <c r="OH29" s="1" t="s">
        <v>288</v>
      </c>
      <c r="OI29" s="3"/>
      <c r="OJ29" s="3"/>
      <c r="OK29" s="3"/>
      <c r="OM29" s="1"/>
      <c r="ON29" s="3"/>
      <c r="OO29" s="3"/>
      <c r="OP29" s="3"/>
      <c r="OQ29" s="3"/>
      <c r="OR29" s="3"/>
      <c r="OY29" s="1" t="s">
        <v>23</v>
      </c>
      <c r="OZ29" s="3"/>
      <c r="PA29" s="3"/>
      <c r="PB29" s="3"/>
      <c r="PC29" s="1"/>
      <c r="PD29" s="1"/>
      <c r="PE29" s="3"/>
      <c r="PF29" s="3"/>
      <c r="PG29" s="3"/>
      <c r="PH29" s="1"/>
      <c r="PI29" s="1" t="s">
        <v>288</v>
      </c>
      <c r="PJ29" s="3"/>
      <c r="PK29" s="3"/>
      <c r="PL29" s="3"/>
      <c r="PO29" s="3"/>
      <c r="PP29" s="3"/>
      <c r="PQ29" s="3"/>
      <c r="PR29" s="3"/>
      <c r="PS29" s="3"/>
      <c r="PZ29" s="1" t="s">
        <v>23</v>
      </c>
      <c r="QA29" s="3"/>
      <c r="QB29" s="3"/>
      <c r="QC29" s="3"/>
      <c r="QD29" s="1"/>
      <c r="QE29" s="1"/>
      <c r="QF29" s="3"/>
      <c r="QG29" s="3"/>
      <c r="QH29" s="3"/>
      <c r="QI29" s="1"/>
      <c r="QJ29" s="1" t="s">
        <v>288</v>
      </c>
      <c r="QK29" s="3"/>
      <c r="QL29" s="3"/>
      <c r="QM29" s="3"/>
      <c r="QP29" s="3"/>
      <c r="QQ29" s="3"/>
      <c r="QR29" s="3"/>
      <c r="QS29" s="3"/>
      <c r="QZ29" s="1" t="s">
        <v>23</v>
      </c>
      <c r="RA29" s="3"/>
      <c r="RB29" s="3"/>
      <c r="RC29" s="3"/>
      <c r="RD29" s="1"/>
      <c r="RE29" s="1"/>
      <c r="RF29" s="3"/>
      <c r="RG29" s="3"/>
      <c r="RH29" s="3"/>
      <c r="RI29" s="1"/>
      <c r="RJ29" s="1" t="s">
        <v>288</v>
      </c>
      <c r="RK29" s="3"/>
      <c r="RL29" s="3"/>
      <c r="RM29" s="3"/>
      <c r="RN29" s="3"/>
      <c r="RP29" s="3"/>
      <c r="RQ29" s="3"/>
      <c r="RR29" s="3"/>
      <c r="RS29" s="1"/>
      <c r="RT29" s="3"/>
      <c r="SA29" s="1" t="s">
        <v>23</v>
      </c>
      <c r="SB29" s="3"/>
      <c r="SC29" s="3"/>
      <c r="SD29" s="3"/>
      <c r="SE29" s="1"/>
      <c r="SF29" s="1"/>
      <c r="SG29" s="3"/>
      <c r="SH29" s="3"/>
      <c r="SI29" s="3"/>
      <c r="SJ29" s="1"/>
      <c r="SK29" s="1" t="s">
        <v>288</v>
      </c>
      <c r="SL29" s="3"/>
      <c r="SM29" s="3"/>
      <c r="SN29" s="3"/>
      <c r="SO29" s="1"/>
      <c r="SP29" s="1"/>
      <c r="SQ29" s="3"/>
      <c r="SR29" s="3"/>
      <c r="SS29" s="3"/>
      <c r="ST29" s="1"/>
      <c r="TA29" s="1" t="s">
        <v>23</v>
      </c>
      <c r="TB29" s="3"/>
      <c r="TC29" s="3"/>
      <c r="TD29" s="3"/>
      <c r="TE29" s="1"/>
      <c r="TF29" s="1"/>
      <c r="TG29" s="3"/>
      <c r="TH29" s="3"/>
      <c r="TI29" s="3"/>
      <c r="TJ29" s="1"/>
      <c r="TK29" s="1" t="s">
        <v>288</v>
      </c>
      <c r="TL29" s="3"/>
      <c r="TM29" s="3"/>
      <c r="TN29" s="3"/>
      <c r="TO29" s="1"/>
      <c r="TP29" s="1"/>
      <c r="TQ29" s="3"/>
      <c r="TR29" s="3"/>
      <c r="TS29" s="3"/>
      <c r="TT29" s="1"/>
    </row>
    <row r="30" spans="2:540" ht="28.35" customHeight="1" x14ac:dyDescent="0.4">
      <c r="C30" s="2"/>
      <c r="H30" s="1" t="s">
        <v>24</v>
      </c>
      <c r="I30" s="2"/>
      <c r="J30" s="2"/>
      <c r="K30" s="2"/>
      <c r="Q30" s="2"/>
      <c r="V30" s="1" t="s">
        <v>24</v>
      </c>
      <c r="W30" s="2"/>
      <c r="X30" s="2"/>
      <c r="Y30" s="2"/>
      <c r="AE30" s="2"/>
      <c r="AJ30" s="1" t="s">
        <v>24</v>
      </c>
      <c r="AK30" s="2"/>
      <c r="AL30" s="2"/>
      <c r="AM30" s="2"/>
      <c r="AS30" s="2"/>
      <c r="AX30" s="1" t="s">
        <v>24</v>
      </c>
      <c r="AY30" s="2"/>
      <c r="AZ30" s="2"/>
      <c r="BA30" s="2"/>
      <c r="BG30" s="2"/>
      <c r="BL30" s="1" t="s">
        <v>24</v>
      </c>
      <c r="BM30" s="2"/>
      <c r="BN30" s="2"/>
      <c r="BO30" s="2"/>
      <c r="BU30" s="2"/>
      <c r="BZ30" s="1" t="s">
        <v>24</v>
      </c>
      <c r="CA30" s="2"/>
      <c r="CB30" s="2"/>
      <c r="CC30" s="2"/>
      <c r="CI30" s="2"/>
      <c r="CN30" s="1" t="s">
        <v>24</v>
      </c>
      <c r="CO30" s="2"/>
      <c r="CP30" s="2"/>
      <c r="CQ30" s="2"/>
      <c r="CW30" s="2"/>
      <c r="DB30" s="1" t="s">
        <v>24</v>
      </c>
      <c r="DC30" s="2"/>
      <c r="DD30" s="2"/>
      <c r="DE30" s="2"/>
      <c r="DK30" s="2"/>
      <c r="DP30" s="1" t="s">
        <v>24</v>
      </c>
      <c r="DQ30" s="2"/>
      <c r="DR30" s="2"/>
      <c r="DS30" s="2"/>
      <c r="DX30" s="2"/>
      <c r="DZ30" s="1" t="s">
        <v>289</v>
      </c>
      <c r="EJ30" s="3"/>
      <c r="EK30" s="3"/>
      <c r="EP30" s="1" t="s">
        <v>24</v>
      </c>
      <c r="ET30" s="3"/>
      <c r="EU30" s="3"/>
      <c r="EV30" s="3"/>
      <c r="EW30" s="3"/>
      <c r="EY30" s="1"/>
      <c r="EZ30" s="1" t="s">
        <v>289</v>
      </c>
      <c r="FA30" s="3"/>
      <c r="FB30" s="3"/>
      <c r="FC30" s="3"/>
      <c r="FE30" s="1"/>
      <c r="FF30" s="3"/>
      <c r="FG30" s="3"/>
      <c r="FH30" s="3"/>
      <c r="FI30" s="1"/>
      <c r="FJ30" s="3"/>
      <c r="FQ30" s="1" t="s">
        <v>24</v>
      </c>
      <c r="FR30" s="3"/>
      <c r="FS30" s="3"/>
      <c r="FT30" s="3"/>
      <c r="FU30" s="1"/>
      <c r="FV30" s="1"/>
      <c r="FW30" s="3"/>
      <c r="FX30" s="3"/>
      <c r="FY30" s="3"/>
      <c r="GA30" s="1" t="s">
        <v>289</v>
      </c>
      <c r="GB30" s="3"/>
      <c r="GC30" s="3"/>
      <c r="GD30" s="3"/>
      <c r="GE30" s="3"/>
      <c r="GF30" s="3"/>
      <c r="GG30" s="3"/>
      <c r="GH30" s="3"/>
      <c r="GI30" s="3"/>
      <c r="GJ30" s="3"/>
      <c r="GQ30" s="1" t="s">
        <v>24</v>
      </c>
      <c r="GU30" s="3"/>
      <c r="GV30" s="3"/>
      <c r="GW30" s="3"/>
      <c r="GX30" s="3"/>
      <c r="GZ30" s="3"/>
      <c r="HA30" s="1" t="s">
        <v>289</v>
      </c>
      <c r="HB30" s="3"/>
      <c r="HC30" s="3"/>
      <c r="HD30" s="3"/>
      <c r="HE30" s="3"/>
      <c r="HF30" s="3"/>
      <c r="HG30" s="3"/>
      <c r="HH30" s="3"/>
      <c r="HI30" s="3"/>
      <c r="HJ30" s="3"/>
      <c r="HQ30" s="1" t="s">
        <v>24</v>
      </c>
      <c r="HU30" s="3"/>
      <c r="HV30" s="3"/>
      <c r="HW30" s="3"/>
      <c r="HX30" s="3"/>
      <c r="HZ30" s="3"/>
      <c r="IA30" s="1" t="s">
        <v>289</v>
      </c>
      <c r="IB30" s="3"/>
      <c r="IC30" s="3"/>
      <c r="ID30" s="3"/>
      <c r="IE30" s="3"/>
      <c r="IF30" s="3"/>
      <c r="IG30" s="3"/>
      <c r="IH30" s="3"/>
      <c r="II30" s="3"/>
      <c r="IJ30" s="3"/>
      <c r="IQ30" s="1" t="s">
        <v>24</v>
      </c>
      <c r="IU30" s="3"/>
      <c r="IV30" s="3"/>
      <c r="IW30" s="3"/>
      <c r="IX30" s="3"/>
      <c r="IZ30" s="3"/>
      <c r="JA30" s="1" t="s">
        <v>289</v>
      </c>
      <c r="JB30" s="3"/>
      <c r="JC30" s="3"/>
      <c r="JD30" s="3"/>
      <c r="JE30" s="3"/>
      <c r="JQ30" s="1" t="s">
        <v>24</v>
      </c>
      <c r="JU30" s="3"/>
      <c r="JV30" s="3"/>
      <c r="JW30" s="3"/>
      <c r="JX30" s="3"/>
      <c r="JZ30" s="3"/>
      <c r="KA30" s="1" t="s">
        <v>289</v>
      </c>
      <c r="KB30" s="3"/>
      <c r="KC30" s="3"/>
      <c r="KD30" s="3"/>
      <c r="KE30" s="3"/>
      <c r="KF30" s="3"/>
      <c r="KG30" s="1"/>
      <c r="KH30" s="3"/>
      <c r="KI30" s="3"/>
      <c r="KJ30" s="3"/>
      <c r="KK30" s="3"/>
      <c r="KR30" s="1" t="s">
        <v>24</v>
      </c>
      <c r="KV30" s="3"/>
      <c r="KW30" s="3"/>
      <c r="KX30" s="3"/>
      <c r="KY30" s="3"/>
      <c r="LA30" s="3"/>
      <c r="LB30" s="1" t="s">
        <v>289</v>
      </c>
      <c r="LC30" s="3"/>
      <c r="LD30" s="3"/>
      <c r="LE30" s="3"/>
      <c r="LF30" s="3"/>
      <c r="LH30" s="3"/>
      <c r="LI30" s="3"/>
      <c r="LJ30" s="3"/>
      <c r="LR30" s="1" t="s">
        <v>24</v>
      </c>
      <c r="LS30" s="3"/>
      <c r="LT30" s="3"/>
      <c r="LU30" s="3"/>
      <c r="LV30" s="3"/>
      <c r="LW30" s="1"/>
      <c r="LX30" s="3"/>
      <c r="LY30" s="3"/>
      <c r="LZ30" s="3"/>
      <c r="MA30" s="1"/>
      <c r="MB30" s="1" t="s">
        <v>289</v>
      </c>
      <c r="MC30" s="3"/>
      <c r="MD30" s="3"/>
      <c r="ME30" s="3"/>
      <c r="MF30" s="3"/>
      <c r="MH30" s="3"/>
      <c r="MI30" s="3"/>
      <c r="MJ30" s="3"/>
      <c r="MK30" s="3"/>
      <c r="ML30" s="1"/>
      <c r="MM30" s="3"/>
      <c r="MN30" s="3"/>
      <c r="MO30" s="3"/>
      <c r="MP30" s="3"/>
      <c r="MW30" s="1" t="s">
        <v>24</v>
      </c>
      <c r="MX30" s="3"/>
      <c r="MY30" s="3"/>
      <c r="MZ30" s="3"/>
      <c r="NA30" s="1"/>
      <c r="NB30" s="1"/>
      <c r="NC30" s="3"/>
      <c r="ND30" s="3"/>
      <c r="NE30" s="3"/>
      <c r="NF30" s="1"/>
      <c r="NG30" s="1" t="s">
        <v>289</v>
      </c>
      <c r="NH30" s="3"/>
      <c r="NI30" s="3"/>
      <c r="NJ30" s="3"/>
      <c r="NM30" s="3"/>
      <c r="NN30" s="3"/>
      <c r="NO30" s="3"/>
      <c r="NP30" s="3"/>
      <c r="NQ30" s="3"/>
      <c r="NX30" s="1" t="s">
        <v>24</v>
      </c>
      <c r="NY30" s="3"/>
      <c r="NZ30" s="3"/>
      <c r="OA30" s="3"/>
      <c r="OB30" s="1"/>
      <c r="OC30" s="1"/>
      <c r="OD30" s="3"/>
      <c r="OE30" s="3"/>
      <c r="OF30" s="3"/>
      <c r="OG30" s="1"/>
      <c r="OH30" s="1" t="s">
        <v>289</v>
      </c>
      <c r="OI30" s="3"/>
      <c r="OJ30" s="3"/>
      <c r="OK30" s="3"/>
      <c r="OM30" s="1"/>
      <c r="ON30" s="3"/>
      <c r="OO30" s="3"/>
      <c r="OP30" s="3"/>
      <c r="OQ30" s="3"/>
      <c r="OR30" s="3"/>
      <c r="OY30" s="1" t="s">
        <v>24</v>
      </c>
      <c r="OZ30" s="3"/>
      <c r="PA30" s="3"/>
      <c r="PB30" s="3"/>
      <c r="PC30" s="1"/>
      <c r="PD30" s="1"/>
      <c r="PE30" s="3"/>
      <c r="PF30" s="3"/>
      <c r="PG30" s="3"/>
      <c r="PH30" s="1"/>
      <c r="PI30" s="1" t="s">
        <v>289</v>
      </c>
      <c r="PJ30" s="3"/>
      <c r="PK30" s="3"/>
      <c r="PL30" s="3"/>
      <c r="PO30" s="3"/>
      <c r="PP30" s="3"/>
      <c r="PQ30" s="3"/>
      <c r="PR30" s="3"/>
      <c r="PS30" s="3"/>
      <c r="PZ30" s="1" t="s">
        <v>24</v>
      </c>
      <c r="QA30" s="3"/>
      <c r="QB30" s="3"/>
      <c r="QC30" s="3"/>
      <c r="QD30" s="1"/>
      <c r="QE30" s="1"/>
      <c r="QF30" s="3"/>
      <c r="QG30" s="3"/>
      <c r="QH30" s="3"/>
      <c r="QI30" s="1"/>
      <c r="QJ30" s="1" t="s">
        <v>289</v>
      </c>
      <c r="QK30" s="3"/>
      <c r="QL30" s="3"/>
      <c r="QM30" s="3"/>
      <c r="QP30" s="3"/>
      <c r="QQ30" s="3"/>
      <c r="QR30" s="3"/>
      <c r="QS30" s="3"/>
      <c r="QZ30" s="1" t="s">
        <v>24</v>
      </c>
      <c r="RA30" s="3"/>
      <c r="RB30" s="3"/>
      <c r="RC30" s="3"/>
      <c r="RD30" s="1"/>
      <c r="RE30" s="1"/>
      <c r="RF30" s="3"/>
      <c r="RG30" s="3"/>
      <c r="RH30" s="3"/>
      <c r="RI30" s="1"/>
      <c r="RJ30" s="1" t="s">
        <v>289</v>
      </c>
      <c r="RK30" s="3"/>
      <c r="RL30" s="3"/>
      <c r="RM30" s="3"/>
      <c r="RN30" s="3"/>
      <c r="RP30" s="3"/>
      <c r="RQ30" s="3"/>
      <c r="RR30" s="3"/>
      <c r="RS30" s="1"/>
      <c r="RT30" s="3"/>
      <c r="SA30" s="1" t="s">
        <v>24</v>
      </c>
      <c r="SB30" s="3"/>
      <c r="SC30" s="3"/>
      <c r="SD30" s="3"/>
      <c r="SE30" s="1"/>
      <c r="SF30" s="1"/>
      <c r="SG30" s="3"/>
      <c r="SH30" s="3"/>
      <c r="SI30" s="3"/>
      <c r="SJ30" s="1"/>
      <c r="SK30" s="1" t="s">
        <v>289</v>
      </c>
      <c r="SL30" s="3"/>
      <c r="SM30" s="3"/>
      <c r="SN30" s="3"/>
      <c r="SO30" s="1"/>
      <c r="SP30" s="1"/>
      <c r="SQ30" s="3"/>
      <c r="SR30" s="3"/>
      <c r="SS30" s="3"/>
      <c r="ST30" s="1"/>
      <c r="TA30" s="1" t="s">
        <v>24</v>
      </c>
      <c r="TB30" s="3"/>
      <c r="TC30" s="3"/>
      <c r="TD30" s="3"/>
      <c r="TE30" s="1"/>
      <c r="TF30" s="1"/>
      <c r="TG30" s="3"/>
      <c r="TH30" s="3"/>
      <c r="TI30" s="3"/>
      <c r="TJ30" s="1"/>
      <c r="TK30" s="1" t="s">
        <v>289</v>
      </c>
      <c r="TL30" s="3"/>
      <c r="TM30" s="3"/>
      <c r="TN30" s="3"/>
      <c r="TO30" s="1"/>
      <c r="TP30" s="1"/>
      <c r="TQ30" s="3"/>
      <c r="TR30" s="3"/>
      <c r="TS30" s="3"/>
      <c r="TT30" s="1"/>
    </row>
    <row r="31" spans="2:540" ht="28.35" customHeight="1" x14ac:dyDescent="0.4">
      <c r="C31" s="2"/>
      <c r="H31" s="1" t="s">
        <v>25</v>
      </c>
      <c r="I31" s="2"/>
      <c r="J31" s="2"/>
      <c r="K31" s="2"/>
      <c r="Q31" s="2"/>
      <c r="V31" s="1" t="s">
        <v>25</v>
      </c>
      <c r="W31" s="2"/>
      <c r="X31" s="2"/>
      <c r="Y31" s="2"/>
      <c r="AE31" s="2"/>
      <c r="AJ31" s="1" t="s">
        <v>25</v>
      </c>
      <c r="AK31" s="2"/>
      <c r="AL31" s="2"/>
      <c r="AM31" s="2"/>
      <c r="AS31" s="2"/>
      <c r="AX31" s="1" t="s">
        <v>25</v>
      </c>
      <c r="AY31" s="2"/>
      <c r="AZ31" s="2"/>
      <c r="BA31" s="2"/>
      <c r="BG31" s="2"/>
      <c r="BL31" s="1" t="s">
        <v>25</v>
      </c>
      <c r="BM31" s="2"/>
      <c r="BN31" s="2"/>
      <c r="BO31" s="2"/>
      <c r="BU31" s="2"/>
      <c r="BZ31" s="1" t="s">
        <v>25</v>
      </c>
      <c r="CA31" s="2"/>
      <c r="CB31" s="2"/>
      <c r="CC31" s="2"/>
      <c r="CI31" s="2"/>
      <c r="CN31" s="1" t="s">
        <v>25</v>
      </c>
      <c r="CO31" s="2"/>
      <c r="CP31" s="2"/>
      <c r="CQ31" s="2"/>
      <c r="CW31" s="2"/>
      <c r="DB31" s="1" t="s">
        <v>25</v>
      </c>
      <c r="DC31" s="2"/>
      <c r="DD31" s="2"/>
      <c r="DE31" s="2"/>
      <c r="DK31" s="2"/>
      <c r="DP31" s="1" t="s">
        <v>25</v>
      </c>
      <c r="DQ31" s="2"/>
      <c r="DR31" s="2"/>
      <c r="DS31" s="2"/>
      <c r="DX31" s="2"/>
      <c r="EP31" s="1" t="s">
        <v>25</v>
      </c>
      <c r="ET31" s="3"/>
      <c r="EU31" s="3"/>
      <c r="EV31" s="3"/>
      <c r="EW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Q31" s="1" t="s">
        <v>25</v>
      </c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Q31" s="1" t="s">
        <v>25</v>
      </c>
      <c r="GU31" s="3"/>
      <c r="GV31" s="3"/>
      <c r="GW31" s="3"/>
      <c r="GX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Q31" s="1" t="s">
        <v>25</v>
      </c>
      <c r="HU31" s="3"/>
      <c r="HV31" s="3"/>
      <c r="HW31" s="3"/>
      <c r="HX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Q31" s="1" t="s">
        <v>25</v>
      </c>
      <c r="IU31" s="3"/>
      <c r="IV31" s="3"/>
      <c r="IW31" s="3"/>
      <c r="IX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Q31" s="1" t="s">
        <v>25</v>
      </c>
      <c r="JU31" s="3"/>
      <c r="JV31" s="3"/>
      <c r="JW31" s="3"/>
      <c r="JX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R31" s="1" t="s">
        <v>25</v>
      </c>
      <c r="KV31" s="3"/>
      <c r="KW31" s="3"/>
      <c r="KX31" s="3"/>
      <c r="KY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R31" s="1" t="s">
        <v>25</v>
      </c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W31" s="1" t="s">
        <v>25</v>
      </c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X31" s="1" t="s">
        <v>25</v>
      </c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Y31" s="1" t="s">
        <v>25</v>
      </c>
      <c r="OZ31" s="3"/>
      <c r="PA31" s="3"/>
      <c r="PB31" s="3"/>
      <c r="PC31" s="3"/>
      <c r="PD31" s="3"/>
      <c r="PE31" s="3"/>
      <c r="PF31" s="3"/>
      <c r="PG31" s="3"/>
      <c r="PH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Z31" s="1" t="s">
        <v>25</v>
      </c>
      <c r="QA31" s="3"/>
      <c r="QB31" s="3"/>
      <c r="QC31" s="3"/>
      <c r="QD31" s="3"/>
      <c r="QE31" s="3"/>
      <c r="QF31" s="3"/>
      <c r="QG31" s="3"/>
      <c r="QH31" s="3"/>
      <c r="QI31" s="3"/>
      <c r="QK31" s="3"/>
      <c r="QL31" s="3"/>
      <c r="QM31" s="3"/>
      <c r="QN31" s="3"/>
      <c r="QO31" s="3"/>
      <c r="QP31" s="3"/>
      <c r="QQ31" s="3"/>
      <c r="QR31" s="3"/>
      <c r="QS31" s="3"/>
      <c r="QZ31" s="1" t="s">
        <v>25</v>
      </c>
      <c r="RA31" s="3"/>
      <c r="RB31" s="3"/>
      <c r="RC31" s="3"/>
      <c r="RD31" s="3"/>
      <c r="RE31" s="3"/>
      <c r="RF31" s="3"/>
      <c r="RG31" s="3"/>
      <c r="RH31" s="3"/>
      <c r="RI31" s="3"/>
      <c r="RK31" s="3"/>
      <c r="RL31" s="3"/>
      <c r="RM31" s="3"/>
      <c r="RN31" s="3"/>
      <c r="RP31" s="3"/>
      <c r="RQ31" s="3"/>
      <c r="RR31" s="3"/>
      <c r="RS31" s="3"/>
      <c r="RT31" s="3"/>
      <c r="SA31" s="1" t="s">
        <v>25</v>
      </c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TA31" s="1" t="s">
        <v>25</v>
      </c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</row>
    <row r="32" spans="2:540" ht="28.35" customHeight="1" x14ac:dyDescent="0.4">
      <c r="C32" s="2"/>
      <c r="H32" s="1" t="s">
        <v>26</v>
      </c>
      <c r="I32" s="2"/>
      <c r="J32" s="2"/>
      <c r="K32" s="2"/>
      <c r="Q32" s="2"/>
      <c r="V32" s="1" t="s">
        <v>26</v>
      </c>
      <c r="W32" s="2"/>
      <c r="X32" s="2"/>
      <c r="Y32" s="2"/>
      <c r="AE32" s="2"/>
      <c r="AJ32" s="1" t="s">
        <v>26</v>
      </c>
      <c r="AK32" s="2"/>
      <c r="AL32" s="2"/>
      <c r="AM32" s="2"/>
      <c r="AS32" s="2"/>
      <c r="AX32" s="1" t="s">
        <v>26</v>
      </c>
      <c r="AY32" s="2"/>
      <c r="AZ32" s="2"/>
      <c r="BA32" s="2"/>
      <c r="BG32" s="2"/>
      <c r="BL32" s="1" t="s">
        <v>26</v>
      </c>
      <c r="BM32" s="2"/>
      <c r="BN32" s="2"/>
      <c r="BO32" s="2"/>
      <c r="BU32" s="2"/>
      <c r="BZ32" s="1" t="s">
        <v>26</v>
      </c>
      <c r="CA32" s="2"/>
      <c r="CB32" s="2"/>
      <c r="CC32" s="2"/>
      <c r="CI32" s="2"/>
      <c r="CN32" s="1" t="s">
        <v>26</v>
      </c>
      <c r="CO32" s="2"/>
      <c r="CP32" s="2"/>
      <c r="CQ32" s="2"/>
      <c r="CW32" s="2"/>
      <c r="DB32" s="1" t="s">
        <v>26</v>
      </c>
      <c r="DC32" s="2"/>
      <c r="DD32" s="2"/>
      <c r="DE32" s="2"/>
      <c r="DK32" s="2"/>
      <c r="DP32" s="1" t="s">
        <v>26</v>
      </c>
      <c r="DQ32" s="2"/>
      <c r="DR32" s="2"/>
      <c r="DX32" s="2"/>
      <c r="EP32" s="1" t="s">
        <v>26</v>
      </c>
      <c r="ES32" s="3"/>
      <c r="ET32" s="3"/>
      <c r="EU32" s="3"/>
      <c r="EV32" s="3"/>
      <c r="EW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Q32" s="1" t="s">
        <v>26</v>
      </c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Q32" s="1" t="s">
        <v>26</v>
      </c>
      <c r="GT32" s="3"/>
      <c r="GU32" s="3"/>
      <c r="GV32" s="3"/>
      <c r="GW32" s="3"/>
      <c r="GX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Q32" s="1" t="s">
        <v>26</v>
      </c>
      <c r="HT32" s="3"/>
      <c r="HU32" s="3"/>
      <c r="HV32" s="3"/>
      <c r="HW32" s="3"/>
      <c r="HX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Q32" s="1" t="s">
        <v>26</v>
      </c>
      <c r="IT32" s="3"/>
      <c r="IU32" s="3"/>
      <c r="IV32" s="3"/>
      <c r="IW32" s="3"/>
      <c r="IX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Q32" s="1" t="s">
        <v>26</v>
      </c>
      <c r="JT32" s="3"/>
      <c r="JU32" s="3"/>
      <c r="JV32" s="3"/>
      <c r="JW32" s="3"/>
      <c r="JX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R32" s="1" t="s">
        <v>26</v>
      </c>
      <c r="KU32" s="3"/>
      <c r="KV32" s="3"/>
      <c r="KW32" s="3"/>
      <c r="KX32" s="3"/>
      <c r="KY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R32" s="1" t="s">
        <v>26</v>
      </c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W32" s="1" t="s">
        <v>26</v>
      </c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X32" s="1" t="s">
        <v>26</v>
      </c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Y32" s="1" t="s">
        <v>26</v>
      </c>
      <c r="OZ32" s="3"/>
      <c r="PA32" s="3"/>
      <c r="PB32" s="3"/>
      <c r="PC32" s="3"/>
      <c r="PD32" s="3"/>
      <c r="PE32" s="3"/>
      <c r="PF32" s="3"/>
      <c r="PG32" s="3"/>
      <c r="PH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Z32" s="1" t="s">
        <v>26</v>
      </c>
      <c r="QA32" s="3"/>
      <c r="QB32" s="3"/>
      <c r="QC32" s="3"/>
      <c r="QD32" s="3"/>
      <c r="QE32" s="3"/>
      <c r="QF32" s="3"/>
      <c r="QG32" s="3"/>
      <c r="QH32" s="3"/>
      <c r="QI32" s="3"/>
      <c r="QK32" s="3"/>
      <c r="QL32" s="3"/>
      <c r="QM32" s="3"/>
      <c r="QN32" s="3"/>
      <c r="QO32" s="3"/>
      <c r="QP32" s="3"/>
      <c r="QQ32" s="3"/>
      <c r="QR32" s="3"/>
      <c r="QS32" s="3"/>
      <c r="QZ32" s="1" t="s">
        <v>26</v>
      </c>
      <c r="RA32" s="3"/>
      <c r="RB32" s="3"/>
      <c r="RC32" s="3"/>
      <c r="RD32" s="3"/>
      <c r="RE32" s="3"/>
      <c r="RF32" s="3"/>
      <c r="RG32" s="3"/>
      <c r="RH32" s="3"/>
      <c r="RI32" s="3"/>
      <c r="RK32" s="3"/>
      <c r="RL32" s="3"/>
      <c r="RM32" s="3"/>
      <c r="RN32" s="3"/>
      <c r="RP32" s="3"/>
      <c r="RQ32" s="3"/>
      <c r="RR32" s="3"/>
      <c r="RS32" s="3"/>
      <c r="RT32" s="3"/>
      <c r="SA32" s="1" t="s">
        <v>26</v>
      </c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TA32" s="1" t="s">
        <v>26</v>
      </c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</row>
    <row r="33" spans="3:540" ht="28.35" customHeight="1" x14ac:dyDescent="0.4">
      <c r="C33" s="2"/>
      <c r="H33" s="1" t="s">
        <v>151</v>
      </c>
      <c r="I33" s="2"/>
      <c r="J33" s="2"/>
      <c r="K33" s="2"/>
      <c r="Q33" s="2"/>
      <c r="V33" s="1" t="s">
        <v>151</v>
      </c>
      <c r="W33" s="2"/>
      <c r="X33" s="2"/>
      <c r="Y33" s="2"/>
      <c r="AE33" s="2"/>
      <c r="AJ33" s="1" t="s">
        <v>151</v>
      </c>
      <c r="AK33" s="2"/>
      <c r="AL33" s="2"/>
      <c r="AM33" s="2"/>
      <c r="AS33" s="2"/>
      <c r="AX33" s="1" t="s">
        <v>151</v>
      </c>
      <c r="AY33" s="2"/>
      <c r="AZ33" s="2"/>
      <c r="BA33" s="2"/>
      <c r="BG33" s="2"/>
      <c r="BL33" s="1" t="s">
        <v>151</v>
      </c>
      <c r="BM33" s="2"/>
      <c r="BN33" s="2"/>
      <c r="BO33" s="2"/>
      <c r="BU33" s="2"/>
      <c r="BZ33" s="1" t="s">
        <v>151</v>
      </c>
      <c r="CA33" s="2"/>
      <c r="CB33" s="2"/>
      <c r="CC33" s="2"/>
      <c r="CI33" s="2"/>
      <c r="CN33" s="1" t="s">
        <v>151</v>
      </c>
      <c r="CO33" s="2"/>
      <c r="CP33" s="2"/>
      <c r="CQ33" s="2"/>
      <c r="CW33" s="2"/>
      <c r="DB33" s="1" t="s">
        <v>151</v>
      </c>
      <c r="DC33" s="2"/>
      <c r="DD33" s="2"/>
      <c r="DE33" s="2"/>
      <c r="DK33" s="2"/>
      <c r="DP33" s="1" t="s">
        <v>290</v>
      </c>
      <c r="DQ33" s="2"/>
      <c r="DR33" s="2"/>
      <c r="DX33" s="2"/>
      <c r="EP33" s="1" t="s">
        <v>290</v>
      </c>
      <c r="ES33" s="3"/>
      <c r="ET33" s="3"/>
      <c r="EU33" s="3"/>
      <c r="EV33" s="3"/>
      <c r="EW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Q33" s="1" t="s">
        <v>290</v>
      </c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Q33" s="1" t="s">
        <v>290</v>
      </c>
      <c r="GT33" s="3"/>
      <c r="GU33" s="3"/>
      <c r="GV33" s="3"/>
      <c r="GW33" s="3"/>
      <c r="GX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Q33" s="1" t="s">
        <v>290</v>
      </c>
      <c r="HT33" s="3"/>
      <c r="HU33" s="3"/>
      <c r="HV33" s="3"/>
      <c r="HW33" s="3"/>
      <c r="HX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Q33" s="1" t="s">
        <v>290</v>
      </c>
      <c r="IT33" s="3"/>
      <c r="IU33" s="3"/>
      <c r="IV33" s="3"/>
      <c r="IW33" s="3"/>
      <c r="IX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Q33" s="1" t="s">
        <v>290</v>
      </c>
      <c r="JT33" s="3"/>
      <c r="JU33" s="3"/>
      <c r="JV33" s="3"/>
      <c r="JW33" s="3"/>
      <c r="JX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R33" s="1" t="s">
        <v>290</v>
      </c>
      <c r="KU33" s="3"/>
      <c r="KV33" s="3"/>
      <c r="KW33" s="3"/>
      <c r="KX33" s="3"/>
      <c r="KY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R33" s="1" t="s">
        <v>290</v>
      </c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W33" s="1" t="s">
        <v>290</v>
      </c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X33" s="1" t="s">
        <v>290</v>
      </c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Y33" s="1" t="s">
        <v>290</v>
      </c>
      <c r="OZ33" s="3"/>
      <c r="PA33" s="3"/>
      <c r="PB33" s="3"/>
      <c r="PC33" s="3"/>
      <c r="PD33" s="3"/>
      <c r="PE33" s="3"/>
      <c r="PF33" s="3"/>
      <c r="PG33" s="3"/>
      <c r="PH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Z33" s="1" t="s">
        <v>290</v>
      </c>
      <c r="QA33" s="3"/>
      <c r="QB33" s="3"/>
      <c r="QC33" s="3"/>
      <c r="QD33" s="3"/>
      <c r="QE33" s="3"/>
      <c r="QF33" s="3"/>
      <c r="QG33" s="3"/>
      <c r="QH33" s="3"/>
      <c r="QI33" s="3"/>
      <c r="QK33" s="3"/>
      <c r="QL33" s="3"/>
      <c r="QM33" s="3"/>
      <c r="QN33" s="3"/>
      <c r="QO33" s="3"/>
      <c r="QP33" s="3"/>
      <c r="QQ33" s="3"/>
      <c r="QR33" s="3"/>
      <c r="QS33" s="3"/>
      <c r="QZ33" s="1" t="s">
        <v>290</v>
      </c>
      <c r="RA33" s="3"/>
      <c r="RB33" s="3"/>
      <c r="RC33" s="3"/>
      <c r="RD33" s="3"/>
      <c r="RE33" s="3"/>
      <c r="RF33" s="3"/>
      <c r="RG33" s="3"/>
      <c r="RH33" s="3"/>
      <c r="RI33" s="3"/>
      <c r="RK33" s="3"/>
      <c r="RL33" s="3"/>
      <c r="RM33" s="3"/>
      <c r="RN33" s="3"/>
      <c r="RP33" s="3"/>
      <c r="RQ33" s="3"/>
      <c r="RR33" s="3"/>
      <c r="RS33" s="3"/>
      <c r="RT33" s="3"/>
      <c r="SA33" s="1" t="s">
        <v>290</v>
      </c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TA33" s="1" t="s">
        <v>290</v>
      </c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</row>
    <row r="34" spans="3:540" ht="28.35" customHeight="1" x14ac:dyDescent="0.4">
      <c r="C34" s="2"/>
      <c r="H34" s="1" t="s">
        <v>176</v>
      </c>
      <c r="I34" s="2"/>
      <c r="J34" s="2"/>
      <c r="K34" s="2"/>
      <c r="Q34" s="2"/>
      <c r="V34" s="1" t="s">
        <v>176</v>
      </c>
      <c r="W34" s="2"/>
      <c r="X34" s="2"/>
      <c r="Y34" s="2"/>
      <c r="AE34" s="2"/>
      <c r="AJ34" s="1" t="s">
        <v>176</v>
      </c>
      <c r="AK34" s="2"/>
      <c r="AL34" s="2"/>
      <c r="AM34" s="2"/>
      <c r="AS34" s="2"/>
      <c r="AX34" s="1" t="s">
        <v>176</v>
      </c>
      <c r="AY34" s="2"/>
      <c r="AZ34" s="2"/>
      <c r="BA34" s="2"/>
      <c r="BG34" s="2"/>
      <c r="BL34" s="1" t="s">
        <v>176</v>
      </c>
      <c r="BM34" s="2"/>
      <c r="BN34" s="2"/>
      <c r="BO34" s="2"/>
      <c r="BU34" s="2"/>
      <c r="BZ34" s="1" t="s">
        <v>176</v>
      </c>
      <c r="CA34" s="2"/>
      <c r="CB34" s="2"/>
      <c r="CC34" s="2"/>
      <c r="CI34" s="2"/>
      <c r="CN34" s="1" t="s">
        <v>176</v>
      </c>
      <c r="CO34" s="2"/>
      <c r="CP34" s="2"/>
      <c r="CQ34" s="2"/>
      <c r="CW34" s="2"/>
      <c r="DB34" s="1" t="s">
        <v>176</v>
      </c>
      <c r="DC34" s="2"/>
      <c r="DD34" s="2"/>
      <c r="DE34" s="2"/>
      <c r="DK34" s="2"/>
      <c r="DP34" s="1" t="s">
        <v>287</v>
      </c>
      <c r="DQ34" s="2"/>
      <c r="DR34" s="2"/>
      <c r="DX34" s="2"/>
      <c r="EP34" s="1" t="s">
        <v>287</v>
      </c>
      <c r="ES34" s="3"/>
      <c r="ET34" s="3"/>
      <c r="EU34" s="3"/>
      <c r="EV34" s="3"/>
      <c r="EW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Q34" s="1" t="s">
        <v>287</v>
      </c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Q34" s="1" t="s">
        <v>287</v>
      </c>
      <c r="GT34" s="3"/>
      <c r="GU34" s="3"/>
      <c r="GV34" s="3"/>
      <c r="GW34" s="3"/>
      <c r="GX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Q34" s="1" t="s">
        <v>287</v>
      </c>
      <c r="HT34" s="3"/>
      <c r="HU34" s="3"/>
      <c r="HV34" s="3"/>
      <c r="HW34" s="3"/>
      <c r="HX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Q34" s="1" t="s">
        <v>287</v>
      </c>
      <c r="IT34" s="3"/>
      <c r="IU34" s="3"/>
      <c r="IV34" s="3"/>
      <c r="IW34" s="3"/>
      <c r="IX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Q34" s="1" t="s">
        <v>287</v>
      </c>
      <c r="JT34" s="3"/>
      <c r="JU34" s="3"/>
      <c r="JV34" s="3"/>
      <c r="JW34" s="3"/>
      <c r="JX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R34" s="1" t="s">
        <v>287</v>
      </c>
      <c r="KU34" s="3"/>
      <c r="KV34" s="3"/>
      <c r="KW34" s="3"/>
      <c r="KX34" s="3"/>
      <c r="KY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R34" s="1" t="s">
        <v>287</v>
      </c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W34" s="1" t="s">
        <v>287</v>
      </c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X34" s="1" t="s">
        <v>287</v>
      </c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Y34" s="1" t="s">
        <v>287</v>
      </c>
      <c r="OZ34" s="3"/>
      <c r="PA34" s="3"/>
      <c r="PB34" s="3"/>
      <c r="PC34" s="3"/>
      <c r="PD34" s="3"/>
      <c r="PE34" s="3"/>
      <c r="PF34" s="3"/>
      <c r="PG34" s="3"/>
      <c r="PH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Z34" s="1" t="s">
        <v>287</v>
      </c>
      <c r="QA34" s="3"/>
      <c r="QB34" s="3"/>
      <c r="QC34" s="3"/>
      <c r="QD34" s="3"/>
      <c r="QE34" s="3"/>
      <c r="QF34" s="3"/>
      <c r="QG34" s="3"/>
      <c r="QH34" s="3"/>
      <c r="QI34" s="3"/>
      <c r="QK34" s="3"/>
      <c r="QL34" s="3"/>
      <c r="QM34" s="3"/>
      <c r="QN34" s="3"/>
      <c r="QO34" s="3"/>
      <c r="QP34" s="3"/>
      <c r="QQ34" s="3"/>
      <c r="QR34" s="3"/>
      <c r="QS34" s="3"/>
      <c r="QZ34" s="1" t="s">
        <v>287</v>
      </c>
      <c r="RA34" s="3"/>
      <c r="RB34" s="3"/>
      <c r="RC34" s="3"/>
      <c r="RD34" s="3"/>
      <c r="RE34" s="3"/>
      <c r="RF34" s="3"/>
      <c r="RG34" s="3"/>
      <c r="RH34" s="3"/>
      <c r="RI34" s="3"/>
      <c r="RK34" s="3"/>
      <c r="RL34" s="3"/>
      <c r="RM34" s="3"/>
      <c r="RN34" s="3"/>
      <c r="RP34" s="3"/>
      <c r="RQ34" s="3"/>
      <c r="RR34" s="3"/>
      <c r="RS34" s="3"/>
      <c r="RT34" s="3"/>
      <c r="SA34" s="1" t="s">
        <v>287</v>
      </c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TA34" s="1" t="s">
        <v>287</v>
      </c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</row>
    <row r="35" spans="3:540" ht="28.35" customHeight="1" x14ac:dyDescent="0.4">
      <c r="C35" s="2"/>
      <c r="H35" s="1" t="s">
        <v>35</v>
      </c>
      <c r="I35" s="2"/>
      <c r="J35" s="2"/>
      <c r="K35" s="2"/>
      <c r="Q35" s="2"/>
      <c r="V35" s="1" t="s">
        <v>35</v>
      </c>
      <c r="W35" s="2"/>
      <c r="X35" s="2"/>
      <c r="Y35" s="2"/>
      <c r="AE35" s="2"/>
      <c r="AJ35" s="1" t="s">
        <v>35</v>
      </c>
      <c r="AK35" s="2"/>
      <c r="AL35" s="2"/>
      <c r="AM35" s="2"/>
      <c r="AS35" s="2"/>
      <c r="AX35" s="1" t="s">
        <v>35</v>
      </c>
      <c r="AY35" s="2"/>
      <c r="AZ35" s="2"/>
      <c r="BA35" s="2"/>
      <c r="BG35" s="2"/>
      <c r="BL35" s="1" t="s">
        <v>35</v>
      </c>
      <c r="BM35" s="2"/>
      <c r="BN35" s="2"/>
      <c r="BO35" s="2"/>
      <c r="BU35" s="2"/>
      <c r="BZ35" s="1" t="s">
        <v>35</v>
      </c>
      <c r="CA35" s="2"/>
      <c r="CB35" s="2"/>
      <c r="CC35" s="2"/>
      <c r="CI35" s="2"/>
      <c r="CN35" s="1" t="s">
        <v>35</v>
      </c>
      <c r="CO35" s="2"/>
      <c r="CP35" s="2"/>
      <c r="CQ35" s="2"/>
      <c r="CW35" s="2"/>
      <c r="DB35" s="1" t="s">
        <v>35</v>
      </c>
      <c r="DC35" s="2"/>
      <c r="DD35" s="2"/>
      <c r="DE35" s="2"/>
      <c r="DK35" s="2"/>
      <c r="DP35" s="1"/>
      <c r="DQ35" s="2"/>
      <c r="DR35" s="2"/>
      <c r="DS35" s="2"/>
      <c r="DX35" s="2"/>
      <c r="EP35" s="1"/>
      <c r="ET35" s="3"/>
      <c r="EU35" s="3"/>
      <c r="EV35" s="3"/>
      <c r="EW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Q35" s="1"/>
      <c r="GU35" s="3"/>
      <c r="GV35" s="3"/>
      <c r="GW35" s="3"/>
      <c r="GX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Q35" s="1"/>
      <c r="HU35" s="3"/>
      <c r="HV35" s="3"/>
      <c r="HW35" s="3"/>
      <c r="HX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Q35" s="1"/>
      <c r="IU35" s="3"/>
      <c r="IV35" s="3"/>
      <c r="IW35" s="3"/>
      <c r="IX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Q35" s="1"/>
      <c r="JU35" s="3"/>
      <c r="JV35" s="3"/>
      <c r="JW35" s="3"/>
      <c r="JX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R35" s="1"/>
      <c r="KV35" s="3"/>
      <c r="KW35" s="3"/>
      <c r="KX35" s="3"/>
      <c r="KY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K35" s="3"/>
      <c r="QL35" s="3"/>
      <c r="QM35" s="3"/>
      <c r="QN35" s="3"/>
      <c r="QO35" s="3"/>
      <c r="QP35" s="3"/>
      <c r="QQ35" s="3"/>
      <c r="QR35" s="3"/>
      <c r="QS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</row>
    <row r="36" spans="3:540" ht="28.35" customHeight="1" x14ac:dyDescent="0.4">
      <c r="C36" s="2"/>
      <c r="H36" s="1"/>
      <c r="I36" s="2"/>
      <c r="J36" s="2"/>
      <c r="K36" s="2"/>
      <c r="Q36" s="2"/>
      <c r="V36" s="1"/>
      <c r="W36" s="2"/>
      <c r="X36" s="2"/>
      <c r="Y36" s="2"/>
      <c r="AE36" s="2"/>
      <c r="AJ36" s="1"/>
      <c r="AK36" s="2"/>
      <c r="AL36" s="2"/>
      <c r="AM36" s="2"/>
      <c r="AS36" s="2"/>
      <c r="AX36" s="1"/>
      <c r="AY36" s="2"/>
      <c r="AZ36" s="2"/>
      <c r="BA36" s="2"/>
      <c r="BG36" s="2"/>
      <c r="BL36" s="1"/>
      <c r="BM36" s="2"/>
      <c r="BN36" s="2"/>
      <c r="BO36" s="2"/>
      <c r="BU36" s="2"/>
      <c r="BZ36" s="1"/>
      <c r="CA36" s="2"/>
      <c r="CB36" s="2"/>
      <c r="CC36" s="2"/>
      <c r="CI36" s="2"/>
      <c r="CN36" s="1"/>
      <c r="CO36" s="2"/>
      <c r="CP36" s="2"/>
      <c r="CQ36" s="2"/>
      <c r="CW36" s="2"/>
      <c r="DB36" s="1"/>
      <c r="DC36" s="2"/>
      <c r="DD36" s="2"/>
      <c r="DE36" s="2"/>
      <c r="DK36" s="2"/>
      <c r="DP36" s="1"/>
      <c r="DQ36" s="2"/>
      <c r="DS36" s="2"/>
      <c r="DX36" s="2"/>
      <c r="EP36" s="1"/>
      <c r="ER36" s="3"/>
      <c r="ET36" s="3"/>
      <c r="EU36" s="3"/>
      <c r="EV36" s="3"/>
      <c r="EW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Q36" s="3"/>
      <c r="FR36" s="3"/>
      <c r="FS36" s="3"/>
      <c r="FT36" s="3"/>
      <c r="FU36" s="3"/>
      <c r="FV36" s="3"/>
      <c r="FW36" s="3"/>
      <c r="FX36" s="3"/>
      <c r="FY36" s="3"/>
      <c r="FZ36" s="1"/>
      <c r="GA36" s="3"/>
      <c r="GB36" s="3"/>
      <c r="GC36" s="3"/>
      <c r="GD36" s="3"/>
      <c r="GE36" s="3"/>
      <c r="GF36" s="3"/>
      <c r="GG36" s="3"/>
      <c r="GH36" s="3"/>
      <c r="GI36" s="3"/>
      <c r="GJ36" s="3"/>
      <c r="GQ36" s="1"/>
      <c r="GS36" s="3"/>
      <c r="GU36" s="3"/>
      <c r="GV36" s="3"/>
      <c r="GW36" s="3"/>
      <c r="GX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Q36" s="1"/>
      <c r="HS36" s="3"/>
      <c r="HU36" s="3"/>
      <c r="HV36" s="3"/>
      <c r="HW36" s="3"/>
      <c r="HX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Q36" s="1"/>
      <c r="IS36" s="3"/>
      <c r="IU36" s="3"/>
      <c r="IV36" s="3"/>
      <c r="IW36" s="3"/>
      <c r="IX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Q36" s="1"/>
      <c r="JS36" s="3"/>
      <c r="JU36" s="3"/>
      <c r="JV36" s="3"/>
      <c r="JW36" s="3"/>
      <c r="JX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R36" s="1"/>
      <c r="KT36" s="3"/>
      <c r="KV36" s="3"/>
      <c r="KW36" s="3"/>
      <c r="KX36" s="3"/>
      <c r="KY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SA36" s="3"/>
      <c r="SB36" s="3"/>
      <c r="SC36" s="3"/>
      <c r="SD36" s="3"/>
      <c r="SF36" s="3"/>
      <c r="SG36" s="3"/>
      <c r="SH36" s="3"/>
      <c r="SI36" s="3"/>
      <c r="SK36" s="3"/>
      <c r="SL36" s="3"/>
      <c r="SM36" s="3"/>
      <c r="SN36" s="3"/>
      <c r="SP36" s="3"/>
      <c r="SQ36" s="3"/>
      <c r="SR36" s="3"/>
      <c r="SS36" s="3"/>
      <c r="TA36" s="3"/>
      <c r="TB36" s="3"/>
      <c r="TC36" s="3"/>
      <c r="TD36" s="3"/>
      <c r="TF36" s="3"/>
      <c r="TG36" s="3"/>
      <c r="TH36" s="3"/>
      <c r="TI36" s="3"/>
      <c r="TK36" s="3"/>
      <c r="TL36" s="3"/>
      <c r="TM36" s="3"/>
      <c r="TN36" s="3"/>
      <c r="TP36" s="3"/>
      <c r="TQ36" s="3"/>
      <c r="TR36" s="3"/>
      <c r="TS36" s="3"/>
    </row>
    <row r="37" spans="3:540" ht="28.35" customHeight="1" x14ac:dyDescent="0.4">
      <c r="C37" s="2"/>
      <c r="DC37" s="2"/>
      <c r="DD37" s="2"/>
      <c r="DE37" s="2"/>
      <c r="DK37" s="2"/>
      <c r="DQ37" s="2"/>
      <c r="DR37" s="2"/>
      <c r="DS37" s="2"/>
      <c r="DX37" s="2"/>
      <c r="EP37" s="3"/>
      <c r="ET37" s="3"/>
      <c r="EU37" s="3"/>
      <c r="EV37" s="3"/>
      <c r="EW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Q37" s="3"/>
      <c r="GU37" s="3"/>
      <c r="GV37" s="3"/>
      <c r="GW37" s="3"/>
      <c r="GX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Q37" s="3"/>
      <c r="HU37" s="3"/>
      <c r="HV37" s="3"/>
      <c r="HW37" s="3"/>
      <c r="HX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Q37" s="3"/>
      <c r="IU37" s="3"/>
      <c r="IV37" s="3"/>
      <c r="IW37" s="3"/>
      <c r="IX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Q37" s="3"/>
      <c r="JU37" s="3"/>
      <c r="JV37" s="3"/>
      <c r="JW37" s="3"/>
      <c r="JX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R37" s="3"/>
      <c r="KV37" s="3"/>
      <c r="KW37" s="3"/>
      <c r="KX37" s="3"/>
      <c r="KY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SA37" s="3"/>
      <c r="SB37" s="3"/>
      <c r="SC37" s="3"/>
      <c r="SD37" s="3"/>
      <c r="SF37" s="3"/>
      <c r="SG37" s="3"/>
      <c r="SH37" s="3"/>
      <c r="SI37" s="3"/>
      <c r="SK37" s="3"/>
      <c r="SL37" s="3"/>
      <c r="SM37" s="3"/>
      <c r="SN37" s="3"/>
      <c r="SP37" s="3"/>
      <c r="SQ37" s="3"/>
      <c r="SR37" s="3"/>
      <c r="SS37" s="3"/>
      <c r="TA37" s="3"/>
      <c r="TB37" s="3"/>
      <c r="TC37" s="3"/>
      <c r="TD37" s="3"/>
      <c r="TF37" s="3"/>
      <c r="TG37" s="3"/>
      <c r="TH37" s="3"/>
      <c r="TI37" s="3"/>
      <c r="TK37" s="3"/>
      <c r="TL37" s="3"/>
      <c r="TM37" s="3"/>
      <c r="TN37" s="3"/>
      <c r="TP37" s="3"/>
      <c r="TQ37" s="3"/>
      <c r="TR37" s="3"/>
      <c r="TS37" s="3"/>
    </row>
    <row r="38" spans="3:540" ht="14.25" customHeight="1" x14ac:dyDescent="0.4">
      <c r="EK38" s="1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L38" s="1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L38" s="1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L38" s="1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L38" s="1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L38" s="1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M38" s="1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M38" s="1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R38" s="1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S38" s="1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T38" s="1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U38" s="1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U38" s="1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SA38" s="3"/>
      <c r="SB38" s="3"/>
      <c r="SC38" s="3"/>
      <c r="SD38" s="3"/>
      <c r="SF38" s="3"/>
      <c r="SG38" s="3"/>
      <c r="SH38" s="3"/>
      <c r="SI38" s="3"/>
      <c r="SK38" s="3"/>
      <c r="SL38" s="3"/>
      <c r="SM38" s="3"/>
      <c r="SN38" s="3"/>
      <c r="SP38" s="3"/>
      <c r="SQ38" s="3"/>
      <c r="SR38" s="3"/>
      <c r="SS38" s="3"/>
      <c r="TA38" s="3"/>
      <c r="TB38" s="3"/>
      <c r="TC38" s="3"/>
      <c r="TD38" s="3"/>
      <c r="TF38" s="3"/>
      <c r="TG38" s="3"/>
      <c r="TH38" s="3"/>
      <c r="TI38" s="3"/>
      <c r="TK38" s="3"/>
      <c r="TL38" s="3"/>
      <c r="TM38" s="3"/>
      <c r="TN38" s="3"/>
      <c r="TP38" s="3"/>
      <c r="TQ38" s="3"/>
      <c r="TR38" s="3"/>
      <c r="TS38" s="3"/>
    </row>
    <row r="39" spans="3:540" ht="14.25" customHeight="1" x14ac:dyDescent="0.4"/>
    <row r="40" spans="3:540" ht="14.25" customHeight="1" x14ac:dyDescent="0.4"/>
    <row r="41" spans="3:540" ht="14.25" customHeight="1" x14ac:dyDescent="0.4"/>
    <row r="42" spans="3:540" ht="14.25" customHeight="1" x14ac:dyDescent="0.4"/>
    <row r="43" spans="3:540" ht="14.25" customHeight="1" x14ac:dyDescent="0.4"/>
    <row r="44" spans="3:540" ht="14.25" customHeight="1" x14ac:dyDescent="0.4"/>
    <row r="45" spans="3:540" ht="14.25" customHeight="1" x14ac:dyDescent="0.4"/>
    <row r="46" spans="3:540" ht="14.25" customHeight="1" x14ac:dyDescent="0.4"/>
    <row r="47" spans="3:540" ht="14.25" customHeight="1" x14ac:dyDescent="0.4"/>
    <row r="48" spans="3:540" ht="14.25" customHeight="1" x14ac:dyDescent="0.4"/>
    <row r="49" ht="14.25" customHeight="1" x14ac:dyDescent="0.4"/>
  </sheetData>
  <mergeCells count="1504">
    <mergeCell ref="SU2:TV2"/>
    <mergeCell ref="SF21:SI21"/>
    <mergeCell ref="SF22:SI22"/>
    <mergeCell ref="SF23:SI23"/>
    <mergeCell ref="SF24:SI24"/>
    <mergeCell ref="SF25:SI25"/>
    <mergeCell ref="SA25:SD25"/>
    <mergeCell ref="SF26:SI26"/>
    <mergeCell ref="SK11:SN11"/>
    <mergeCell ref="SK12:SN12"/>
    <mergeCell ref="SK14:SN14"/>
    <mergeCell ref="SK15:SN15"/>
    <mergeCell ref="SK20:SN20"/>
    <mergeCell ref="SK21:SN21"/>
    <mergeCell ref="SK22:SN22"/>
    <mergeCell ref="SK25:SN25"/>
    <mergeCell ref="SF10:SJ10"/>
    <mergeCell ref="RU2:ST2"/>
    <mergeCell ref="SP10:ST10"/>
    <mergeCell ref="RW22:RY22"/>
    <mergeCell ref="RV23:RZ23"/>
    <mergeCell ref="RV24:RY24"/>
    <mergeCell ref="RW25:RZ25"/>
    <mergeCell ref="RV26:RY26"/>
    <mergeCell ref="SA26:SD26"/>
    <mergeCell ref="SK26:SN26"/>
    <mergeCell ref="SP26:SS26"/>
    <mergeCell ref="SA23:SD23"/>
    <mergeCell ref="SK23:SN23"/>
    <mergeCell ref="SP23:SS23"/>
    <mergeCell ref="SA24:SD24"/>
    <mergeCell ref="SK24:SN24"/>
    <mergeCell ref="SP24:SS24"/>
    <mergeCell ref="SP11:SS11"/>
    <mergeCell ref="SP14:SS14"/>
    <mergeCell ref="SP15:SS15"/>
    <mergeCell ref="SP20:SS20"/>
    <mergeCell ref="SP21:SS21"/>
    <mergeCell ref="SP22:SS22"/>
    <mergeCell ref="SP25:SS25"/>
    <mergeCell ref="SP12:SS12"/>
    <mergeCell ref="SK10:SO10"/>
    <mergeCell ref="SF11:SI11"/>
    <mergeCell ref="SF12:SI12"/>
    <mergeCell ref="SF13:SI13"/>
    <mergeCell ref="SF14:SI14"/>
    <mergeCell ref="SF15:SI15"/>
    <mergeCell ref="SF16:SI16"/>
    <mergeCell ref="SF17:SI17"/>
    <mergeCell ref="SG19:SH19"/>
    <mergeCell ref="RW20:RY20"/>
    <mergeCell ref="SA20:SD20"/>
    <mergeCell ref="SA13:SD13"/>
    <mergeCell ref="SK13:SN13"/>
    <mergeCell ref="SP13:SS13"/>
    <mergeCell ref="RV15:RZ17"/>
    <mergeCell ref="SA17:SD17"/>
    <mergeCell ref="SK17:SN17"/>
    <mergeCell ref="SP17:SS17"/>
    <mergeCell ref="RV19:RZ19"/>
    <mergeCell ref="SB19:SC19"/>
    <mergeCell ref="SL19:SM19"/>
    <mergeCell ref="SQ19:SR19"/>
    <mergeCell ref="SA16:SD16"/>
    <mergeCell ref="SK16:SN16"/>
    <mergeCell ref="SP16:SS16"/>
    <mergeCell ref="SE13:SE19"/>
    <mergeCell ref="SF20:SI20"/>
    <mergeCell ref="RU9:RX9"/>
    <mergeCell ref="RU10:RZ10"/>
    <mergeCell ref="RU11:RU19"/>
    <mergeCell ref="RV11:RZ12"/>
    <mergeCell ref="SA11:SD11"/>
    <mergeCell ref="SA12:SD12"/>
    <mergeCell ref="RU20:RU24"/>
    <mergeCell ref="SA14:SD14"/>
    <mergeCell ref="SA15:SD15"/>
    <mergeCell ref="RE10:RI10"/>
    <mergeCell ref="RJ20:RM20"/>
    <mergeCell ref="RJ21:RM21"/>
    <mergeCell ref="RJ22:RM22"/>
    <mergeCell ref="RJ23:RM23"/>
    <mergeCell ref="RJ10:RN10"/>
    <mergeCell ref="RV18:RZ18"/>
    <mergeCell ref="RW21:RY21"/>
    <mergeCell ref="SA21:SD21"/>
    <mergeCell ref="SA22:SD22"/>
    <mergeCell ref="RJ24:RM24"/>
    <mergeCell ref="RE14:RH14"/>
    <mergeCell ref="RE15:RH15"/>
    <mergeCell ref="RE16:RH16"/>
    <mergeCell ref="RE17:RH17"/>
    <mergeCell ref="RF19:RG19"/>
    <mergeCell ref="RE20:RH20"/>
    <mergeCell ref="RE21:RH21"/>
    <mergeCell ref="RE22:RH22"/>
    <mergeCell ref="RE23:RH23"/>
    <mergeCell ref="RE24:RH24"/>
    <mergeCell ref="SA10:SE10"/>
    <mergeCell ref="RV13:RZ14"/>
    <mergeCell ref="RJ25:RM25"/>
    <mergeCell ref="RJ11:RM11"/>
    <mergeCell ref="RJ12:RM12"/>
    <mergeCell ref="RJ13:RM13"/>
    <mergeCell ref="RJ14:RM14"/>
    <mergeCell ref="RJ15:RM15"/>
    <mergeCell ref="RJ16:RM16"/>
    <mergeCell ref="RJ17:RM17"/>
    <mergeCell ref="RK19:RL19"/>
    <mergeCell ref="RO10:RS10"/>
    <mergeCell ref="RJ26:RM26"/>
    <mergeCell ref="RN13:RN19"/>
    <mergeCell ref="RE25:RH25"/>
    <mergeCell ref="RE26:RH26"/>
    <mergeCell ref="RO11:RR11"/>
    <mergeCell ref="RO12:RR12"/>
    <mergeCell ref="RO13:RR13"/>
    <mergeCell ref="RO14:RR14"/>
    <mergeCell ref="RO15:RR15"/>
    <mergeCell ref="RO16:RR16"/>
    <mergeCell ref="RO17:RR17"/>
    <mergeCell ref="RP19:RQ19"/>
    <mergeCell ref="RO20:RR20"/>
    <mergeCell ref="RO21:RR21"/>
    <mergeCell ref="RO22:RR22"/>
    <mergeCell ref="RO23:RR23"/>
    <mergeCell ref="RO24:RR24"/>
    <mergeCell ref="RO25:RR25"/>
    <mergeCell ref="RO26:RR26"/>
    <mergeCell ref="RE11:RH11"/>
    <mergeCell ref="RE12:RH12"/>
    <mergeCell ref="RE13:RH13"/>
    <mergeCell ref="QT9:QW9"/>
    <mergeCell ref="QT10:QY10"/>
    <mergeCell ref="QT11:QT19"/>
    <mergeCell ref="QU11:QY12"/>
    <mergeCell ref="QU13:QY14"/>
    <mergeCell ref="ML12:MO12"/>
    <mergeCell ref="ML13:MO13"/>
    <mergeCell ref="ML14:MO14"/>
    <mergeCell ref="ML15:MO15"/>
    <mergeCell ref="ML16:MO16"/>
    <mergeCell ref="ML17:MO17"/>
    <mergeCell ref="MM19:MN19"/>
    <mergeCell ref="ML11:MO11"/>
    <mergeCell ref="MB10:MF10"/>
    <mergeCell ref="MG10:MP10"/>
    <mergeCell ref="MG11:MJ11"/>
    <mergeCell ref="MG12:MJ12"/>
    <mergeCell ref="MG18:MJ18"/>
    <mergeCell ref="MW15:MZ15"/>
    <mergeCell ref="QU15:QY17"/>
    <mergeCell ref="QU18:QY18"/>
    <mergeCell ref="QU19:QY19"/>
    <mergeCell ref="PT9:PW9"/>
    <mergeCell ref="QA19:QB19"/>
    <mergeCell ref="QF19:QG19"/>
    <mergeCell ref="QK19:QL19"/>
    <mergeCell ref="QP19:QQ19"/>
    <mergeCell ref="PU15:PY17"/>
    <mergeCell ref="QO10:QS10"/>
    <mergeCell ref="OH10:OL10"/>
    <mergeCell ref="OM10:OQ10"/>
    <mergeCell ref="OQ13:OQ19"/>
    <mergeCell ref="MG25:MJ25"/>
    <mergeCell ref="LB20:LE20"/>
    <mergeCell ref="ML24:MO24"/>
    <mergeCell ref="ML20:MO20"/>
    <mergeCell ref="MG24:MJ24"/>
    <mergeCell ref="LM23:LQ23"/>
    <mergeCell ref="LW26:LZ26"/>
    <mergeCell ref="MB25:ME25"/>
    <mergeCell ref="MB26:ME26"/>
    <mergeCell ref="NB17:NE17"/>
    <mergeCell ref="NL17:NO17"/>
    <mergeCell ref="MQ2:NQ2"/>
    <mergeCell ref="MQ9:MT9"/>
    <mergeCell ref="MW9:MZ9"/>
    <mergeCell ref="MQ10:MV10"/>
    <mergeCell ref="MQ11:MQ19"/>
    <mergeCell ref="MR11:MV12"/>
    <mergeCell ref="MW11:MZ11"/>
    <mergeCell ref="NB11:NE11"/>
    <mergeCell ref="NL11:NO11"/>
    <mergeCell ref="MW12:MZ12"/>
    <mergeCell ref="MG17:MJ17"/>
    <mergeCell ref="MG15:MJ15"/>
    <mergeCell ref="MG16:MJ16"/>
    <mergeCell ref="NC19:ND19"/>
    <mergeCell ref="NL16:NO16"/>
    <mergeCell ref="MR15:MV17"/>
    <mergeCell ref="MG13:MJ13"/>
    <mergeCell ref="MG14:MJ14"/>
    <mergeCell ref="MG19:MJ19"/>
    <mergeCell ref="MR23:MV23"/>
    <mergeCell ref="MW23:MZ23"/>
    <mergeCell ref="MQ20:MQ24"/>
    <mergeCell ref="MS20:MU20"/>
    <mergeCell ref="MW20:MZ20"/>
    <mergeCell ref="LB22:LE22"/>
    <mergeCell ref="MG20:MJ20"/>
    <mergeCell ref="MG21:MJ21"/>
    <mergeCell ref="MG22:MJ22"/>
    <mergeCell ref="KW11:KZ11"/>
    <mergeCell ref="LB11:LE11"/>
    <mergeCell ref="LG11:LJ11"/>
    <mergeCell ref="LR11:LU11"/>
    <mergeCell ref="QU26:QX26"/>
    <mergeCell ref="QZ25:RC25"/>
    <mergeCell ref="QZ26:RC26"/>
    <mergeCell ref="QZ21:RC21"/>
    <mergeCell ref="QZ22:RC22"/>
    <mergeCell ref="QZ23:RC23"/>
    <mergeCell ref="QZ24:RC24"/>
    <mergeCell ref="RA19:RB19"/>
    <mergeCell ref="QZ20:RC20"/>
    <mergeCell ref="KW26:KZ26"/>
    <mergeCell ref="LB26:LE26"/>
    <mergeCell ref="LG26:LJ26"/>
    <mergeCell ref="LR26:LU26"/>
    <mergeCell ref="ML26:MO26"/>
    <mergeCell ref="LM26:LP26"/>
    <mergeCell ref="KW24:KZ24"/>
    <mergeCell ref="LL20:LL24"/>
    <mergeCell ref="LN20:LP20"/>
    <mergeCell ref="LN21:LP21"/>
    <mergeCell ref="KW21:KZ21"/>
    <mergeCell ref="NG20:NJ20"/>
    <mergeCell ref="JK2:KK2"/>
    <mergeCell ref="JQ10:JU10"/>
    <mergeCell ref="KG11:KJ11"/>
    <mergeCell ref="KG12:KJ12"/>
    <mergeCell ref="KR24:KU24"/>
    <mergeCell ref="LN22:LP22"/>
    <mergeCell ref="MB21:ME21"/>
    <mergeCell ref="JV10:JZ10"/>
    <mergeCell ref="KL10:KQ10"/>
    <mergeCell ref="KL11:KL19"/>
    <mergeCell ref="KM11:KQ12"/>
    <mergeCell ref="KM13:KQ14"/>
    <mergeCell ref="KM15:KQ17"/>
    <mergeCell ref="KM18:KQ18"/>
    <mergeCell ref="KM19:KQ19"/>
    <mergeCell ref="KR11:KU11"/>
    <mergeCell ref="JV17:JY17"/>
    <mergeCell ref="KA10:KE10"/>
    <mergeCell ref="KG24:KJ24"/>
    <mergeCell ref="KG16:KJ16"/>
    <mergeCell ref="KW22:KZ22"/>
    <mergeCell ref="LL2:MP2"/>
    <mergeCell ref="ML21:MO21"/>
    <mergeCell ref="KG10:KK10"/>
    <mergeCell ref="KA15:KD15"/>
    <mergeCell ref="MB24:ME24"/>
    <mergeCell ref="LW23:LZ23"/>
    <mergeCell ref="LW24:LZ24"/>
    <mergeCell ref="KG21:KJ21"/>
    <mergeCell ref="KG22:KJ22"/>
    <mergeCell ref="KG23:KJ23"/>
    <mergeCell ref="LR16:LU16"/>
    <mergeCell ref="LG12:LJ12"/>
    <mergeCell ref="LB17:LE17"/>
    <mergeCell ref="MB22:ME22"/>
    <mergeCell ref="LW22:LZ22"/>
    <mergeCell ref="LG20:LJ20"/>
    <mergeCell ref="LR20:LU20"/>
    <mergeCell ref="LB21:LE21"/>
    <mergeCell ref="KG13:KJ13"/>
    <mergeCell ref="KG14:KJ14"/>
    <mergeCell ref="KG15:KJ15"/>
    <mergeCell ref="KR16:KU16"/>
    <mergeCell ref="ML23:MO23"/>
    <mergeCell ref="LB24:LE24"/>
    <mergeCell ref="LG24:LJ24"/>
    <mergeCell ref="LB23:LE23"/>
    <mergeCell ref="LG23:LJ23"/>
    <mergeCell ref="LM24:LP24"/>
    <mergeCell ref="KW20:KZ20"/>
    <mergeCell ref="LW21:LZ21"/>
    <mergeCell ref="LR24:LU24"/>
    <mergeCell ref="LR23:LU23"/>
    <mergeCell ref="LV13:LV19"/>
    <mergeCell ref="LG22:LJ22"/>
    <mergeCell ref="LR21:LU21"/>
    <mergeCell ref="LB12:LE12"/>
    <mergeCell ref="ML22:MO22"/>
    <mergeCell ref="IF21:II21"/>
    <mergeCell ref="JK20:JK24"/>
    <mergeCell ref="JF20:JI20"/>
    <mergeCell ref="JF21:JI21"/>
    <mergeCell ref="JF22:JI22"/>
    <mergeCell ref="IV13:IY13"/>
    <mergeCell ref="LR22:LU22"/>
    <mergeCell ref="KG17:KJ17"/>
    <mergeCell ref="MG23:MJ23"/>
    <mergeCell ref="MB20:ME20"/>
    <mergeCell ref="MB23:ME23"/>
    <mergeCell ref="KA17:KD17"/>
    <mergeCell ref="IA23:ID23"/>
    <mergeCell ref="IF23:II23"/>
    <mergeCell ref="IK20:IK24"/>
    <mergeCell ref="IM20:IO20"/>
    <mergeCell ref="IQ20:IT20"/>
    <mergeCell ref="IV20:IY20"/>
    <mergeCell ref="JA20:JD20"/>
    <mergeCell ref="IM21:IO21"/>
    <mergeCell ref="IQ21:IT21"/>
    <mergeCell ref="IV21:IY21"/>
    <mergeCell ref="JA21:JD21"/>
    <mergeCell ref="IM22:IO22"/>
    <mergeCell ref="IQ22:IT22"/>
    <mergeCell ref="IV22:IY22"/>
    <mergeCell ref="JA22:JD22"/>
    <mergeCell ref="IL23:IP23"/>
    <mergeCell ref="IQ23:IT23"/>
    <mergeCell ref="LG21:LJ21"/>
    <mergeCell ref="LG15:LJ15"/>
    <mergeCell ref="HF23:HI23"/>
    <mergeCell ref="JK9:JN9"/>
    <mergeCell ref="JK10:JP10"/>
    <mergeCell ref="JK11:JK19"/>
    <mergeCell ref="JL11:JP12"/>
    <mergeCell ref="JQ11:JT11"/>
    <mergeCell ref="JV11:JY11"/>
    <mergeCell ref="KA11:KD11"/>
    <mergeCell ref="JQ12:JT12"/>
    <mergeCell ref="JV12:JY12"/>
    <mergeCell ref="KA12:KD12"/>
    <mergeCell ref="JL13:JP14"/>
    <mergeCell ref="JQ13:JT13"/>
    <mergeCell ref="JV13:JY13"/>
    <mergeCell ref="KA13:KD13"/>
    <mergeCell ref="JQ14:JT14"/>
    <mergeCell ref="JV14:JY14"/>
    <mergeCell ref="KA14:KD14"/>
    <mergeCell ref="JL15:JP17"/>
    <mergeCell ref="JQ15:JT15"/>
    <mergeCell ref="JV15:JY15"/>
    <mergeCell ref="JL19:JP19"/>
    <mergeCell ref="JR19:JS19"/>
    <mergeCell ref="JW19:JX19"/>
    <mergeCell ref="IF10:IJ10"/>
    <mergeCell ref="IA10:IE10"/>
    <mergeCell ref="IE13:IE19"/>
    <mergeCell ref="HF10:HJ10"/>
    <mergeCell ref="HK11:HK19"/>
    <mergeCell ref="HL18:HP18"/>
    <mergeCell ref="HL19:HP19"/>
    <mergeCell ref="HR19:HS19"/>
    <mergeCell ref="EZ11:FC11"/>
    <mergeCell ref="GF20:GI20"/>
    <mergeCell ref="FD13:FD19"/>
    <mergeCell ref="FV13:FY13"/>
    <mergeCell ref="FV14:FY14"/>
    <mergeCell ref="FQ13:FT13"/>
    <mergeCell ref="FQ14:FT14"/>
    <mergeCell ref="FE13:FH13"/>
    <mergeCell ref="FE14:FH14"/>
    <mergeCell ref="FE15:FH15"/>
    <mergeCell ref="GQ20:GT20"/>
    <mergeCell ref="GV20:GY20"/>
    <mergeCell ref="HF20:HI20"/>
    <mergeCell ref="FA19:FB19"/>
    <mergeCell ref="HF15:HI15"/>
    <mergeCell ref="GL18:GP18"/>
    <mergeCell ref="HB19:HC19"/>
    <mergeCell ref="HG19:HH19"/>
    <mergeCell ref="GQ16:GT16"/>
    <mergeCell ref="GV16:GY16"/>
    <mergeCell ref="HF16:HI16"/>
    <mergeCell ref="HA17:HD17"/>
    <mergeCell ref="HF17:HI17"/>
    <mergeCell ref="GL19:GP19"/>
    <mergeCell ref="FL13:FP14"/>
    <mergeCell ref="GV14:GY14"/>
    <mergeCell ref="HA14:HD14"/>
    <mergeCell ref="HF14:HI14"/>
    <mergeCell ref="FE17:FH17"/>
    <mergeCell ref="FF19:FG19"/>
    <mergeCell ref="GA20:GD20"/>
    <mergeCell ref="FQ10:FU10"/>
    <mergeCell ref="FV10:FZ10"/>
    <mergeCell ref="GA10:GE10"/>
    <mergeCell ref="GV10:GZ10"/>
    <mergeCell ref="GG19:GH19"/>
    <mergeCell ref="GF16:GI16"/>
    <mergeCell ref="GF17:GI17"/>
    <mergeCell ref="GQ17:GT17"/>
    <mergeCell ref="GK11:GK19"/>
    <mergeCell ref="GL11:GP12"/>
    <mergeCell ref="HA12:HD12"/>
    <mergeCell ref="GQ12:GT12"/>
    <mergeCell ref="GQ11:GT11"/>
    <mergeCell ref="HF12:HI12"/>
    <mergeCell ref="GV13:GY13"/>
    <mergeCell ref="HA13:HD13"/>
    <mergeCell ref="GV12:GY12"/>
    <mergeCell ref="GV11:GY11"/>
    <mergeCell ref="HA11:HD11"/>
    <mergeCell ref="HF13:HI13"/>
    <mergeCell ref="HF11:HI11"/>
    <mergeCell ref="GV15:GY15"/>
    <mergeCell ref="HA15:HD15"/>
    <mergeCell ref="FV11:FY11"/>
    <mergeCell ref="HA16:HD16"/>
    <mergeCell ref="HA10:HE10"/>
    <mergeCell ref="GF10:GJ10"/>
    <mergeCell ref="GQ10:GU10"/>
    <mergeCell ref="GM22:GO22"/>
    <mergeCell ref="EP16:ES16"/>
    <mergeCell ref="EP15:ES15"/>
    <mergeCell ref="EP12:ES12"/>
    <mergeCell ref="EK15:EO17"/>
    <mergeCell ref="DP16:DS16"/>
    <mergeCell ref="DZ12:EC12"/>
    <mergeCell ref="DZ14:EC14"/>
    <mergeCell ref="DZ15:EC15"/>
    <mergeCell ref="DP14:DS14"/>
    <mergeCell ref="FE24:FH24"/>
    <mergeCell ref="FE16:FH16"/>
    <mergeCell ref="GQ21:GT21"/>
    <mergeCell ref="GV21:GY21"/>
    <mergeCell ref="FV16:FY16"/>
    <mergeCell ref="FV17:FY17"/>
    <mergeCell ref="FW19:FX19"/>
    <mergeCell ref="FL15:FP17"/>
    <mergeCell ref="FL18:FP18"/>
    <mergeCell ref="FM21:FO21"/>
    <mergeCell ref="GV22:GY22"/>
    <mergeCell ref="DU24:DX24"/>
    <mergeCell ref="DZ24:EC24"/>
    <mergeCell ref="DU22:DX22"/>
    <mergeCell ref="DV19:DW19"/>
    <mergeCell ref="DP22:DS22"/>
    <mergeCell ref="GQ14:GT14"/>
    <mergeCell ref="FV12:FY12"/>
    <mergeCell ref="FE12:FH12"/>
    <mergeCell ref="GA22:GD22"/>
    <mergeCell ref="FV24:FY24"/>
    <mergeCell ref="HA21:HD21"/>
    <mergeCell ref="HF21:HI21"/>
    <mergeCell ref="GM20:GO20"/>
    <mergeCell ref="GW19:GX19"/>
    <mergeCell ref="FQ21:FT21"/>
    <mergeCell ref="GV17:GY17"/>
    <mergeCell ref="FV15:FY15"/>
    <mergeCell ref="FV20:FY20"/>
    <mergeCell ref="FQ20:FT20"/>
    <mergeCell ref="FE25:FH25"/>
    <mergeCell ref="EU26:EX26"/>
    <mergeCell ref="EU25:EX25"/>
    <mergeCell ref="EU20:EX20"/>
    <mergeCell ref="EU21:EX21"/>
    <mergeCell ref="EZ22:FC22"/>
    <mergeCell ref="EZ23:FC23"/>
    <mergeCell ref="EZ26:FC26"/>
    <mergeCell ref="EZ21:FC21"/>
    <mergeCell ref="FE20:FH20"/>
    <mergeCell ref="FE21:FH21"/>
    <mergeCell ref="FE22:FH22"/>
    <mergeCell ref="FE26:FH26"/>
    <mergeCell ref="FE23:FH23"/>
    <mergeCell ref="EZ20:FC20"/>
    <mergeCell ref="GV26:GY26"/>
    <mergeCell ref="HA26:HD26"/>
    <mergeCell ref="HF26:HI26"/>
    <mergeCell ref="GQ26:GT26"/>
    <mergeCell ref="HF24:HI24"/>
    <mergeCell ref="GM25:GP25"/>
    <mergeCell ref="GQ25:GT25"/>
    <mergeCell ref="GV25:GY25"/>
    <mergeCell ref="DK26:DN26"/>
    <mergeCell ref="DP26:DS26"/>
    <mergeCell ref="EE15:EH15"/>
    <mergeCell ref="EP25:ES25"/>
    <mergeCell ref="EP24:ES24"/>
    <mergeCell ref="EK24:EN24"/>
    <mergeCell ref="EJ11:EJ19"/>
    <mergeCell ref="EK11:EO12"/>
    <mergeCell ref="EP11:ES11"/>
    <mergeCell ref="DU20:DX20"/>
    <mergeCell ref="DU23:DX23"/>
    <mergeCell ref="DU14:DX14"/>
    <mergeCell ref="DP12:DS12"/>
    <mergeCell ref="DU12:DX12"/>
    <mergeCell ref="DU16:DX16"/>
    <mergeCell ref="DP15:DS15"/>
    <mergeCell ref="DU15:DX15"/>
    <mergeCell ref="DU17:DX17"/>
    <mergeCell ref="EQ19:ER19"/>
    <mergeCell ref="EL20:EN20"/>
    <mergeCell ref="EK19:EO19"/>
    <mergeCell ref="EJ20:EJ24"/>
    <mergeCell ref="DU21:DX21"/>
    <mergeCell ref="DZ21:EC21"/>
    <mergeCell ref="DZ20:EC20"/>
    <mergeCell ref="EP21:ES21"/>
    <mergeCell ref="EL25:EO25"/>
    <mergeCell ref="EK18:EO18"/>
    <mergeCell ref="DQ19:DR19"/>
    <mergeCell ref="FV25:FY25"/>
    <mergeCell ref="FQ23:FT23"/>
    <mergeCell ref="FQ22:FT22"/>
    <mergeCell ref="FQ24:FT24"/>
    <mergeCell ref="FQ25:FT25"/>
    <mergeCell ref="FV23:FY23"/>
    <mergeCell ref="FM22:FO22"/>
    <mergeCell ref="FL24:FO24"/>
    <mergeCell ref="FV22:FY22"/>
    <mergeCell ref="GF24:GI24"/>
    <mergeCell ref="GF22:GI22"/>
    <mergeCell ref="FL23:FP23"/>
    <mergeCell ref="GA23:GD23"/>
    <mergeCell ref="GF23:GI23"/>
    <mergeCell ref="DU26:DX26"/>
    <mergeCell ref="DZ26:EC26"/>
    <mergeCell ref="EL22:EN22"/>
    <mergeCell ref="HA25:HD25"/>
    <mergeCell ref="HF25:HI25"/>
    <mergeCell ref="GL26:GO26"/>
    <mergeCell ref="GL24:GO24"/>
    <mergeCell ref="HA24:HD24"/>
    <mergeCell ref="EU11:EX11"/>
    <mergeCell ref="EZ14:FC14"/>
    <mergeCell ref="EP10:ET10"/>
    <mergeCell ref="ET13:ET19"/>
    <mergeCell ref="EV19:EW19"/>
    <mergeCell ref="EZ17:FC17"/>
    <mergeCell ref="EP17:ES17"/>
    <mergeCell ref="GF14:GI14"/>
    <mergeCell ref="GA12:GD12"/>
    <mergeCell ref="GF12:GI12"/>
    <mergeCell ref="FL19:FP19"/>
    <mergeCell ref="GB19:GC19"/>
    <mergeCell ref="FQ17:FT17"/>
    <mergeCell ref="FR19:FS19"/>
    <mergeCell ref="FQ15:FT15"/>
    <mergeCell ref="GA16:GD16"/>
    <mergeCell ref="GA17:GD17"/>
    <mergeCell ref="GA15:GD15"/>
    <mergeCell ref="FZ13:FZ19"/>
    <mergeCell ref="GA26:GD26"/>
    <mergeCell ref="GF26:GI26"/>
    <mergeCell ref="FM25:FP25"/>
    <mergeCell ref="GA25:GD25"/>
    <mergeCell ref="GF25:GI25"/>
    <mergeCell ref="FV26:FY26"/>
    <mergeCell ref="FQ26:FT26"/>
    <mergeCell ref="FL26:FO26"/>
    <mergeCell ref="FK2:GJ2"/>
    <mergeCell ref="FK9:FN9"/>
    <mergeCell ref="FK10:FP10"/>
    <mergeCell ref="FK11:FK19"/>
    <mergeCell ref="HA22:HD22"/>
    <mergeCell ref="GQ24:GT24"/>
    <mergeCell ref="GV24:GY24"/>
    <mergeCell ref="FL11:FP12"/>
    <mergeCell ref="GA11:GD11"/>
    <mergeCell ref="GF11:GI11"/>
    <mergeCell ref="FQ11:FT11"/>
    <mergeCell ref="FQ12:FT12"/>
    <mergeCell ref="GL15:GP17"/>
    <mergeCell ref="GR19:GS19"/>
    <mergeCell ref="GQ15:GT15"/>
    <mergeCell ref="GQ13:GT13"/>
    <mergeCell ref="GF15:GI15"/>
    <mergeCell ref="GA13:GD13"/>
    <mergeCell ref="GF13:GI13"/>
    <mergeCell ref="GA14:GD14"/>
    <mergeCell ref="GQ22:GT22"/>
    <mergeCell ref="GA21:GD21"/>
    <mergeCell ref="GF21:GI21"/>
    <mergeCell ref="FM20:FO20"/>
    <mergeCell ref="FQ16:FT16"/>
    <mergeCell ref="GA24:GD24"/>
    <mergeCell ref="GK2:HJ2"/>
    <mergeCell ref="GK9:GN9"/>
    <mergeCell ref="GK10:GP10"/>
    <mergeCell ref="FV21:FY21"/>
    <mergeCell ref="FK20:FK24"/>
    <mergeCell ref="HA23:HD23"/>
    <mergeCell ref="P2:AC2"/>
    <mergeCell ref="P9:S9"/>
    <mergeCell ref="P10:U10"/>
    <mergeCell ref="B10:G10"/>
    <mergeCell ref="AB10:AC10"/>
    <mergeCell ref="Z10:AA10"/>
    <mergeCell ref="N10:O10"/>
    <mergeCell ref="V10:W10"/>
    <mergeCell ref="X10:Y10"/>
    <mergeCell ref="P11:P19"/>
    <mergeCell ref="Q11:U12"/>
    <mergeCell ref="Q13:U14"/>
    <mergeCell ref="Q15:U17"/>
    <mergeCell ref="Q18:U18"/>
    <mergeCell ref="Q19:U19"/>
    <mergeCell ref="B9:E9"/>
    <mergeCell ref="GM21:GO21"/>
    <mergeCell ref="EJ2:FJ2"/>
    <mergeCell ref="EJ9:EM9"/>
    <mergeCell ref="EJ10:EO10"/>
    <mergeCell ref="EZ12:FC12"/>
    <mergeCell ref="EZ13:FC13"/>
    <mergeCell ref="EU12:EX12"/>
    <mergeCell ref="EU16:EX16"/>
    <mergeCell ref="EZ15:FC15"/>
    <mergeCell ref="EZ16:FC16"/>
    <mergeCell ref="EU14:EX14"/>
    <mergeCell ref="EU13:EX13"/>
    <mergeCell ref="EU15:EX15"/>
    <mergeCell ref="EZ10:FD10"/>
    <mergeCell ref="FE10:FI10"/>
    <mergeCell ref="FE11:FH11"/>
    <mergeCell ref="AD2:AQ2"/>
    <mergeCell ref="AD9:AG9"/>
    <mergeCell ref="AD10:AI10"/>
    <mergeCell ref="AR11:AR19"/>
    <mergeCell ref="AS11:AW12"/>
    <mergeCell ref="AS13:AW14"/>
    <mergeCell ref="AS15:AW17"/>
    <mergeCell ref="AS18:AW18"/>
    <mergeCell ref="AS19:AW19"/>
    <mergeCell ref="AR2:BE2"/>
    <mergeCell ref="AX10:AY10"/>
    <mergeCell ref="D22:F22"/>
    <mergeCell ref="Q24:T24"/>
    <mergeCell ref="R25:U25"/>
    <mergeCell ref="Q26:T26"/>
    <mergeCell ref="D21:F21"/>
    <mergeCell ref="C11:G12"/>
    <mergeCell ref="C15:G17"/>
    <mergeCell ref="C13:G14"/>
    <mergeCell ref="L10:M10"/>
    <mergeCell ref="J10:K10"/>
    <mergeCell ref="H10:I10"/>
    <mergeCell ref="C18:G18"/>
    <mergeCell ref="C19:G19"/>
    <mergeCell ref="P20:P26"/>
    <mergeCell ref="AR10:AW10"/>
    <mergeCell ref="AN10:AO10"/>
    <mergeCell ref="AJ10:AK10"/>
    <mergeCell ref="AL10:AM10"/>
    <mergeCell ref="AP10:AQ10"/>
    <mergeCell ref="AR9:AU9"/>
    <mergeCell ref="B2:O2"/>
    <mergeCell ref="B20:B26"/>
    <mergeCell ref="C26:F26"/>
    <mergeCell ref="B11:B19"/>
    <mergeCell ref="D20:F20"/>
    <mergeCell ref="C24:F24"/>
    <mergeCell ref="C23:G23"/>
    <mergeCell ref="D25:G25"/>
    <mergeCell ref="AD20:AD26"/>
    <mergeCell ref="AF20:AH20"/>
    <mergeCell ref="AF21:AH21"/>
    <mergeCell ref="AF22:AH22"/>
    <mergeCell ref="AE23:AI23"/>
    <mergeCell ref="AE24:AH24"/>
    <mergeCell ref="AF25:AI25"/>
    <mergeCell ref="AE26:AH26"/>
    <mergeCell ref="AE11:AI12"/>
    <mergeCell ref="AE13:AI14"/>
    <mergeCell ref="AE15:AI17"/>
    <mergeCell ref="AE18:AI18"/>
    <mergeCell ref="AE19:AI19"/>
    <mergeCell ref="AD11:AD19"/>
    <mergeCell ref="R20:T20"/>
    <mergeCell ref="R21:T21"/>
    <mergeCell ref="R22:T22"/>
    <mergeCell ref="Q23:U23"/>
    <mergeCell ref="BH20:BJ20"/>
    <mergeCell ref="BH21:BJ21"/>
    <mergeCell ref="BH22:BJ22"/>
    <mergeCell ref="BG23:BK23"/>
    <mergeCell ref="BG24:BJ24"/>
    <mergeCell ref="BH25:BK25"/>
    <mergeCell ref="BG26:BJ26"/>
    <mergeCell ref="AZ10:BA10"/>
    <mergeCell ref="BG11:BK12"/>
    <mergeCell ref="BG13:BK14"/>
    <mergeCell ref="BG15:BK17"/>
    <mergeCell ref="BG18:BK18"/>
    <mergeCell ref="BG19:BK19"/>
    <mergeCell ref="BB10:BC10"/>
    <mergeCell ref="BD10:BE10"/>
    <mergeCell ref="BF11:BF19"/>
    <mergeCell ref="AR20:AR26"/>
    <mergeCell ref="AT20:AV20"/>
    <mergeCell ref="AT21:AV21"/>
    <mergeCell ref="AT22:AV22"/>
    <mergeCell ref="AS23:AW23"/>
    <mergeCell ref="AS24:AV24"/>
    <mergeCell ref="AT25:AW25"/>
    <mergeCell ref="AS26:AV26"/>
    <mergeCell ref="BF20:BF26"/>
    <mergeCell ref="BP10:BQ10"/>
    <mergeCell ref="CH2:CU2"/>
    <mergeCell ref="CH9:CK9"/>
    <mergeCell ref="CH10:CM10"/>
    <mergeCell ref="CH11:CH19"/>
    <mergeCell ref="CI11:CM12"/>
    <mergeCell ref="CI13:CM14"/>
    <mergeCell ref="CI15:CM17"/>
    <mergeCell ref="CI18:CM18"/>
    <mergeCell ref="CI19:CM19"/>
    <mergeCell ref="BT2:CG2"/>
    <mergeCell ref="BT9:BW9"/>
    <mergeCell ref="BT10:BY10"/>
    <mergeCell ref="BT11:BT19"/>
    <mergeCell ref="BU11:BY12"/>
    <mergeCell ref="BU13:BY14"/>
    <mergeCell ref="BU15:BY17"/>
    <mergeCell ref="BU18:BY18"/>
    <mergeCell ref="BU19:BY19"/>
    <mergeCell ref="BF2:BS2"/>
    <mergeCell ref="BF9:BI9"/>
    <mergeCell ref="BF10:BK10"/>
    <mergeCell ref="BL10:BM10"/>
    <mergeCell ref="BN10:BO10"/>
    <mergeCell ref="CR10:CS10"/>
    <mergeCell ref="BR10:BS10"/>
    <mergeCell ref="BZ10:CA10"/>
    <mergeCell ref="CB10:CC10"/>
    <mergeCell ref="CD10:CE10"/>
    <mergeCell ref="CF10:CG10"/>
    <mergeCell ref="CN10:CO10"/>
    <mergeCell ref="CP10:CQ10"/>
    <mergeCell ref="CH20:CH26"/>
    <mergeCell ref="CJ20:CL20"/>
    <mergeCell ref="CJ21:CL21"/>
    <mergeCell ref="CJ22:CL22"/>
    <mergeCell ref="CI23:CM23"/>
    <mergeCell ref="CI24:CL24"/>
    <mergeCell ref="CJ25:CM25"/>
    <mergeCell ref="CI26:CL26"/>
    <mergeCell ref="BT20:BT26"/>
    <mergeCell ref="BV20:BX20"/>
    <mergeCell ref="BV21:BX21"/>
    <mergeCell ref="BV22:BX22"/>
    <mergeCell ref="BU23:BY23"/>
    <mergeCell ref="BU24:BX24"/>
    <mergeCell ref="BV25:BY25"/>
    <mergeCell ref="BU26:BX26"/>
    <mergeCell ref="DP20:DS20"/>
    <mergeCell ref="DK23:DO23"/>
    <mergeCell ref="DP23:DS23"/>
    <mergeCell ref="DJ20:DJ24"/>
    <mergeCell ref="DL22:DN22"/>
    <mergeCell ref="DK24:DN24"/>
    <mergeCell ref="DP24:DS24"/>
    <mergeCell ref="CV20:CV26"/>
    <mergeCell ref="CX21:CZ21"/>
    <mergeCell ref="CX25:DA25"/>
    <mergeCell ref="CW24:CZ24"/>
    <mergeCell ref="DL21:DN21"/>
    <mergeCell ref="DP21:DS21"/>
    <mergeCell ref="CW26:CZ26"/>
    <mergeCell ref="CX20:CZ20"/>
    <mergeCell ref="CX22:CZ22"/>
    <mergeCell ref="CV2:DI2"/>
    <mergeCell ref="CT10:CU10"/>
    <mergeCell ref="DB10:DC10"/>
    <mergeCell ref="DD10:DE10"/>
    <mergeCell ref="CV11:CV19"/>
    <mergeCell ref="CW11:DA12"/>
    <mergeCell ref="CV9:CY9"/>
    <mergeCell ref="CV10:DA10"/>
    <mergeCell ref="DH10:DI10"/>
    <mergeCell ref="DF10:DG10"/>
    <mergeCell ref="CW13:DA14"/>
    <mergeCell ref="CW15:DA17"/>
    <mergeCell ref="CW18:DA18"/>
    <mergeCell ref="CW19:DA19"/>
    <mergeCell ref="DJ9:DM9"/>
    <mergeCell ref="DJ10:DO10"/>
    <mergeCell ref="DJ11:DJ19"/>
    <mergeCell ref="DK18:DO18"/>
    <mergeCell ref="DK11:DO12"/>
    <mergeCell ref="DK19:DO19"/>
    <mergeCell ref="DK15:DO17"/>
    <mergeCell ref="DJ2:EI2"/>
    <mergeCell ref="DP17:DS17"/>
    <mergeCell ref="DK13:DO14"/>
    <mergeCell ref="DP13:DS13"/>
    <mergeCell ref="DU13:DX13"/>
    <mergeCell ref="DZ13:EC13"/>
    <mergeCell ref="DP10:DT10"/>
    <mergeCell ref="DU10:DY10"/>
    <mergeCell ref="DU11:DX11"/>
    <mergeCell ref="DP11:DS11"/>
    <mergeCell ref="CW23:DA23"/>
    <mergeCell ref="DL25:DO25"/>
    <mergeCell ref="DL20:DN20"/>
    <mergeCell ref="DP25:DS25"/>
    <mergeCell ref="DU25:DX25"/>
    <mergeCell ref="EE26:EH26"/>
    <mergeCell ref="EE25:EH25"/>
    <mergeCell ref="EZ25:FC25"/>
    <mergeCell ref="EE20:EH20"/>
    <mergeCell ref="EA19:EB19"/>
    <mergeCell ref="EK13:EO14"/>
    <mergeCell ref="EP13:ES13"/>
    <mergeCell ref="EP14:ES14"/>
    <mergeCell ref="EP20:ES20"/>
    <mergeCell ref="EE13:EH13"/>
    <mergeCell ref="EE22:EH22"/>
    <mergeCell ref="EE23:EH23"/>
    <mergeCell ref="DZ23:EC23"/>
    <mergeCell ref="EK23:EO23"/>
    <mergeCell ref="EP23:ES23"/>
    <mergeCell ref="EP22:ES22"/>
    <mergeCell ref="EU23:EX23"/>
    <mergeCell ref="EU22:EX22"/>
    <mergeCell ref="EL21:EN21"/>
    <mergeCell ref="EU17:EX17"/>
    <mergeCell ref="EE14:EH14"/>
    <mergeCell ref="EE16:EH16"/>
    <mergeCell ref="EE21:EH21"/>
    <mergeCell ref="DZ25:EC25"/>
    <mergeCell ref="EK26:EN26"/>
    <mergeCell ref="EP26:ES26"/>
    <mergeCell ref="DZ22:EC22"/>
    <mergeCell ref="HK2:IJ2"/>
    <mergeCell ref="HK9:HN9"/>
    <mergeCell ref="HK10:HP10"/>
    <mergeCell ref="HV10:HZ10"/>
    <mergeCell ref="DZ10:ED10"/>
    <mergeCell ref="EE17:EH17"/>
    <mergeCell ref="EZ24:FC24"/>
    <mergeCell ref="EU10:EY10"/>
    <mergeCell ref="EY13:EY19"/>
    <mergeCell ref="EU24:EX24"/>
    <mergeCell ref="EE24:EH24"/>
    <mergeCell ref="EE10:EI10"/>
    <mergeCell ref="EI13:EI19"/>
    <mergeCell ref="EF19:EG19"/>
    <mergeCell ref="ED13:ED19"/>
    <mergeCell ref="EE11:EH11"/>
    <mergeCell ref="EE12:EH12"/>
    <mergeCell ref="HQ10:HU10"/>
    <mergeCell ref="GK20:GK24"/>
    <mergeCell ref="GL13:GP14"/>
    <mergeCell ref="HL11:HP12"/>
    <mergeCell ref="HQ11:HT11"/>
    <mergeCell ref="DZ11:EC11"/>
    <mergeCell ref="DZ17:EC17"/>
    <mergeCell ref="DZ16:EC16"/>
    <mergeCell ref="HA20:HD20"/>
    <mergeCell ref="HF22:HI22"/>
    <mergeCell ref="GL23:GP23"/>
    <mergeCell ref="GQ23:GT23"/>
    <mergeCell ref="GV23:GY23"/>
    <mergeCell ref="HK20:HK24"/>
    <mergeCell ref="HM20:HO20"/>
    <mergeCell ref="HQ17:HT17"/>
    <mergeCell ref="HV11:HY11"/>
    <mergeCell ref="IA11:ID11"/>
    <mergeCell ref="HL13:HP14"/>
    <mergeCell ref="HQ13:HT13"/>
    <mergeCell ref="HV13:HY13"/>
    <mergeCell ref="IA13:ID13"/>
    <mergeCell ref="HQ14:HT14"/>
    <mergeCell ref="HV14:HY14"/>
    <mergeCell ref="HQ16:HT16"/>
    <mergeCell ref="HV16:HY16"/>
    <mergeCell ref="IA16:ID16"/>
    <mergeCell ref="HZ13:HZ19"/>
    <mergeCell ref="HV17:HY17"/>
    <mergeCell ref="IA17:ID17"/>
    <mergeCell ref="IF17:II17"/>
    <mergeCell ref="HL15:HP17"/>
    <mergeCell ref="HQ15:HT15"/>
    <mergeCell ref="HV15:HY15"/>
    <mergeCell ref="IA15:ID15"/>
    <mergeCell ref="IF15:II15"/>
    <mergeCell ref="IF13:II13"/>
    <mergeCell ref="IA14:ID14"/>
    <mergeCell ref="IF14:II14"/>
    <mergeCell ref="IF11:II11"/>
    <mergeCell ref="HQ12:HT12"/>
    <mergeCell ref="HV12:HY12"/>
    <mergeCell ref="IA12:ID12"/>
    <mergeCell ref="IF12:II12"/>
    <mergeCell ref="HW19:HX19"/>
    <mergeCell ref="IB19:IC19"/>
    <mergeCell ref="IF16:II16"/>
    <mergeCell ref="HL26:HO26"/>
    <mergeCell ref="HQ26:HT26"/>
    <mergeCell ref="HV26:HY26"/>
    <mergeCell ref="IA26:ID26"/>
    <mergeCell ref="IF26:II26"/>
    <mergeCell ref="HM25:HP25"/>
    <mergeCell ref="HQ25:HT25"/>
    <mergeCell ref="HV25:HY25"/>
    <mergeCell ref="IA25:ID25"/>
    <mergeCell ref="IF25:II25"/>
    <mergeCell ref="HM22:HO22"/>
    <mergeCell ref="HQ22:HT22"/>
    <mergeCell ref="HV22:HY22"/>
    <mergeCell ref="IA22:ID22"/>
    <mergeCell ref="IF22:II22"/>
    <mergeCell ref="IG19:IH19"/>
    <mergeCell ref="HL24:HO24"/>
    <mergeCell ref="HQ24:HT24"/>
    <mergeCell ref="HV24:HY24"/>
    <mergeCell ref="IA24:ID24"/>
    <mergeCell ref="IF24:II24"/>
    <mergeCell ref="HL23:HP23"/>
    <mergeCell ref="HQ23:HT23"/>
    <mergeCell ref="HV23:HY23"/>
    <mergeCell ref="HQ20:HT20"/>
    <mergeCell ref="HV20:HY20"/>
    <mergeCell ref="HM21:HO21"/>
    <mergeCell ref="HQ21:HT21"/>
    <mergeCell ref="IA20:ID20"/>
    <mergeCell ref="IF20:II20"/>
    <mergeCell ref="HV21:HY21"/>
    <mergeCell ref="IA21:ID21"/>
    <mergeCell ref="IL26:IO26"/>
    <mergeCell ref="IQ26:IT26"/>
    <mergeCell ref="IV26:IY26"/>
    <mergeCell ref="JA26:JD26"/>
    <mergeCell ref="IV23:IY23"/>
    <mergeCell ref="JA23:JD23"/>
    <mergeCell ref="IL24:IO24"/>
    <mergeCell ref="IQ24:IT24"/>
    <mergeCell ref="IV24:IY24"/>
    <mergeCell ref="JA24:JD24"/>
    <mergeCell ref="IM25:IP25"/>
    <mergeCell ref="IQ25:IT25"/>
    <mergeCell ref="IV25:IY25"/>
    <mergeCell ref="JA25:JD25"/>
    <mergeCell ref="KG26:KJ26"/>
    <mergeCell ref="JF23:JI23"/>
    <mergeCell ref="JF24:JI24"/>
    <mergeCell ref="JF25:JI25"/>
    <mergeCell ref="JF26:JI26"/>
    <mergeCell ref="JM25:JP25"/>
    <mergeCell ref="JQ25:JT25"/>
    <mergeCell ref="JV25:JY25"/>
    <mergeCell ref="KA25:KD25"/>
    <mergeCell ref="KG25:KJ25"/>
    <mergeCell ref="KA24:KD24"/>
    <mergeCell ref="JL24:JO24"/>
    <mergeCell ref="JL26:JO26"/>
    <mergeCell ref="JQ26:JT26"/>
    <mergeCell ref="JV26:JY26"/>
    <mergeCell ref="KA26:KD26"/>
    <mergeCell ref="IK2:JJ2"/>
    <mergeCell ref="IK9:IN9"/>
    <mergeCell ref="IK10:IP10"/>
    <mergeCell ref="IK11:IK19"/>
    <mergeCell ref="IL11:IP12"/>
    <mergeCell ref="IQ11:IT11"/>
    <mergeCell ref="IV16:IY16"/>
    <mergeCell ref="JA16:JD16"/>
    <mergeCell ref="IQ17:IT17"/>
    <mergeCell ref="IQ10:IU10"/>
    <mergeCell ref="IV10:IZ10"/>
    <mergeCell ref="JA10:JE10"/>
    <mergeCell ref="JF10:JJ10"/>
    <mergeCell ref="IQ12:IT12"/>
    <mergeCell ref="IL13:IP14"/>
    <mergeCell ref="IQ13:IT13"/>
    <mergeCell ref="IL18:IP18"/>
    <mergeCell ref="IL19:IP19"/>
    <mergeCell ref="IR19:IS19"/>
    <mergeCell ref="IW19:IX19"/>
    <mergeCell ref="JB19:JC19"/>
    <mergeCell ref="IL15:IP17"/>
    <mergeCell ref="IQ15:IT15"/>
    <mergeCell ref="IV15:IY15"/>
    <mergeCell ref="IQ16:IT16"/>
    <mergeCell ref="JA13:JD13"/>
    <mergeCell ref="IQ14:IT14"/>
    <mergeCell ref="IV11:IY11"/>
    <mergeCell ref="JA11:JD11"/>
    <mergeCell ref="IV14:IY14"/>
    <mergeCell ref="JA14:JD14"/>
    <mergeCell ref="IV17:IY17"/>
    <mergeCell ref="KM26:KP26"/>
    <mergeCell ref="KL20:KL24"/>
    <mergeCell ref="KN20:KP20"/>
    <mergeCell ref="KN21:KP21"/>
    <mergeCell ref="KN22:KP22"/>
    <mergeCell ref="KM23:KQ23"/>
    <mergeCell ref="KM24:KP24"/>
    <mergeCell ref="KR20:KU20"/>
    <mergeCell ref="KR21:KU21"/>
    <mergeCell ref="KR22:KU22"/>
    <mergeCell ref="KR23:KU23"/>
    <mergeCell ref="JJ13:JJ19"/>
    <mergeCell ref="JM22:JO22"/>
    <mergeCell ref="JQ22:JT22"/>
    <mergeCell ref="JV22:JY22"/>
    <mergeCell ref="KA22:KD22"/>
    <mergeCell ref="JL23:JP23"/>
    <mergeCell ref="JQ23:JT23"/>
    <mergeCell ref="JV23:JY23"/>
    <mergeCell ref="KA23:KD23"/>
    <mergeCell ref="JQ24:JT24"/>
    <mergeCell ref="JV24:JY24"/>
    <mergeCell ref="KK13:KK19"/>
    <mergeCell ref="KR26:KU26"/>
    <mergeCell ref="KR25:KU25"/>
    <mergeCell ref="JL18:JP18"/>
    <mergeCell ref="JM20:JO20"/>
    <mergeCell ref="KH19:KI19"/>
    <mergeCell ref="KG20:KJ20"/>
    <mergeCell ref="KL2:LK2"/>
    <mergeCell ref="LR9:LU9"/>
    <mergeCell ref="LL9:LO9"/>
    <mergeCell ref="LL10:LQ10"/>
    <mergeCell ref="LL11:LL19"/>
    <mergeCell ref="LM11:LQ12"/>
    <mergeCell ref="LM13:LQ14"/>
    <mergeCell ref="LM15:LQ17"/>
    <mergeCell ref="LM18:LQ18"/>
    <mergeCell ref="LM19:LQ19"/>
    <mergeCell ref="KS19:KT19"/>
    <mergeCell ref="LC19:LD19"/>
    <mergeCell ref="LS19:LT19"/>
    <mergeCell ref="LA13:LA19"/>
    <mergeCell ref="LB16:LE16"/>
    <mergeCell ref="LG16:LJ16"/>
    <mergeCell ref="LG17:LJ17"/>
    <mergeCell ref="KL9:KO9"/>
    <mergeCell ref="KX19:KY19"/>
    <mergeCell ref="KW12:KZ12"/>
    <mergeCell ref="LR15:LU15"/>
    <mergeCell ref="LB14:LE14"/>
    <mergeCell ref="LG14:LJ14"/>
    <mergeCell ref="LR14:LU14"/>
    <mergeCell ref="KV13:KV19"/>
    <mergeCell ref="LB10:LF10"/>
    <mergeCell ref="KW10:LA10"/>
    <mergeCell ref="KR12:KU12"/>
    <mergeCell ref="LK13:LK19"/>
    <mergeCell ref="LB13:LE13"/>
    <mergeCell ref="LG13:LJ13"/>
    <mergeCell ref="LR13:LU13"/>
    <mergeCell ref="IV12:IY12"/>
    <mergeCell ref="JA12:JD12"/>
    <mergeCell ref="JF11:JI11"/>
    <mergeCell ref="JF12:JI12"/>
    <mergeCell ref="JF13:JI13"/>
    <mergeCell ref="JF14:JI14"/>
    <mergeCell ref="JF15:JI15"/>
    <mergeCell ref="JF16:JI16"/>
    <mergeCell ref="JF17:JI17"/>
    <mergeCell ref="JG19:JH19"/>
    <mergeCell ref="KB19:KC19"/>
    <mergeCell ref="JQ16:JT16"/>
    <mergeCell ref="JV16:JY16"/>
    <mergeCell ref="KA16:KD16"/>
    <mergeCell ref="JQ17:JT17"/>
    <mergeCell ref="KW25:KZ25"/>
    <mergeCell ref="KW23:KZ23"/>
    <mergeCell ref="KW13:KZ13"/>
    <mergeCell ref="KW14:KZ14"/>
    <mergeCell ref="JA17:JD17"/>
    <mergeCell ref="JA15:JD15"/>
    <mergeCell ref="JQ20:JT20"/>
    <mergeCell ref="JV20:JY20"/>
    <mergeCell ref="KA20:KD20"/>
    <mergeCell ref="JM21:JO21"/>
    <mergeCell ref="JQ21:JT21"/>
    <mergeCell ref="JV21:JY21"/>
    <mergeCell ref="KA21:KD21"/>
    <mergeCell ref="KR17:KU17"/>
    <mergeCell ref="KR13:KU13"/>
    <mergeCell ref="KR14:KU14"/>
    <mergeCell ref="KN25:KQ25"/>
    <mergeCell ref="LB25:LE25"/>
    <mergeCell ref="LG25:LJ25"/>
    <mergeCell ref="LR25:LU25"/>
    <mergeCell ref="KR15:KU15"/>
    <mergeCell ref="LB15:LE15"/>
    <mergeCell ref="LH19:LI19"/>
    <mergeCell ref="LR10:LV10"/>
    <mergeCell ref="LR12:LU12"/>
    <mergeCell ref="LW10:MA10"/>
    <mergeCell ref="LR17:LU17"/>
    <mergeCell ref="MB13:ME13"/>
    <mergeCell ref="MB14:ME14"/>
    <mergeCell ref="MB11:ME11"/>
    <mergeCell ref="MB12:ME12"/>
    <mergeCell ref="LW12:LZ12"/>
    <mergeCell ref="LW13:LZ13"/>
    <mergeCell ref="LW14:LZ14"/>
    <mergeCell ref="LW15:LZ15"/>
    <mergeCell ref="LW16:LZ16"/>
    <mergeCell ref="LW17:LZ17"/>
    <mergeCell ref="MB15:ME15"/>
    <mergeCell ref="MC19:MD19"/>
    <mergeCell ref="KW16:KZ16"/>
    <mergeCell ref="KW17:KZ17"/>
    <mergeCell ref="MB16:ME16"/>
    <mergeCell ref="MB17:ME17"/>
    <mergeCell ref="LX19:LY19"/>
    <mergeCell ref="LW20:LZ20"/>
    <mergeCell ref="KR10:KV10"/>
    <mergeCell ref="LW11:LZ11"/>
    <mergeCell ref="KW15:KZ15"/>
    <mergeCell ref="LG10:LK10"/>
    <mergeCell ref="MW16:MZ16"/>
    <mergeCell ref="NB16:NE16"/>
    <mergeCell ref="NL22:NO22"/>
    <mergeCell ref="NB12:NE12"/>
    <mergeCell ref="NL12:NO12"/>
    <mergeCell ref="MR13:MV14"/>
    <mergeCell ref="MW13:MZ13"/>
    <mergeCell ref="NB13:NE13"/>
    <mergeCell ref="MW10:NA10"/>
    <mergeCell ref="NG11:NJ11"/>
    <mergeCell ref="NG12:NJ12"/>
    <mergeCell ref="NG13:NJ13"/>
    <mergeCell ref="NG14:NJ14"/>
    <mergeCell ref="NG15:NJ15"/>
    <mergeCell ref="NG16:NJ16"/>
    <mergeCell ref="NM19:NN19"/>
    <mergeCell ref="NG17:NJ17"/>
    <mergeCell ref="NH19:NI19"/>
    <mergeCell ref="NL10:NP10"/>
    <mergeCell ref="NG10:NK10"/>
    <mergeCell ref="NB20:NE20"/>
    <mergeCell ref="MR18:MV18"/>
    <mergeCell ref="NB10:NF10"/>
    <mergeCell ref="NB14:NE14"/>
    <mergeCell ref="NL14:NO14"/>
    <mergeCell ref="NB15:NE15"/>
    <mergeCell ref="NL15:NO15"/>
    <mergeCell ref="MR19:MV19"/>
    <mergeCell ref="MX19:MY19"/>
    <mergeCell ref="MR24:MU24"/>
    <mergeCell ref="MW24:MZ24"/>
    <mergeCell ref="NB24:NE24"/>
    <mergeCell ref="NL24:NO24"/>
    <mergeCell ref="MS25:MV25"/>
    <mergeCell ref="MW25:MZ25"/>
    <mergeCell ref="NB25:NE25"/>
    <mergeCell ref="NL25:NO25"/>
    <mergeCell ref="NG26:NJ26"/>
    <mergeCell ref="NL20:NO20"/>
    <mergeCell ref="MS21:MU21"/>
    <mergeCell ref="MW21:MZ21"/>
    <mergeCell ref="NB21:NE21"/>
    <mergeCell ref="NL21:NO21"/>
    <mergeCell ref="MS22:MU22"/>
    <mergeCell ref="MW22:MZ22"/>
    <mergeCell ref="NB22:NE22"/>
    <mergeCell ref="NG21:NJ21"/>
    <mergeCell ref="NG22:NJ22"/>
    <mergeCell ref="NG23:NJ23"/>
    <mergeCell ref="NG24:NJ24"/>
    <mergeCell ref="NG25:NJ25"/>
    <mergeCell ref="NB23:NE23"/>
    <mergeCell ref="NL23:NO23"/>
    <mergeCell ref="MR26:MU26"/>
    <mergeCell ref="MW26:MZ26"/>
    <mergeCell ref="NB26:NE26"/>
    <mergeCell ref="NL26:NO26"/>
    <mergeCell ref="ML25:MO25"/>
    <mergeCell ref="LN25:LQ25"/>
    <mergeCell ref="MG26:MJ26"/>
    <mergeCell ref="LW25:LZ25"/>
    <mergeCell ref="NR2:OQ2"/>
    <mergeCell ref="NR9:NU9"/>
    <mergeCell ref="NX9:OA9"/>
    <mergeCell ref="NR10:NW10"/>
    <mergeCell ref="NR11:NR19"/>
    <mergeCell ref="NS11:NW12"/>
    <mergeCell ref="NX11:OA11"/>
    <mergeCell ref="OC11:OF11"/>
    <mergeCell ref="OH11:OK11"/>
    <mergeCell ref="OM11:OP11"/>
    <mergeCell ref="NX12:OA12"/>
    <mergeCell ref="OC12:OF12"/>
    <mergeCell ref="OH12:OK12"/>
    <mergeCell ref="OM12:OP12"/>
    <mergeCell ref="NS13:NW14"/>
    <mergeCell ref="NX13:OA13"/>
    <mergeCell ref="MW17:MZ17"/>
    <mergeCell ref="OC13:OF13"/>
    <mergeCell ref="OH13:OK13"/>
    <mergeCell ref="OM13:OP13"/>
    <mergeCell ref="NX14:OA14"/>
    <mergeCell ref="OC14:OF14"/>
    <mergeCell ref="OH14:OK14"/>
    <mergeCell ref="OM14:OP14"/>
    <mergeCell ref="OC10:OG10"/>
    <mergeCell ref="NX10:OB10"/>
    <mergeCell ref="NL13:NO13"/>
    <mergeCell ref="MW14:MZ14"/>
    <mergeCell ref="OC24:OF24"/>
    <mergeCell ref="NS23:NW23"/>
    <mergeCell ref="NX23:OA23"/>
    <mergeCell ref="OC23:OF23"/>
    <mergeCell ref="OH23:OK23"/>
    <mergeCell ref="OM23:OP23"/>
    <mergeCell ref="NS24:NV24"/>
    <mergeCell ref="NS15:NW17"/>
    <mergeCell ref="NX15:OA15"/>
    <mergeCell ref="OC15:OF15"/>
    <mergeCell ref="OH15:OK15"/>
    <mergeCell ref="OM15:OP15"/>
    <mergeCell ref="NX16:OA16"/>
    <mergeCell ref="OC16:OF16"/>
    <mergeCell ref="OH16:OK16"/>
    <mergeCell ref="OM16:OP16"/>
    <mergeCell ref="NS18:NW18"/>
    <mergeCell ref="OH24:OK24"/>
    <mergeCell ref="OM24:OP24"/>
    <mergeCell ref="NX17:OA17"/>
    <mergeCell ref="OC17:OF17"/>
    <mergeCell ref="OH17:OK17"/>
    <mergeCell ref="OM17:OP17"/>
    <mergeCell ref="NR20:NR24"/>
    <mergeCell ref="NT25:NW25"/>
    <mergeCell ref="NX25:OA25"/>
    <mergeCell ref="OC25:OF25"/>
    <mergeCell ref="OH25:OK25"/>
    <mergeCell ref="OM25:OP25"/>
    <mergeCell ref="NS26:NV26"/>
    <mergeCell ref="NX26:OA26"/>
    <mergeCell ref="OC26:OF26"/>
    <mergeCell ref="OH26:OK26"/>
    <mergeCell ref="OM26:OP26"/>
    <mergeCell ref="NS19:NW19"/>
    <mergeCell ref="NY19:NZ19"/>
    <mergeCell ref="OD19:OE19"/>
    <mergeCell ref="OI19:OJ19"/>
    <mergeCell ref="ON19:OO19"/>
    <mergeCell ref="NT20:NV20"/>
    <mergeCell ref="NX20:OA20"/>
    <mergeCell ref="OC20:OF20"/>
    <mergeCell ref="OH20:OK20"/>
    <mergeCell ref="OM20:OP20"/>
    <mergeCell ref="NT21:NV21"/>
    <mergeCell ref="NX21:OA21"/>
    <mergeCell ref="OC21:OF21"/>
    <mergeCell ref="OH21:OK21"/>
    <mergeCell ref="NX24:OA24"/>
    <mergeCell ref="OM21:OP21"/>
    <mergeCell ref="NT22:NV22"/>
    <mergeCell ref="NX22:OA22"/>
    <mergeCell ref="OC22:OF22"/>
    <mergeCell ref="OH22:OK22"/>
    <mergeCell ref="OM22:OP22"/>
    <mergeCell ref="PT20:PT24"/>
    <mergeCell ref="PU24:PX24"/>
    <mergeCell ref="OS2:PR2"/>
    <mergeCell ref="OS9:OV9"/>
    <mergeCell ref="OY9:PB9"/>
    <mergeCell ref="OS10:OX10"/>
    <mergeCell ref="OS11:OS19"/>
    <mergeCell ref="OT11:OX12"/>
    <mergeCell ref="OY11:PB11"/>
    <mergeCell ref="PD11:PG11"/>
    <mergeCell ref="PI11:PL11"/>
    <mergeCell ref="PN11:PQ11"/>
    <mergeCell ref="OY12:PB12"/>
    <mergeCell ref="PD12:PG12"/>
    <mergeCell ref="PI12:PL12"/>
    <mergeCell ref="PN12:PQ12"/>
    <mergeCell ref="OT13:OX14"/>
    <mergeCell ref="OY13:PB13"/>
    <mergeCell ref="PD13:PG13"/>
    <mergeCell ref="PI13:PL13"/>
    <mergeCell ref="PN13:PQ13"/>
    <mergeCell ref="OT15:OX17"/>
    <mergeCell ref="OY15:PB15"/>
    <mergeCell ref="PD15:PG15"/>
    <mergeCell ref="PI15:PL15"/>
    <mergeCell ref="PN15:PQ15"/>
    <mergeCell ref="OY16:PB16"/>
    <mergeCell ref="PD16:PG16"/>
    <mergeCell ref="PI16:PL16"/>
    <mergeCell ref="PN16:PQ16"/>
    <mergeCell ref="OY17:PB17"/>
    <mergeCell ref="PD17:PG17"/>
    <mergeCell ref="OT26:OW26"/>
    <mergeCell ref="OY26:PB26"/>
    <mergeCell ref="PD26:PG26"/>
    <mergeCell ref="PI26:PL26"/>
    <mergeCell ref="PN26:PQ26"/>
    <mergeCell ref="OT19:OX19"/>
    <mergeCell ref="OZ19:PA19"/>
    <mergeCell ref="PE19:PF19"/>
    <mergeCell ref="PJ19:PK19"/>
    <mergeCell ref="OU25:OX25"/>
    <mergeCell ref="OY25:PB25"/>
    <mergeCell ref="PD25:PG25"/>
    <mergeCell ref="PO19:PP19"/>
    <mergeCell ref="OY24:PB24"/>
    <mergeCell ref="PD24:PG24"/>
    <mergeCell ref="PI24:PL24"/>
    <mergeCell ref="PN24:PQ24"/>
    <mergeCell ref="OU21:OW21"/>
    <mergeCell ref="OY21:PB21"/>
    <mergeCell ref="PD21:PG21"/>
    <mergeCell ref="PI21:PL21"/>
    <mergeCell ref="PN21:PQ21"/>
    <mergeCell ref="OU22:OW22"/>
    <mergeCell ref="OY22:PB22"/>
    <mergeCell ref="PD22:PG22"/>
    <mergeCell ref="OT23:OX23"/>
    <mergeCell ref="OY23:PB23"/>
    <mergeCell ref="OS20:OS24"/>
    <mergeCell ref="PI22:PL22"/>
    <mergeCell ref="PN22:PQ22"/>
    <mergeCell ref="OT24:OW24"/>
    <mergeCell ref="OY14:PB14"/>
    <mergeCell ref="PD14:PG14"/>
    <mergeCell ref="PI14:PL14"/>
    <mergeCell ref="OY10:PC10"/>
    <mergeCell ref="PI25:PL25"/>
    <mergeCell ref="PN25:PQ25"/>
    <mergeCell ref="PD23:PG23"/>
    <mergeCell ref="PI23:PL23"/>
    <mergeCell ref="PN23:PQ23"/>
    <mergeCell ref="PD10:PH10"/>
    <mergeCell ref="PI10:PM10"/>
    <mergeCell ref="PN10:PR10"/>
    <mergeCell ref="OT18:OX18"/>
    <mergeCell ref="PD20:PG20"/>
    <mergeCell ref="PI20:PL20"/>
    <mergeCell ref="PN20:PQ20"/>
    <mergeCell ref="PN14:PQ14"/>
    <mergeCell ref="OU20:OW20"/>
    <mergeCell ref="OY20:PB20"/>
    <mergeCell ref="PI17:PL17"/>
    <mergeCell ref="PN17:PQ17"/>
    <mergeCell ref="PZ9:QC9"/>
    <mergeCell ref="PT10:PY10"/>
    <mergeCell ref="PT11:PT19"/>
    <mergeCell ref="PU11:PY12"/>
    <mergeCell ref="PZ11:QC11"/>
    <mergeCell ref="QE11:QH11"/>
    <mergeCell ref="QJ11:QM11"/>
    <mergeCell ref="QO11:QR11"/>
    <mergeCell ref="PZ12:QC12"/>
    <mergeCell ref="QE12:QH12"/>
    <mergeCell ref="QJ12:QM12"/>
    <mergeCell ref="QO12:QR12"/>
    <mergeCell ref="PU13:PY14"/>
    <mergeCell ref="PZ13:QC13"/>
    <mergeCell ref="QE13:QH13"/>
    <mergeCell ref="PZ10:QD10"/>
    <mergeCell ref="QJ13:QM13"/>
    <mergeCell ref="PZ14:QC14"/>
    <mergeCell ref="QE14:QH14"/>
    <mergeCell ref="QJ14:QM14"/>
    <mergeCell ref="QE10:QI10"/>
    <mergeCell ref="PU19:PY19"/>
    <mergeCell ref="QJ17:QM17"/>
    <mergeCell ref="QO17:QR17"/>
    <mergeCell ref="PU18:PY18"/>
    <mergeCell ref="QE16:QH16"/>
    <mergeCell ref="QJ16:QM16"/>
    <mergeCell ref="QO16:QR16"/>
    <mergeCell ref="PZ17:QC17"/>
    <mergeCell ref="QJ10:QN10"/>
    <mergeCell ref="QO15:QR15"/>
    <mergeCell ref="PV25:PY25"/>
    <mergeCell ref="PZ25:QC25"/>
    <mergeCell ref="QE25:QH25"/>
    <mergeCell ref="QJ25:QM25"/>
    <mergeCell ref="QO25:QR25"/>
    <mergeCell ref="PU23:PY23"/>
    <mergeCell ref="PZ23:QC23"/>
    <mergeCell ref="QE23:QH23"/>
    <mergeCell ref="QJ23:QM23"/>
    <mergeCell ref="QZ11:RC11"/>
    <mergeCell ref="QZ12:RC12"/>
    <mergeCell ref="QZ13:RC13"/>
    <mergeCell ref="QZ14:RC14"/>
    <mergeCell ref="QZ15:RC15"/>
    <mergeCell ref="QZ16:RC16"/>
    <mergeCell ref="QZ17:RC17"/>
    <mergeCell ref="QO13:QR13"/>
    <mergeCell ref="QO14:QR14"/>
    <mergeCell ref="QO23:QR23"/>
    <mergeCell ref="QE22:QH22"/>
    <mergeCell ref="QV25:QY25"/>
    <mergeCell ref="QT20:QT24"/>
    <mergeCell ref="QV20:QX20"/>
    <mergeCell ref="QV21:QX21"/>
    <mergeCell ref="QV22:QX22"/>
    <mergeCell ref="QU23:QY23"/>
    <mergeCell ref="QU24:QX24"/>
    <mergeCell ref="QI13:QI19"/>
    <mergeCell ref="PT2:QS2"/>
    <mergeCell ref="QT2:RS2"/>
    <mergeCell ref="RS13:RS19"/>
    <mergeCell ref="QJ22:QM22"/>
    <mergeCell ref="PU26:PX26"/>
    <mergeCell ref="PZ26:QC26"/>
    <mergeCell ref="QE26:QH26"/>
    <mergeCell ref="QJ26:QM26"/>
    <mergeCell ref="QO26:QR26"/>
    <mergeCell ref="PZ15:QC15"/>
    <mergeCell ref="PV20:PX20"/>
    <mergeCell ref="PZ20:QC20"/>
    <mergeCell ref="QE20:QH20"/>
    <mergeCell ref="QJ20:QM20"/>
    <mergeCell ref="QO20:QR20"/>
    <mergeCell ref="PV21:PX21"/>
    <mergeCell ref="PZ21:QC21"/>
    <mergeCell ref="QE21:QH21"/>
    <mergeCell ref="QJ21:QM21"/>
    <mergeCell ref="QO21:QR21"/>
    <mergeCell ref="PV22:PX22"/>
    <mergeCell ref="PZ22:QC22"/>
    <mergeCell ref="PZ24:QC24"/>
    <mergeCell ref="QE24:QH24"/>
    <mergeCell ref="QJ24:QM24"/>
    <mergeCell ref="QO24:QR24"/>
    <mergeCell ref="PZ16:QC16"/>
    <mergeCell ref="QE17:QH17"/>
    <mergeCell ref="QO22:QR22"/>
    <mergeCell ref="QZ10:RD10"/>
    <mergeCell ref="QE15:QH15"/>
    <mergeCell ref="QJ15:QM15"/>
    <mergeCell ref="SU9:SX9"/>
    <mergeCell ref="SU10:SZ10"/>
    <mergeCell ref="SU11:SU19"/>
    <mergeCell ref="SV11:SZ12"/>
    <mergeCell ref="TA11:TD11"/>
    <mergeCell ref="TF11:TI11"/>
    <mergeCell ref="TK11:TN11"/>
    <mergeCell ref="TP11:TS11"/>
    <mergeCell ref="TA12:TD12"/>
    <mergeCell ref="TF12:TI12"/>
    <mergeCell ref="TK12:TN12"/>
    <mergeCell ref="TP12:TS12"/>
    <mergeCell ref="SV13:SZ14"/>
    <mergeCell ref="TA13:TD13"/>
    <mergeCell ref="TF13:TI13"/>
    <mergeCell ref="TK13:TN13"/>
    <mergeCell ref="TP13:TS13"/>
    <mergeCell ref="TA14:TD14"/>
    <mergeCell ref="TF14:TI14"/>
    <mergeCell ref="TK14:TN14"/>
    <mergeCell ref="TP14:TS14"/>
    <mergeCell ref="SV15:SZ17"/>
    <mergeCell ref="TA15:TD15"/>
    <mergeCell ref="TF15:TI15"/>
    <mergeCell ref="TK15:TN15"/>
    <mergeCell ref="TP15:TS15"/>
    <mergeCell ref="TA16:TD16"/>
    <mergeCell ref="TF16:TI16"/>
    <mergeCell ref="TK16:TN16"/>
    <mergeCell ref="TP16:TS16"/>
    <mergeCell ref="TA17:TD17"/>
    <mergeCell ref="TF17:TI17"/>
    <mergeCell ref="SU20:SU24"/>
    <mergeCell ref="SW20:SY20"/>
    <mergeCell ref="TA20:TD20"/>
    <mergeCell ref="TF20:TI20"/>
    <mergeCell ref="TK20:TN20"/>
    <mergeCell ref="TP20:TS20"/>
    <mergeCell ref="SW21:SY21"/>
    <mergeCell ref="TA21:TD21"/>
    <mergeCell ref="TF21:TI21"/>
    <mergeCell ref="TK21:TN21"/>
    <mergeCell ref="TP21:TS21"/>
    <mergeCell ref="SW22:SY22"/>
    <mergeCell ref="TA22:TD22"/>
    <mergeCell ref="TF22:TI22"/>
    <mergeCell ref="TK22:TN22"/>
    <mergeCell ref="TP22:TS22"/>
    <mergeCell ref="SV23:SZ23"/>
    <mergeCell ref="TA23:TD23"/>
    <mergeCell ref="TF23:TI23"/>
    <mergeCell ref="TK23:TN23"/>
    <mergeCell ref="TP23:TS23"/>
    <mergeCell ref="SV24:SY24"/>
    <mergeCell ref="TA24:TD24"/>
    <mergeCell ref="TF24:TI24"/>
    <mergeCell ref="TK24:TN24"/>
    <mergeCell ref="TP24:TS24"/>
    <mergeCell ref="SW25:SZ25"/>
    <mergeCell ref="TA25:TD25"/>
    <mergeCell ref="TF25:TI25"/>
    <mergeCell ref="TK25:TN25"/>
    <mergeCell ref="TP25:TS25"/>
    <mergeCell ref="SV26:SY26"/>
    <mergeCell ref="TA26:TD26"/>
    <mergeCell ref="TF26:TI26"/>
    <mergeCell ref="TK26:TN26"/>
    <mergeCell ref="TP26:TS26"/>
    <mergeCell ref="TP10:TS10"/>
    <mergeCell ref="TB19:TC19"/>
    <mergeCell ref="TG19:TH19"/>
    <mergeCell ref="TL19:TM19"/>
    <mergeCell ref="TQ19:TR19"/>
    <mergeCell ref="TK17:TN17"/>
    <mergeCell ref="TP17:TS17"/>
    <mergeCell ref="SV18:SZ18"/>
    <mergeCell ref="SV19:SZ19"/>
    <mergeCell ref="TA10:TE10"/>
    <mergeCell ref="TF10:TJ10"/>
    <mergeCell ref="TK10:TO10"/>
  </mergeCells>
  <phoneticPr fontId="6"/>
  <pageMargins left="0.6692913385826772" right="0.15748031496062992" top="0.51181102362204722" bottom="7.874015748031496E-2" header="0.51181102362204722" footer="0.31496062992125984"/>
  <pageSetup paperSize="8" scale="60" fitToHeight="0" orientation="landscape" r:id="rId1"/>
  <headerFooter alignWithMargins="0"/>
  <colBreaks count="23" manualBreakCount="23">
    <brk id="15" max="34" man="1"/>
    <brk id="29" max="34" man="1"/>
    <brk id="43" max="34" man="1"/>
    <brk id="57" max="34" man="1"/>
    <brk id="71" max="34" man="1"/>
    <brk id="85" max="34" man="1"/>
    <brk id="99" max="34" man="1"/>
    <brk id="113" max="34" man="1"/>
    <brk id="139" max="34" man="1"/>
    <brk id="166" max="34" man="1"/>
    <brk id="192" max="34" man="1"/>
    <brk id="218" max="34" man="1"/>
    <brk id="244" max="34" man="1"/>
    <brk id="270" max="34" man="1"/>
    <brk id="297" max="34" man="1"/>
    <brk id="323" max="34" man="1"/>
    <brk id="354" max="34" man="1"/>
    <brk id="380" max="34" man="1"/>
    <brk id="408" max="34" man="1"/>
    <brk id="435" max="34" man="1"/>
    <brk id="461" max="34" man="1"/>
    <brk id="488" max="34" man="1"/>
    <brk id="514" max="3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A45"/>
  <sheetViews>
    <sheetView view="pageBreakPreview" topLeftCell="B4" zoomScale="55" zoomScaleNormal="100" zoomScaleSheetLayoutView="55" workbookViewId="0">
      <selection activeCell="K7" sqref="K7"/>
    </sheetView>
  </sheetViews>
  <sheetFormatPr defaultColWidth="8" defaultRowHeight="21" x14ac:dyDescent="0.4"/>
  <cols>
    <col min="1" max="1" width="4.125" style="2" hidden="1" customWidth="1"/>
    <col min="2" max="2" width="6.625" style="2" bestFit="1" customWidth="1"/>
    <col min="3" max="3" width="3.625" style="1" customWidth="1"/>
    <col min="4" max="6" width="14.625" style="2" customWidth="1"/>
    <col min="7" max="7" width="7" style="2" bestFit="1" customWidth="1"/>
    <col min="8" max="15" width="28.625" style="3" customWidth="1"/>
    <col min="16" max="16" width="6.625" style="2" bestFit="1" customWidth="1"/>
    <col min="17" max="17" width="3.625" style="1" customWidth="1"/>
    <col min="18" max="20" width="14.625" style="2" customWidth="1"/>
    <col min="21" max="21" width="7" style="2" bestFit="1" customWidth="1"/>
    <col min="22" max="29" width="28.625" style="3" customWidth="1"/>
    <col min="30" max="30" width="6.625" style="2" bestFit="1" customWidth="1"/>
    <col min="31" max="31" width="3.625" style="1" customWidth="1"/>
    <col min="32" max="34" width="14.625" style="2" customWidth="1"/>
    <col min="35" max="35" width="7" style="2" bestFit="1" customWidth="1"/>
    <col min="36" max="43" width="28.625" style="3" customWidth="1"/>
    <col min="44" max="44" width="6.625" style="2" bestFit="1" customWidth="1"/>
    <col min="45" max="45" width="3.625" style="1" customWidth="1"/>
    <col min="46" max="48" width="14.625" style="2" customWidth="1"/>
    <col min="49" max="49" width="7" style="2" bestFit="1" customWidth="1"/>
    <col min="50" max="57" width="28.625" style="3" customWidth="1"/>
    <col min="58" max="58" width="6.625" style="2" bestFit="1" customWidth="1"/>
    <col min="59" max="59" width="3.625" style="1" customWidth="1"/>
    <col min="60" max="62" width="14.625" style="2" customWidth="1"/>
    <col min="63" max="63" width="7" style="2" bestFit="1" customWidth="1"/>
    <col min="64" max="71" width="28.625" style="2" customWidth="1"/>
    <col min="72" max="72" width="6.625" style="2" bestFit="1" customWidth="1"/>
    <col min="73" max="73" width="3.625" style="1" customWidth="1"/>
    <col min="74" max="76" width="14.625" style="2" customWidth="1"/>
    <col min="77" max="77" width="7" style="2" bestFit="1" customWidth="1"/>
    <col min="78" max="85" width="28.625" style="2" customWidth="1"/>
    <col min="86" max="86" width="6.625" style="2" bestFit="1" customWidth="1"/>
    <col min="87" max="87" width="3.625" style="1" customWidth="1"/>
    <col min="88" max="90" width="14.625" style="2" customWidth="1"/>
    <col min="91" max="91" width="7" style="2" bestFit="1" customWidth="1"/>
    <col min="92" max="103" width="28.625" style="2" customWidth="1"/>
    <col min="104" max="16384" width="8" style="2"/>
  </cols>
  <sheetData>
    <row r="1" spans="2:105" ht="44.25" customHeight="1" x14ac:dyDescent="0.4">
      <c r="B1" s="454" t="s">
        <v>76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 t="s">
        <v>76</v>
      </c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 t="s">
        <v>76</v>
      </c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 t="s">
        <v>76</v>
      </c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 t="s">
        <v>76</v>
      </c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 t="s">
        <v>76</v>
      </c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 t="s">
        <v>76</v>
      </c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</row>
    <row r="2" spans="2:105" ht="32.25" customHeight="1" x14ac:dyDescent="0.4">
      <c r="B2" s="3"/>
      <c r="C2" s="3"/>
      <c r="D2" s="3"/>
      <c r="E2" s="3"/>
      <c r="F2" s="3"/>
      <c r="G2" s="3"/>
      <c r="P2" s="3"/>
      <c r="Q2" s="3"/>
      <c r="R2" s="3"/>
      <c r="S2" s="3"/>
      <c r="T2" s="3"/>
      <c r="U2" s="3"/>
      <c r="AD2" s="3"/>
      <c r="AE2" s="3"/>
      <c r="AF2" s="3"/>
      <c r="AG2" s="3"/>
      <c r="AH2" s="3"/>
      <c r="AI2" s="3"/>
      <c r="AR2" s="3"/>
      <c r="AS2" s="3"/>
      <c r="AT2" s="3"/>
      <c r="AU2" s="3"/>
      <c r="AV2" s="3"/>
      <c r="AW2" s="3"/>
      <c r="BF2" s="3"/>
      <c r="BG2" s="3"/>
      <c r="BH2" s="3"/>
      <c r="BI2" s="3"/>
      <c r="BJ2" s="3"/>
      <c r="BK2" s="3"/>
      <c r="BT2" s="3"/>
      <c r="BU2" s="3"/>
      <c r="BV2" s="3"/>
      <c r="BW2" s="3"/>
      <c r="BX2" s="3"/>
      <c r="BY2" s="3"/>
      <c r="CH2" s="3"/>
      <c r="CI2" s="3"/>
      <c r="CJ2" s="3"/>
      <c r="CK2" s="3"/>
      <c r="CL2" s="3"/>
      <c r="CM2" s="3"/>
    </row>
    <row r="3" spans="2:105" ht="29.25" customHeight="1" x14ac:dyDescent="0.4">
      <c r="B3" s="28" t="s">
        <v>72</v>
      </c>
      <c r="P3" s="28" t="s">
        <v>72</v>
      </c>
      <c r="AD3" s="28" t="s">
        <v>72</v>
      </c>
      <c r="AR3" s="28" t="s">
        <v>72</v>
      </c>
      <c r="BF3" s="28" t="s">
        <v>72</v>
      </c>
      <c r="BT3" s="28" t="s">
        <v>72</v>
      </c>
      <c r="CH3" s="28" t="s">
        <v>72</v>
      </c>
    </row>
    <row r="4" spans="2:105" ht="29.25" customHeight="1" x14ac:dyDescent="0.4">
      <c r="B4" s="1" t="s">
        <v>71</v>
      </c>
      <c r="C4" s="2"/>
      <c r="G4" s="3"/>
      <c r="P4" s="1" t="s">
        <v>71</v>
      </c>
      <c r="Q4" s="2"/>
      <c r="U4" s="3"/>
      <c r="AD4" s="1" t="s">
        <v>71</v>
      </c>
      <c r="AE4" s="2"/>
      <c r="AI4" s="3"/>
      <c r="AR4" s="1" t="s">
        <v>71</v>
      </c>
      <c r="AS4" s="2"/>
      <c r="AW4" s="3"/>
      <c r="BF4" s="1" t="s">
        <v>71</v>
      </c>
      <c r="BG4" s="2"/>
      <c r="BK4" s="3"/>
      <c r="BT4" s="1" t="s">
        <v>71</v>
      </c>
      <c r="BU4" s="2"/>
      <c r="BY4" s="3"/>
      <c r="CH4" s="1" t="s">
        <v>71</v>
      </c>
      <c r="CI4" s="2"/>
      <c r="CM4" s="3"/>
    </row>
    <row r="5" spans="2:105" ht="27" customHeight="1" x14ac:dyDescent="0.4">
      <c r="B5" s="1"/>
      <c r="C5" s="2"/>
      <c r="G5" s="3"/>
      <c r="P5" s="1"/>
      <c r="Q5" s="2"/>
      <c r="U5" s="3"/>
      <c r="AD5" s="1"/>
      <c r="AE5" s="2"/>
      <c r="AI5" s="3"/>
      <c r="AR5" s="1"/>
      <c r="AS5" s="2"/>
      <c r="AW5" s="3"/>
      <c r="BF5" s="1"/>
      <c r="BG5" s="2"/>
      <c r="BK5" s="3"/>
      <c r="BT5" s="1"/>
      <c r="BU5" s="2"/>
      <c r="BY5" s="3"/>
      <c r="CH5" s="1"/>
      <c r="CI5" s="2"/>
      <c r="CM5" s="3"/>
    </row>
    <row r="6" spans="2:105" ht="21.75" customHeight="1" x14ac:dyDescent="0.4">
      <c r="B6" s="1" t="s">
        <v>0</v>
      </c>
      <c r="E6" s="4"/>
      <c r="F6" s="4"/>
      <c r="G6" s="3"/>
      <c r="P6" s="1" t="s">
        <v>0</v>
      </c>
      <c r="S6" s="4"/>
      <c r="T6" s="4"/>
      <c r="U6" s="3"/>
      <c r="AD6" s="1" t="s">
        <v>0</v>
      </c>
      <c r="AG6" s="4"/>
      <c r="AH6" s="4"/>
      <c r="AI6" s="3"/>
      <c r="AR6" s="1" t="s">
        <v>0</v>
      </c>
      <c r="AU6" s="4"/>
      <c r="AV6" s="4"/>
      <c r="AW6" s="3"/>
      <c r="BF6" s="1" t="s">
        <v>0</v>
      </c>
      <c r="BI6" s="4"/>
      <c r="BJ6" s="4"/>
      <c r="BK6" s="3"/>
      <c r="BT6" s="1" t="s">
        <v>0</v>
      </c>
      <c r="BW6" s="4"/>
      <c r="BX6" s="4"/>
      <c r="BY6" s="3"/>
      <c r="CH6" s="1" t="s">
        <v>0</v>
      </c>
      <c r="CK6" s="4"/>
      <c r="CL6" s="4"/>
      <c r="CM6" s="3"/>
    </row>
    <row r="7" spans="2:105" ht="29.25" customHeight="1" x14ac:dyDescent="0.4">
      <c r="B7" s="1" t="s">
        <v>70</v>
      </c>
      <c r="G7" s="3"/>
      <c r="P7" s="1" t="s">
        <v>70</v>
      </c>
      <c r="U7" s="3"/>
      <c r="AD7" s="1" t="s">
        <v>70</v>
      </c>
      <c r="AI7" s="3"/>
      <c r="AR7" s="1" t="s">
        <v>70</v>
      </c>
      <c r="AW7" s="3"/>
      <c r="BF7" s="1" t="s">
        <v>70</v>
      </c>
      <c r="BK7" s="3"/>
      <c r="BT7" s="1" t="s">
        <v>70</v>
      </c>
      <c r="BY7" s="3"/>
      <c r="CH7" s="1" t="s">
        <v>70</v>
      </c>
      <c r="CM7" s="3"/>
    </row>
    <row r="8" spans="2:105" ht="30" customHeight="1" x14ac:dyDescent="0.4">
      <c r="B8" s="455"/>
      <c r="C8" s="455"/>
      <c r="D8" s="455"/>
      <c r="E8" s="455"/>
      <c r="F8" s="5"/>
      <c r="G8" s="6"/>
      <c r="H8" s="6"/>
      <c r="I8" s="6"/>
      <c r="J8" s="6"/>
      <c r="K8" s="6"/>
      <c r="L8" s="6"/>
      <c r="M8" s="6"/>
      <c r="N8" s="6"/>
      <c r="O8" s="6" t="s">
        <v>12</v>
      </c>
      <c r="P8" s="455"/>
      <c r="Q8" s="455"/>
      <c r="R8" s="455"/>
      <c r="S8" s="455"/>
      <c r="T8" s="5"/>
      <c r="U8" s="6"/>
      <c r="V8" s="6"/>
      <c r="W8" s="6"/>
      <c r="X8" s="6"/>
      <c r="Y8" s="6"/>
      <c r="Z8" s="6"/>
      <c r="AA8" s="2"/>
      <c r="AB8" s="6"/>
      <c r="AC8" s="6" t="s">
        <v>12</v>
      </c>
      <c r="AD8" s="455"/>
      <c r="AE8" s="455"/>
      <c r="AF8" s="455"/>
      <c r="AG8" s="455"/>
      <c r="AH8" s="5"/>
      <c r="AI8" s="6"/>
      <c r="AJ8" s="2"/>
      <c r="AK8" s="2"/>
      <c r="AL8" s="2"/>
      <c r="AM8" s="6"/>
      <c r="AN8" s="6"/>
      <c r="AO8" s="2"/>
      <c r="AP8" s="6"/>
      <c r="AQ8" s="6" t="s">
        <v>12</v>
      </c>
      <c r="AR8" s="455"/>
      <c r="AS8" s="455"/>
      <c r="AT8" s="455"/>
      <c r="AU8" s="455"/>
      <c r="AV8" s="5"/>
      <c r="AW8" s="6"/>
      <c r="AX8" s="2"/>
      <c r="AY8" s="2"/>
      <c r="AZ8" s="2"/>
      <c r="BA8" s="6"/>
      <c r="BB8" s="6"/>
      <c r="BC8" s="2"/>
      <c r="BD8" s="6"/>
      <c r="BE8" s="6" t="s">
        <v>12</v>
      </c>
      <c r="BF8" s="455"/>
      <c r="BG8" s="455"/>
      <c r="BH8" s="455"/>
      <c r="BI8" s="455"/>
      <c r="BJ8" s="5"/>
      <c r="BK8" s="6"/>
      <c r="BT8" s="455"/>
      <c r="BU8" s="455"/>
      <c r="BV8" s="455"/>
      <c r="BW8" s="455"/>
      <c r="BX8" s="5"/>
      <c r="BY8" s="6"/>
      <c r="CH8" s="455"/>
      <c r="CI8" s="455"/>
      <c r="CJ8" s="455"/>
      <c r="CK8" s="455"/>
      <c r="CL8" s="5"/>
      <c r="CM8" s="6"/>
    </row>
    <row r="9" spans="2:105" ht="30" customHeight="1" x14ac:dyDescent="0.4">
      <c r="B9" s="461" t="s">
        <v>9</v>
      </c>
      <c r="C9" s="648"/>
      <c r="D9" s="648"/>
      <c r="E9" s="648"/>
      <c r="F9" s="648"/>
      <c r="G9" s="648"/>
      <c r="H9" s="457">
        <v>1</v>
      </c>
      <c r="I9" s="460"/>
      <c r="J9" s="457">
        <v>2</v>
      </c>
      <c r="K9" s="460"/>
      <c r="L9" s="457">
        <v>3</v>
      </c>
      <c r="M9" s="460"/>
      <c r="N9" s="457">
        <v>4</v>
      </c>
      <c r="O9" s="460"/>
      <c r="P9" s="461" t="s">
        <v>9</v>
      </c>
      <c r="Q9" s="648"/>
      <c r="R9" s="648"/>
      <c r="S9" s="648"/>
      <c r="T9" s="648"/>
      <c r="U9" s="648"/>
      <c r="V9" s="457">
        <v>5</v>
      </c>
      <c r="W9" s="460"/>
      <c r="X9" s="457">
        <v>6</v>
      </c>
      <c r="Y9" s="460"/>
      <c r="Z9" s="457">
        <v>7</v>
      </c>
      <c r="AA9" s="460"/>
      <c r="AB9" s="457">
        <v>8</v>
      </c>
      <c r="AC9" s="460"/>
      <c r="AD9" s="461" t="s">
        <v>9</v>
      </c>
      <c r="AE9" s="648"/>
      <c r="AF9" s="648"/>
      <c r="AG9" s="648"/>
      <c r="AH9" s="648"/>
      <c r="AI9" s="648"/>
      <c r="AJ9" s="457">
        <v>9</v>
      </c>
      <c r="AK9" s="460"/>
      <c r="AL9" s="457">
        <v>10</v>
      </c>
      <c r="AM9" s="460"/>
      <c r="AN9" s="457">
        <v>11</v>
      </c>
      <c r="AO9" s="460"/>
      <c r="AP9" s="457">
        <v>12</v>
      </c>
      <c r="AQ9" s="460"/>
      <c r="AR9" s="461" t="s">
        <v>9</v>
      </c>
      <c r="AS9" s="648"/>
      <c r="AT9" s="648"/>
      <c r="AU9" s="648"/>
      <c r="AV9" s="648"/>
      <c r="AW9" s="648"/>
      <c r="AX9" s="457">
        <v>13</v>
      </c>
      <c r="AY9" s="460"/>
      <c r="AZ9" s="457">
        <v>14</v>
      </c>
      <c r="BA9" s="460"/>
      <c r="BB9" s="457">
        <v>15</v>
      </c>
      <c r="BC9" s="460"/>
      <c r="BD9" s="457">
        <v>16</v>
      </c>
      <c r="BE9" s="460"/>
      <c r="BF9" s="461" t="s">
        <v>9</v>
      </c>
      <c r="BG9" s="648"/>
      <c r="BH9" s="648"/>
      <c r="BI9" s="648"/>
      <c r="BJ9" s="648"/>
      <c r="BK9" s="648"/>
      <c r="BL9" s="457">
        <v>17</v>
      </c>
      <c r="BM9" s="460"/>
      <c r="BN9" s="457">
        <v>18</v>
      </c>
      <c r="BO9" s="460"/>
      <c r="BP9" s="457">
        <v>19</v>
      </c>
      <c r="BQ9" s="460"/>
      <c r="BR9" s="457">
        <v>20</v>
      </c>
      <c r="BS9" s="460"/>
      <c r="BT9" s="461" t="s">
        <v>9</v>
      </c>
      <c r="BU9" s="648"/>
      <c r="BV9" s="648"/>
      <c r="BW9" s="648"/>
      <c r="BX9" s="648"/>
      <c r="BY9" s="648"/>
      <c r="BZ9" s="457">
        <v>21</v>
      </c>
      <c r="CA9" s="460"/>
      <c r="CB9" s="457">
        <v>22</v>
      </c>
      <c r="CC9" s="460"/>
      <c r="CD9" s="457">
        <v>23</v>
      </c>
      <c r="CE9" s="460"/>
      <c r="CF9" s="457">
        <v>24</v>
      </c>
      <c r="CG9" s="460"/>
      <c r="CH9" s="461" t="s">
        <v>9</v>
      </c>
      <c r="CI9" s="648"/>
      <c r="CJ9" s="648"/>
      <c r="CK9" s="648"/>
      <c r="CL9" s="648"/>
      <c r="CM9" s="648"/>
      <c r="CN9" s="457">
        <v>25</v>
      </c>
      <c r="CO9" s="460"/>
      <c r="CP9" s="457">
        <v>26</v>
      </c>
      <c r="CQ9" s="460"/>
      <c r="CR9" s="457">
        <v>27</v>
      </c>
      <c r="CS9" s="460"/>
      <c r="CT9" s="457">
        <v>28</v>
      </c>
      <c r="CU9" s="460"/>
      <c r="CV9" s="7">
        <v>47</v>
      </c>
      <c r="CW9" s="7">
        <v>48</v>
      </c>
      <c r="CX9" s="7">
        <v>49</v>
      </c>
      <c r="CY9" s="7">
        <v>50</v>
      </c>
    </row>
    <row r="10" spans="2:105" ht="45" customHeight="1" x14ac:dyDescent="0.4">
      <c r="B10" s="646" t="s">
        <v>14</v>
      </c>
      <c r="C10" s="461" t="s">
        <v>13</v>
      </c>
      <c r="D10" s="461"/>
      <c r="E10" s="461"/>
      <c r="F10" s="461"/>
      <c r="G10" s="461"/>
      <c r="H10" s="8" t="s">
        <v>19</v>
      </c>
      <c r="I10" s="8" t="s">
        <v>28</v>
      </c>
      <c r="J10" s="8" t="s">
        <v>30</v>
      </c>
      <c r="K10" s="8" t="s">
        <v>33</v>
      </c>
      <c r="L10" s="8" t="s">
        <v>36</v>
      </c>
      <c r="M10" s="8" t="s">
        <v>38</v>
      </c>
      <c r="N10" s="8" t="s">
        <v>39</v>
      </c>
      <c r="O10" s="8" t="s">
        <v>42</v>
      </c>
      <c r="P10" s="646" t="s">
        <v>14</v>
      </c>
      <c r="Q10" s="461" t="s">
        <v>13</v>
      </c>
      <c r="R10" s="461"/>
      <c r="S10" s="461"/>
      <c r="T10" s="461"/>
      <c r="U10" s="461"/>
      <c r="V10" s="8" t="s">
        <v>44</v>
      </c>
      <c r="W10" s="8" t="s">
        <v>45</v>
      </c>
      <c r="X10" s="8" t="s">
        <v>46</v>
      </c>
      <c r="Y10" s="8" t="s">
        <v>48</v>
      </c>
      <c r="Z10" s="8" t="s">
        <v>50</v>
      </c>
      <c r="AA10" s="8" t="s">
        <v>53</v>
      </c>
      <c r="AB10" s="8" t="s">
        <v>51</v>
      </c>
      <c r="AC10" s="8" t="s">
        <v>54</v>
      </c>
      <c r="AD10" s="646" t="s">
        <v>14</v>
      </c>
      <c r="AE10" s="461" t="s">
        <v>13</v>
      </c>
      <c r="AF10" s="461"/>
      <c r="AG10" s="461"/>
      <c r="AH10" s="461"/>
      <c r="AI10" s="461"/>
      <c r="AJ10" s="8" t="s">
        <v>56</v>
      </c>
      <c r="AK10" s="8" t="s">
        <v>58</v>
      </c>
      <c r="AL10" s="8" t="s">
        <v>74</v>
      </c>
      <c r="AM10" s="8" t="s">
        <v>78</v>
      </c>
      <c r="AN10" s="8" t="s">
        <v>79</v>
      </c>
      <c r="AO10" s="8" t="s">
        <v>82</v>
      </c>
      <c r="AP10" s="8" t="s">
        <v>84</v>
      </c>
      <c r="AQ10" s="9" t="s">
        <v>86</v>
      </c>
      <c r="AR10" s="646" t="s">
        <v>14</v>
      </c>
      <c r="AS10" s="461" t="s">
        <v>13</v>
      </c>
      <c r="AT10" s="461"/>
      <c r="AU10" s="461"/>
      <c r="AV10" s="461"/>
      <c r="AW10" s="461"/>
      <c r="AX10" s="8" t="s">
        <v>87</v>
      </c>
      <c r="AY10" s="8" t="s">
        <v>90</v>
      </c>
      <c r="AZ10" s="8" t="s">
        <v>91</v>
      </c>
      <c r="BA10" s="8" t="s">
        <v>95</v>
      </c>
      <c r="BB10" s="8" t="s">
        <v>96</v>
      </c>
      <c r="BC10" s="8" t="s">
        <v>99</v>
      </c>
      <c r="BD10" s="8" t="s">
        <v>101</v>
      </c>
      <c r="BE10" s="8" t="s">
        <v>103</v>
      </c>
      <c r="BF10" s="646" t="s">
        <v>14</v>
      </c>
      <c r="BG10" s="461" t="s">
        <v>13</v>
      </c>
      <c r="BH10" s="461"/>
      <c r="BI10" s="461"/>
      <c r="BJ10" s="461"/>
      <c r="BK10" s="461"/>
      <c r="BL10" s="8" t="s">
        <v>104</v>
      </c>
      <c r="BM10" s="8" t="s">
        <v>107</v>
      </c>
      <c r="BN10" s="8" t="s">
        <v>109</v>
      </c>
      <c r="BO10" s="8" t="s">
        <v>111</v>
      </c>
      <c r="BP10" s="8" t="s">
        <v>112</v>
      </c>
      <c r="BQ10" s="8" t="s">
        <v>115</v>
      </c>
      <c r="BR10" s="8" t="s">
        <v>116</v>
      </c>
      <c r="BS10" s="8" t="s">
        <v>119</v>
      </c>
      <c r="BT10" s="646" t="s">
        <v>14</v>
      </c>
      <c r="BU10" s="461" t="s">
        <v>13</v>
      </c>
      <c r="BV10" s="461"/>
      <c r="BW10" s="461"/>
      <c r="BX10" s="461"/>
      <c r="BY10" s="461"/>
      <c r="BZ10" s="8" t="s">
        <v>120</v>
      </c>
      <c r="CA10" s="8" t="s">
        <v>122</v>
      </c>
      <c r="CB10" s="8" t="s">
        <v>123</v>
      </c>
      <c r="CC10" s="8" t="s">
        <v>126</v>
      </c>
      <c r="CD10" s="8" t="s">
        <v>127</v>
      </c>
      <c r="CE10" s="8" t="s">
        <v>130</v>
      </c>
      <c r="CF10" s="8" t="s">
        <v>131</v>
      </c>
      <c r="CG10" s="8" t="s">
        <v>134</v>
      </c>
      <c r="CH10" s="646" t="s">
        <v>14</v>
      </c>
      <c r="CI10" s="461" t="s">
        <v>13</v>
      </c>
      <c r="CJ10" s="461"/>
      <c r="CK10" s="461"/>
      <c r="CL10" s="461"/>
      <c r="CM10" s="461"/>
      <c r="CN10" s="8" t="s">
        <v>137</v>
      </c>
      <c r="CO10" s="8" t="s">
        <v>140</v>
      </c>
      <c r="CP10" s="8" t="s">
        <v>142</v>
      </c>
      <c r="CQ10" s="8" t="s">
        <v>145</v>
      </c>
      <c r="CR10" s="10"/>
      <c r="CS10" s="10"/>
      <c r="CT10" s="10"/>
      <c r="CU10" s="10"/>
      <c r="CV10" s="10"/>
      <c r="CW10" s="10"/>
      <c r="CX10" s="10"/>
      <c r="CY10" s="10"/>
    </row>
    <row r="11" spans="2:105" ht="45" customHeight="1" x14ac:dyDescent="0.4">
      <c r="B11" s="647"/>
      <c r="C11" s="461"/>
      <c r="D11" s="461"/>
      <c r="E11" s="461"/>
      <c r="F11" s="461"/>
      <c r="G11" s="461"/>
      <c r="H11" s="11" t="s">
        <v>10</v>
      </c>
      <c r="I11" s="11" t="s">
        <v>59</v>
      </c>
      <c r="J11" s="11" t="s">
        <v>10</v>
      </c>
      <c r="K11" s="11" t="s">
        <v>59</v>
      </c>
      <c r="L11" s="11" t="s">
        <v>10</v>
      </c>
      <c r="M11" s="11" t="s">
        <v>59</v>
      </c>
      <c r="N11" s="11" t="s">
        <v>10</v>
      </c>
      <c r="O11" s="11" t="s">
        <v>59</v>
      </c>
      <c r="P11" s="647"/>
      <c r="Q11" s="461"/>
      <c r="R11" s="461"/>
      <c r="S11" s="461"/>
      <c r="T11" s="461"/>
      <c r="U11" s="461"/>
      <c r="V11" s="11" t="s">
        <v>10</v>
      </c>
      <c r="W11" s="11" t="s">
        <v>59</v>
      </c>
      <c r="X11" s="11" t="s">
        <v>10</v>
      </c>
      <c r="Y11" s="11" t="s">
        <v>59</v>
      </c>
      <c r="Z11" s="11" t="s">
        <v>10</v>
      </c>
      <c r="AA11" s="11" t="s">
        <v>59</v>
      </c>
      <c r="AB11" s="11" t="s">
        <v>10</v>
      </c>
      <c r="AC11" s="11" t="s">
        <v>59</v>
      </c>
      <c r="AD11" s="647"/>
      <c r="AE11" s="461"/>
      <c r="AF11" s="461"/>
      <c r="AG11" s="461"/>
      <c r="AH11" s="461"/>
      <c r="AI11" s="461"/>
      <c r="AJ11" s="11" t="s">
        <v>10</v>
      </c>
      <c r="AK11" s="11" t="s">
        <v>59</v>
      </c>
      <c r="AL11" s="11" t="s">
        <v>10</v>
      </c>
      <c r="AM11" s="11" t="s">
        <v>59</v>
      </c>
      <c r="AN11" s="11" t="s">
        <v>10</v>
      </c>
      <c r="AO11" s="11" t="s">
        <v>59</v>
      </c>
      <c r="AP11" s="11" t="s">
        <v>10</v>
      </c>
      <c r="AQ11" s="11" t="s">
        <v>59</v>
      </c>
      <c r="AR11" s="647"/>
      <c r="AS11" s="461"/>
      <c r="AT11" s="461"/>
      <c r="AU11" s="461"/>
      <c r="AV11" s="461"/>
      <c r="AW11" s="461"/>
      <c r="AX11" s="11" t="s">
        <v>10</v>
      </c>
      <c r="AY11" s="11" t="s">
        <v>59</v>
      </c>
      <c r="AZ11" s="11" t="s">
        <v>10</v>
      </c>
      <c r="BA11" s="11" t="s">
        <v>59</v>
      </c>
      <c r="BB11" s="11" t="s">
        <v>10</v>
      </c>
      <c r="BC11" s="11" t="s">
        <v>59</v>
      </c>
      <c r="BD11" s="11" t="s">
        <v>10</v>
      </c>
      <c r="BE11" s="11" t="s">
        <v>59</v>
      </c>
      <c r="BF11" s="647"/>
      <c r="BG11" s="461"/>
      <c r="BH11" s="461"/>
      <c r="BI11" s="461"/>
      <c r="BJ11" s="461"/>
      <c r="BK11" s="461"/>
      <c r="BL11" s="11" t="s">
        <v>10</v>
      </c>
      <c r="BM11" s="11" t="s">
        <v>59</v>
      </c>
      <c r="BN11" s="11" t="s">
        <v>10</v>
      </c>
      <c r="BO11" s="11" t="s">
        <v>59</v>
      </c>
      <c r="BP11" s="11" t="s">
        <v>10</v>
      </c>
      <c r="BQ11" s="11" t="s">
        <v>59</v>
      </c>
      <c r="BR11" s="11" t="s">
        <v>10</v>
      </c>
      <c r="BS11" s="11" t="s">
        <v>59</v>
      </c>
      <c r="BT11" s="647"/>
      <c r="BU11" s="461"/>
      <c r="BV11" s="461"/>
      <c r="BW11" s="461"/>
      <c r="BX11" s="461"/>
      <c r="BY11" s="461"/>
      <c r="BZ11" s="11" t="s">
        <v>10</v>
      </c>
      <c r="CA11" s="11" t="s">
        <v>59</v>
      </c>
      <c r="CB11" s="11" t="s">
        <v>10</v>
      </c>
      <c r="CC11" s="11" t="s">
        <v>59</v>
      </c>
      <c r="CD11" s="11" t="s">
        <v>10</v>
      </c>
      <c r="CE11" s="11" t="s">
        <v>59</v>
      </c>
      <c r="CF11" s="11" t="s">
        <v>10</v>
      </c>
      <c r="CG11" s="11" t="s">
        <v>59</v>
      </c>
      <c r="CH11" s="647"/>
      <c r="CI11" s="461"/>
      <c r="CJ11" s="461"/>
      <c r="CK11" s="461"/>
      <c r="CL11" s="461"/>
      <c r="CM11" s="461"/>
      <c r="CN11" s="11" t="s">
        <v>10</v>
      </c>
      <c r="CO11" s="11" t="s">
        <v>59</v>
      </c>
      <c r="CP11" s="11" t="s">
        <v>10</v>
      </c>
      <c r="CQ11" s="11" t="s">
        <v>59</v>
      </c>
      <c r="CR11" s="12"/>
      <c r="CS11" s="12"/>
      <c r="CT11" s="12"/>
      <c r="CU11" s="12"/>
      <c r="CV11" s="12"/>
      <c r="CW11" s="12"/>
      <c r="CX11" s="12"/>
      <c r="CY11" s="12"/>
    </row>
    <row r="12" spans="2:105" ht="45" customHeight="1" x14ac:dyDescent="0.4">
      <c r="B12" s="647"/>
      <c r="C12" s="507" t="s">
        <v>3</v>
      </c>
      <c r="D12" s="485"/>
      <c r="E12" s="485"/>
      <c r="F12" s="485"/>
      <c r="G12" s="486"/>
      <c r="H12" s="614" t="s">
        <v>20</v>
      </c>
      <c r="I12" s="616"/>
      <c r="J12" s="614" t="s">
        <v>31</v>
      </c>
      <c r="K12" s="616"/>
      <c r="L12" s="614" t="s">
        <v>37</v>
      </c>
      <c r="M12" s="616"/>
      <c r="N12" s="614" t="s">
        <v>40</v>
      </c>
      <c r="O12" s="616"/>
      <c r="P12" s="647"/>
      <c r="Q12" s="507" t="s">
        <v>3</v>
      </c>
      <c r="R12" s="485"/>
      <c r="S12" s="485"/>
      <c r="T12" s="485"/>
      <c r="U12" s="486"/>
      <c r="V12" s="614" t="s">
        <v>43</v>
      </c>
      <c r="W12" s="616"/>
      <c r="X12" s="614" t="s">
        <v>47</v>
      </c>
      <c r="Y12" s="616"/>
      <c r="Z12" s="614" t="s">
        <v>49</v>
      </c>
      <c r="AA12" s="616"/>
      <c r="AB12" s="614" t="s">
        <v>52</v>
      </c>
      <c r="AC12" s="616"/>
      <c r="AD12" s="647"/>
      <c r="AE12" s="507" t="s">
        <v>3</v>
      </c>
      <c r="AF12" s="485"/>
      <c r="AG12" s="485"/>
      <c r="AH12" s="485"/>
      <c r="AI12" s="486"/>
      <c r="AJ12" s="665" t="s">
        <v>57</v>
      </c>
      <c r="AK12" s="666"/>
      <c r="AL12" s="665" t="s">
        <v>75</v>
      </c>
      <c r="AM12" s="666"/>
      <c r="AN12" s="665" t="s">
        <v>80</v>
      </c>
      <c r="AO12" s="666"/>
      <c r="AP12" s="665" t="s">
        <v>83</v>
      </c>
      <c r="AQ12" s="666"/>
      <c r="AR12" s="647"/>
      <c r="AS12" s="507" t="s">
        <v>3</v>
      </c>
      <c r="AT12" s="485"/>
      <c r="AU12" s="485"/>
      <c r="AV12" s="485"/>
      <c r="AW12" s="486"/>
      <c r="AX12" s="665" t="s">
        <v>88</v>
      </c>
      <c r="AY12" s="666"/>
      <c r="AZ12" s="665" t="s">
        <v>92</v>
      </c>
      <c r="BA12" s="666"/>
      <c r="BB12" s="665" t="s">
        <v>97</v>
      </c>
      <c r="BC12" s="666"/>
      <c r="BD12" s="665" t="s">
        <v>102</v>
      </c>
      <c r="BE12" s="666"/>
      <c r="BF12" s="647"/>
      <c r="BG12" s="507" t="s">
        <v>3</v>
      </c>
      <c r="BH12" s="485"/>
      <c r="BI12" s="485"/>
      <c r="BJ12" s="485"/>
      <c r="BK12" s="486"/>
      <c r="BL12" s="665" t="s">
        <v>105</v>
      </c>
      <c r="BM12" s="666"/>
      <c r="BN12" s="665" t="s">
        <v>110</v>
      </c>
      <c r="BO12" s="666"/>
      <c r="BP12" s="665" t="s">
        <v>113</v>
      </c>
      <c r="BQ12" s="666"/>
      <c r="BR12" s="667" t="s">
        <v>117</v>
      </c>
      <c r="BS12" s="668"/>
      <c r="BT12" s="647"/>
      <c r="BU12" s="507" t="s">
        <v>3</v>
      </c>
      <c r="BV12" s="485"/>
      <c r="BW12" s="485"/>
      <c r="BX12" s="485"/>
      <c r="BY12" s="486"/>
      <c r="BZ12" s="665" t="s">
        <v>121</v>
      </c>
      <c r="CA12" s="666"/>
      <c r="CB12" s="665" t="s">
        <v>124</v>
      </c>
      <c r="CC12" s="666"/>
      <c r="CD12" s="665" t="s">
        <v>128</v>
      </c>
      <c r="CE12" s="666"/>
      <c r="CF12" s="665" t="s">
        <v>132</v>
      </c>
      <c r="CG12" s="666"/>
      <c r="CH12" s="647"/>
      <c r="CI12" s="507" t="s">
        <v>3</v>
      </c>
      <c r="CJ12" s="485"/>
      <c r="CK12" s="485"/>
      <c r="CL12" s="485"/>
      <c r="CM12" s="486"/>
      <c r="CN12" s="665" t="s">
        <v>138</v>
      </c>
      <c r="CO12" s="666"/>
      <c r="CP12" s="665" t="s">
        <v>143</v>
      </c>
      <c r="CQ12" s="666"/>
      <c r="CR12" s="13"/>
      <c r="CS12" s="13"/>
      <c r="CT12" s="13"/>
      <c r="CU12" s="13"/>
      <c r="CV12" s="13"/>
      <c r="CW12" s="13"/>
      <c r="CX12" s="13"/>
      <c r="CY12" s="13"/>
    </row>
    <row r="13" spans="2:105" ht="45" customHeight="1" x14ac:dyDescent="0.4">
      <c r="B13" s="647"/>
      <c r="C13" s="511"/>
      <c r="D13" s="487"/>
      <c r="E13" s="487"/>
      <c r="F13" s="487"/>
      <c r="G13" s="488"/>
      <c r="H13" s="528" t="s">
        <v>21</v>
      </c>
      <c r="I13" s="467"/>
      <c r="J13" s="528" t="s">
        <v>21</v>
      </c>
      <c r="K13" s="467"/>
      <c r="L13" s="528" t="s">
        <v>21</v>
      </c>
      <c r="M13" s="467"/>
      <c r="N13" s="528" t="s">
        <v>21</v>
      </c>
      <c r="O13" s="467"/>
      <c r="P13" s="647"/>
      <c r="Q13" s="511"/>
      <c r="R13" s="487"/>
      <c r="S13" s="487"/>
      <c r="T13" s="487"/>
      <c r="U13" s="488"/>
      <c r="V13" s="528" t="s">
        <v>21</v>
      </c>
      <c r="W13" s="467"/>
      <c r="X13" s="528" t="s">
        <v>21</v>
      </c>
      <c r="Y13" s="467"/>
      <c r="Z13" s="528" t="s">
        <v>21</v>
      </c>
      <c r="AA13" s="467"/>
      <c r="AB13" s="528" t="s">
        <v>21</v>
      </c>
      <c r="AC13" s="467"/>
      <c r="AD13" s="647"/>
      <c r="AE13" s="511"/>
      <c r="AF13" s="487"/>
      <c r="AG13" s="487"/>
      <c r="AH13" s="487"/>
      <c r="AI13" s="488"/>
      <c r="AJ13" s="663" t="s">
        <v>55</v>
      </c>
      <c r="AK13" s="664"/>
      <c r="AL13" s="663" t="s">
        <v>55</v>
      </c>
      <c r="AM13" s="664"/>
      <c r="AN13" s="663" t="s">
        <v>55</v>
      </c>
      <c r="AO13" s="664"/>
      <c r="AP13" s="663" t="s">
        <v>55</v>
      </c>
      <c r="AQ13" s="664"/>
      <c r="AR13" s="647"/>
      <c r="AS13" s="511"/>
      <c r="AT13" s="487"/>
      <c r="AU13" s="487"/>
      <c r="AV13" s="487"/>
      <c r="AW13" s="488"/>
      <c r="AX13" s="663" t="s">
        <v>55</v>
      </c>
      <c r="AY13" s="664"/>
      <c r="AZ13" s="661" t="s">
        <v>93</v>
      </c>
      <c r="BA13" s="662"/>
      <c r="BB13" s="661" t="s">
        <v>93</v>
      </c>
      <c r="BC13" s="662"/>
      <c r="BD13" s="661" t="s">
        <v>93</v>
      </c>
      <c r="BE13" s="662"/>
      <c r="BF13" s="647"/>
      <c r="BG13" s="511"/>
      <c r="BH13" s="487"/>
      <c r="BI13" s="487"/>
      <c r="BJ13" s="487"/>
      <c r="BK13" s="488"/>
      <c r="BL13" s="661" t="s">
        <v>93</v>
      </c>
      <c r="BM13" s="662"/>
      <c r="BN13" s="661" t="s">
        <v>93</v>
      </c>
      <c r="BO13" s="662"/>
      <c r="BP13" s="661" t="s">
        <v>55</v>
      </c>
      <c r="BQ13" s="662"/>
      <c r="BR13" s="661" t="s">
        <v>55</v>
      </c>
      <c r="BS13" s="662"/>
      <c r="BT13" s="647"/>
      <c r="BU13" s="511"/>
      <c r="BV13" s="487"/>
      <c r="BW13" s="487"/>
      <c r="BX13" s="487"/>
      <c r="BY13" s="488"/>
      <c r="BZ13" s="661" t="s">
        <v>93</v>
      </c>
      <c r="CA13" s="662"/>
      <c r="CB13" s="661" t="s">
        <v>55</v>
      </c>
      <c r="CC13" s="662"/>
      <c r="CD13" s="661" t="s">
        <v>55</v>
      </c>
      <c r="CE13" s="662"/>
      <c r="CF13" s="661" t="s">
        <v>55</v>
      </c>
      <c r="CG13" s="662"/>
      <c r="CH13" s="647"/>
      <c r="CI13" s="511"/>
      <c r="CJ13" s="487"/>
      <c r="CK13" s="487"/>
      <c r="CL13" s="487"/>
      <c r="CM13" s="488"/>
      <c r="CN13" s="661" t="s">
        <v>55</v>
      </c>
      <c r="CO13" s="662"/>
      <c r="CP13" s="661" t="s">
        <v>55</v>
      </c>
      <c r="CQ13" s="662"/>
      <c r="CR13" s="14"/>
      <c r="CS13" s="14"/>
      <c r="CT13" s="14"/>
      <c r="CU13" s="14"/>
      <c r="CV13" s="14"/>
      <c r="CW13" s="14"/>
      <c r="CX13" s="14"/>
      <c r="CY13" s="14"/>
      <c r="CZ13" s="15"/>
      <c r="DA13" s="15"/>
    </row>
    <row r="14" spans="2:105" ht="45" customHeight="1" x14ac:dyDescent="0.4">
      <c r="B14" s="647"/>
      <c r="C14" s="508" t="s">
        <v>1</v>
      </c>
      <c r="D14" s="617"/>
      <c r="E14" s="617"/>
      <c r="F14" s="617"/>
      <c r="G14" s="510"/>
      <c r="H14" s="584">
        <v>0.5</v>
      </c>
      <c r="I14" s="586"/>
      <c r="J14" s="584">
        <v>0.45833333333333331</v>
      </c>
      <c r="K14" s="586"/>
      <c r="L14" s="584">
        <v>0.5</v>
      </c>
      <c r="M14" s="586"/>
      <c r="N14" s="584">
        <v>0.5</v>
      </c>
      <c r="O14" s="586"/>
      <c r="P14" s="647"/>
      <c r="Q14" s="508" t="s">
        <v>1</v>
      </c>
      <c r="R14" s="617"/>
      <c r="S14" s="617"/>
      <c r="T14" s="617"/>
      <c r="U14" s="510"/>
      <c r="V14" s="584">
        <v>0.5</v>
      </c>
      <c r="W14" s="586"/>
      <c r="X14" s="584">
        <v>0.5</v>
      </c>
      <c r="Y14" s="586"/>
      <c r="Z14" s="584">
        <v>0.5</v>
      </c>
      <c r="AA14" s="586"/>
      <c r="AB14" s="584">
        <v>0.47916666666666669</v>
      </c>
      <c r="AC14" s="586"/>
      <c r="AD14" s="647"/>
      <c r="AE14" s="508" t="s">
        <v>1</v>
      </c>
      <c r="AF14" s="617"/>
      <c r="AG14" s="617"/>
      <c r="AH14" s="617"/>
      <c r="AI14" s="510"/>
      <c r="AJ14" s="584">
        <v>0.5</v>
      </c>
      <c r="AK14" s="586"/>
      <c r="AL14" s="504">
        <v>0.52083333333333337</v>
      </c>
      <c r="AM14" s="506"/>
      <c r="AN14" s="504">
        <v>0.5</v>
      </c>
      <c r="AO14" s="506"/>
      <c r="AP14" s="504">
        <v>0.5</v>
      </c>
      <c r="AQ14" s="506"/>
      <c r="AR14" s="647"/>
      <c r="AS14" s="508" t="s">
        <v>1</v>
      </c>
      <c r="AT14" s="617"/>
      <c r="AU14" s="617"/>
      <c r="AV14" s="617"/>
      <c r="AW14" s="510"/>
      <c r="AX14" s="584">
        <v>0.52083333333333337</v>
      </c>
      <c r="AY14" s="586"/>
      <c r="AZ14" s="504">
        <v>0.52083333333333337</v>
      </c>
      <c r="BA14" s="506"/>
      <c r="BB14" s="504">
        <v>0.52083333333333337</v>
      </c>
      <c r="BC14" s="506"/>
      <c r="BD14" s="504">
        <v>0.5</v>
      </c>
      <c r="BE14" s="506"/>
      <c r="BF14" s="647"/>
      <c r="BG14" s="508" t="s">
        <v>1</v>
      </c>
      <c r="BH14" s="617"/>
      <c r="BI14" s="617"/>
      <c r="BJ14" s="617"/>
      <c r="BK14" s="510"/>
      <c r="BL14" s="504">
        <v>0.5</v>
      </c>
      <c r="BM14" s="506"/>
      <c r="BN14" s="504">
        <v>0.52083333333333337</v>
      </c>
      <c r="BO14" s="506"/>
      <c r="BP14" s="504">
        <v>0.54166666666666663</v>
      </c>
      <c r="BQ14" s="506"/>
      <c r="BR14" s="504">
        <v>0.5</v>
      </c>
      <c r="BS14" s="506"/>
      <c r="BT14" s="647"/>
      <c r="BU14" s="508" t="s">
        <v>1</v>
      </c>
      <c r="BV14" s="617"/>
      <c r="BW14" s="617"/>
      <c r="BX14" s="617"/>
      <c r="BY14" s="510"/>
      <c r="BZ14" s="504">
        <v>0.52083333333333337</v>
      </c>
      <c r="CA14" s="506"/>
      <c r="CB14" s="504">
        <v>0.5</v>
      </c>
      <c r="CC14" s="506"/>
      <c r="CD14" s="504">
        <v>0.5</v>
      </c>
      <c r="CE14" s="506"/>
      <c r="CF14" s="504">
        <v>0.5</v>
      </c>
      <c r="CG14" s="506"/>
      <c r="CH14" s="647"/>
      <c r="CI14" s="508" t="s">
        <v>1</v>
      </c>
      <c r="CJ14" s="617"/>
      <c r="CK14" s="617"/>
      <c r="CL14" s="617"/>
      <c r="CM14" s="510"/>
      <c r="CN14" s="504">
        <v>0.54166666666666663</v>
      </c>
      <c r="CO14" s="506"/>
      <c r="CP14" s="504">
        <v>0.52083333333333337</v>
      </c>
      <c r="CQ14" s="506"/>
      <c r="CR14" s="12"/>
      <c r="CS14" s="12"/>
      <c r="CT14" s="12"/>
      <c r="CU14" s="12"/>
      <c r="CV14" s="12"/>
      <c r="CW14" s="12"/>
      <c r="CX14" s="12"/>
      <c r="CY14" s="12"/>
    </row>
    <row r="15" spans="2:105" ht="30" customHeight="1" x14ac:dyDescent="0.4">
      <c r="B15" s="647"/>
      <c r="C15" s="508"/>
      <c r="D15" s="617"/>
      <c r="E15" s="617"/>
      <c r="F15" s="617"/>
      <c r="G15" s="510"/>
      <c r="H15" s="659" t="s">
        <v>2</v>
      </c>
      <c r="I15" s="660"/>
      <c r="J15" s="659" t="s">
        <v>2</v>
      </c>
      <c r="K15" s="660"/>
      <c r="L15" s="659" t="s">
        <v>2</v>
      </c>
      <c r="M15" s="660"/>
      <c r="N15" s="659" t="s">
        <v>2</v>
      </c>
      <c r="O15" s="660"/>
      <c r="P15" s="647"/>
      <c r="Q15" s="508"/>
      <c r="R15" s="617"/>
      <c r="S15" s="617"/>
      <c r="T15" s="617"/>
      <c r="U15" s="510"/>
      <c r="V15" s="659" t="s">
        <v>2</v>
      </c>
      <c r="W15" s="660"/>
      <c r="X15" s="659" t="s">
        <v>2</v>
      </c>
      <c r="Y15" s="660"/>
      <c r="Z15" s="659" t="s">
        <v>2</v>
      </c>
      <c r="AA15" s="660"/>
      <c r="AB15" s="659" t="s">
        <v>2</v>
      </c>
      <c r="AC15" s="660"/>
      <c r="AD15" s="647"/>
      <c r="AE15" s="508"/>
      <c r="AF15" s="617"/>
      <c r="AG15" s="617"/>
      <c r="AH15" s="617"/>
      <c r="AI15" s="510"/>
      <c r="AJ15" s="659" t="s">
        <v>2</v>
      </c>
      <c r="AK15" s="660"/>
      <c r="AL15" s="659" t="s">
        <v>2</v>
      </c>
      <c r="AM15" s="660"/>
      <c r="AN15" s="659" t="s">
        <v>2</v>
      </c>
      <c r="AO15" s="660"/>
      <c r="AP15" s="659" t="s">
        <v>2</v>
      </c>
      <c r="AQ15" s="660"/>
      <c r="AR15" s="647"/>
      <c r="AS15" s="508"/>
      <c r="AT15" s="617"/>
      <c r="AU15" s="617"/>
      <c r="AV15" s="617"/>
      <c r="AW15" s="510"/>
      <c r="AX15" s="659" t="s">
        <v>2</v>
      </c>
      <c r="AY15" s="660"/>
      <c r="AZ15" s="513" t="s">
        <v>2</v>
      </c>
      <c r="BA15" s="515"/>
      <c r="BB15" s="513" t="s">
        <v>2</v>
      </c>
      <c r="BC15" s="515"/>
      <c r="BD15" s="513" t="s">
        <v>2</v>
      </c>
      <c r="BE15" s="515"/>
      <c r="BF15" s="647"/>
      <c r="BG15" s="508"/>
      <c r="BH15" s="617"/>
      <c r="BI15" s="617"/>
      <c r="BJ15" s="617"/>
      <c r="BK15" s="510"/>
      <c r="BL15" s="513" t="s">
        <v>2</v>
      </c>
      <c r="BM15" s="515"/>
      <c r="BN15" s="513" t="s">
        <v>2</v>
      </c>
      <c r="BO15" s="515"/>
      <c r="BP15" s="513" t="s">
        <v>2</v>
      </c>
      <c r="BQ15" s="515"/>
      <c r="BR15" s="513" t="s">
        <v>2</v>
      </c>
      <c r="BS15" s="515"/>
      <c r="BT15" s="647"/>
      <c r="BU15" s="508"/>
      <c r="BV15" s="617"/>
      <c r="BW15" s="617"/>
      <c r="BX15" s="617"/>
      <c r="BY15" s="510"/>
      <c r="BZ15" s="513" t="s">
        <v>2</v>
      </c>
      <c r="CA15" s="515"/>
      <c r="CB15" s="513" t="s">
        <v>2</v>
      </c>
      <c r="CC15" s="515"/>
      <c r="CD15" s="513" t="s">
        <v>2</v>
      </c>
      <c r="CE15" s="515"/>
      <c r="CF15" s="513" t="s">
        <v>2</v>
      </c>
      <c r="CG15" s="515"/>
      <c r="CH15" s="647"/>
      <c r="CI15" s="508"/>
      <c r="CJ15" s="617"/>
      <c r="CK15" s="617"/>
      <c r="CL15" s="617"/>
      <c r="CM15" s="510"/>
      <c r="CN15" s="513" t="s">
        <v>2</v>
      </c>
      <c r="CO15" s="515"/>
      <c r="CP15" s="513" t="s">
        <v>2</v>
      </c>
      <c r="CQ15" s="515"/>
      <c r="CR15" s="12"/>
      <c r="CS15" s="12"/>
      <c r="CT15" s="12"/>
      <c r="CU15" s="12"/>
      <c r="CV15" s="12"/>
      <c r="CW15" s="12"/>
      <c r="CX15" s="12"/>
      <c r="CY15" s="12"/>
    </row>
    <row r="16" spans="2:105" ht="45" customHeight="1" x14ac:dyDescent="0.4">
      <c r="B16" s="647"/>
      <c r="C16" s="511"/>
      <c r="D16" s="487"/>
      <c r="E16" s="487"/>
      <c r="F16" s="487"/>
      <c r="G16" s="488"/>
      <c r="H16" s="496">
        <v>0.52083333333333337</v>
      </c>
      <c r="I16" s="498"/>
      <c r="J16" s="496">
        <v>0.47916666666666669</v>
      </c>
      <c r="K16" s="498"/>
      <c r="L16" s="496">
        <v>0.52083333333333337</v>
      </c>
      <c r="M16" s="498"/>
      <c r="N16" s="496">
        <v>0.52083333333333337</v>
      </c>
      <c r="O16" s="498"/>
      <c r="P16" s="647"/>
      <c r="Q16" s="511"/>
      <c r="R16" s="487"/>
      <c r="S16" s="487"/>
      <c r="T16" s="487"/>
      <c r="U16" s="488"/>
      <c r="V16" s="496">
        <v>0.52083333333333337</v>
      </c>
      <c r="W16" s="498"/>
      <c r="X16" s="496">
        <v>0.52083333333333337</v>
      </c>
      <c r="Y16" s="498"/>
      <c r="Z16" s="496">
        <v>0.52083333333333337</v>
      </c>
      <c r="AA16" s="498"/>
      <c r="AB16" s="496">
        <v>0.5</v>
      </c>
      <c r="AC16" s="498"/>
      <c r="AD16" s="647"/>
      <c r="AE16" s="511"/>
      <c r="AF16" s="487"/>
      <c r="AG16" s="487"/>
      <c r="AH16" s="487"/>
      <c r="AI16" s="488"/>
      <c r="AJ16" s="496">
        <v>0.52083333333333337</v>
      </c>
      <c r="AK16" s="498"/>
      <c r="AL16" s="657">
        <v>0.54166666666666663</v>
      </c>
      <c r="AM16" s="658"/>
      <c r="AN16" s="657">
        <v>0.52083333333333337</v>
      </c>
      <c r="AO16" s="658"/>
      <c r="AP16" s="657">
        <v>0.52083333333333337</v>
      </c>
      <c r="AQ16" s="658"/>
      <c r="AR16" s="647"/>
      <c r="AS16" s="511"/>
      <c r="AT16" s="487"/>
      <c r="AU16" s="487"/>
      <c r="AV16" s="487"/>
      <c r="AW16" s="488"/>
      <c r="AX16" s="496">
        <v>0.54166666666666663</v>
      </c>
      <c r="AY16" s="498"/>
      <c r="AZ16" s="657">
        <v>0.54166666666666663</v>
      </c>
      <c r="BA16" s="658"/>
      <c r="BB16" s="657">
        <v>0.54166666666666663</v>
      </c>
      <c r="BC16" s="658"/>
      <c r="BD16" s="657">
        <v>0.52083333333333337</v>
      </c>
      <c r="BE16" s="658"/>
      <c r="BF16" s="647"/>
      <c r="BG16" s="511"/>
      <c r="BH16" s="487"/>
      <c r="BI16" s="487"/>
      <c r="BJ16" s="487"/>
      <c r="BK16" s="488"/>
      <c r="BL16" s="657">
        <v>0.52083333333333337</v>
      </c>
      <c r="BM16" s="658"/>
      <c r="BN16" s="657">
        <v>0.54166666666666663</v>
      </c>
      <c r="BO16" s="658"/>
      <c r="BP16" s="657">
        <v>0.5625</v>
      </c>
      <c r="BQ16" s="658"/>
      <c r="BR16" s="657">
        <v>0.52083333333333337</v>
      </c>
      <c r="BS16" s="658"/>
      <c r="BT16" s="647"/>
      <c r="BU16" s="511"/>
      <c r="BV16" s="487"/>
      <c r="BW16" s="487"/>
      <c r="BX16" s="487"/>
      <c r="BY16" s="488"/>
      <c r="BZ16" s="657">
        <v>0.54166666666666663</v>
      </c>
      <c r="CA16" s="658"/>
      <c r="CB16" s="657">
        <v>0.52083333333333337</v>
      </c>
      <c r="CC16" s="658"/>
      <c r="CD16" s="657">
        <v>0.52083333333333337</v>
      </c>
      <c r="CE16" s="658"/>
      <c r="CF16" s="657">
        <v>0.52083333333333337</v>
      </c>
      <c r="CG16" s="658"/>
      <c r="CH16" s="647"/>
      <c r="CI16" s="511"/>
      <c r="CJ16" s="487"/>
      <c r="CK16" s="487"/>
      <c r="CL16" s="487"/>
      <c r="CM16" s="488"/>
      <c r="CN16" s="657">
        <v>0.5625</v>
      </c>
      <c r="CO16" s="658"/>
      <c r="CP16" s="657">
        <v>0.54166666666666663</v>
      </c>
      <c r="CQ16" s="658"/>
      <c r="CR16" s="16"/>
      <c r="CS16" s="16"/>
      <c r="CT16" s="16"/>
      <c r="CU16" s="16"/>
      <c r="CV16" s="16"/>
      <c r="CW16" s="16"/>
      <c r="CX16" s="16"/>
      <c r="CY16" s="16"/>
    </row>
    <row r="17" spans="2:103" ht="45" customHeight="1" x14ac:dyDescent="0.4">
      <c r="B17" s="647"/>
      <c r="C17" s="549" t="s">
        <v>11</v>
      </c>
      <c r="D17" s="549"/>
      <c r="E17" s="549"/>
      <c r="F17" s="549"/>
      <c r="G17" s="549"/>
      <c r="H17" s="17">
        <v>43</v>
      </c>
      <c r="I17" s="17">
        <v>43</v>
      </c>
      <c r="J17" s="17">
        <v>62</v>
      </c>
      <c r="K17" s="17">
        <v>71</v>
      </c>
      <c r="L17" s="17">
        <v>70</v>
      </c>
      <c r="M17" s="17">
        <v>70</v>
      </c>
      <c r="N17" s="17">
        <v>118</v>
      </c>
      <c r="O17" s="17">
        <v>118</v>
      </c>
      <c r="P17" s="647"/>
      <c r="Q17" s="549" t="s">
        <v>11</v>
      </c>
      <c r="R17" s="549"/>
      <c r="S17" s="549"/>
      <c r="T17" s="549"/>
      <c r="U17" s="549"/>
      <c r="V17" s="17">
        <v>55</v>
      </c>
      <c r="W17" s="17">
        <v>55</v>
      </c>
      <c r="X17" s="17">
        <v>121</v>
      </c>
      <c r="Y17" s="17">
        <v>121</v>
      </c>
      <c r="Z17" s="17">
        <v>63</v>
      </c>
      <c r="AA17" s="17">
        <v>81</v>
      </c>
      <c r="AB17" s="17">
        <v>100</v>
      </c>
      <c r="AC17" s="17">
        <v>100</v>
      </c>
      <c r="AD17" s="647"/>
      <c r="AE17" s="549" t="s">
        <v>11</v>
      </c>
      <c r="AF17" s="549"/>
      <c r="AG17" s="549"/>
      <c r="AH17" s="549"/>
      <c r="AI17" s="549"/>
      <c r="AJ17" s="17">
        <v>63</v>
      </c>
      <c r="AK17" s="17">
        <v>63</v>
      </c>
      <c r="AL17" s="17">
        <v>138</v>
      </c>
      <c r="AM17" s="17">
        <v>138</v>
      </c>
      <c r="AN17" s="17">
        <v>111</v>
      </c>
      <c r="AO17" s="17">
        <v>111</v>
      </c>
      <c r="AP17" s="17">
        <v>79</v>
      </c>
      <c r="AQ17" s="17">
        <v>79</v>
      </c>
      <c r="AR17" s="647"/>
      <c r="AS17" s="549" t="s">
        <v>11</v>
      </c>
      <c r="AT17" s="549"/>
      <c r="AU17" s="549"/>
      <c r="AV17" s="549"/>
      <c r="AW17" s="549"/>
      <c r="AX17" s="17">
        <v>124</v>
      </c>
      <c r="AY17" s="17">
        <v>124</v>
      </c>
      <c r="AZ17" s="17">
        <v>53</v>
      </c>
      <c r="BA17" s="17">
        <v>53</v>
      </c>
      <c r="BB17" s="17">
        <v>121</v>
      </c>
      <c r="BC17" s="17">
        <v>95</v>
      </c>
      <c r="BD17" s="17">
        <v>105</v>
      </c>
      <c r="BE17" s="17">
        <v>105</v>
      </c>
      <c r="BF17" s="647"/>
      <c r="BG17" s="549" t="s">
        <v>11</v>
      </c>
      <c r="BH17" s="549"/>
      <c r="BI17" s="549"/>
      <c r="BJ17" s="549"/>
      <c r="BK17" s="549"/>
      <c r="BL17" s="17">
        <v>37</v>
      </c>
      <c r="BM17" s="17">
        <v>37</v>
      </c>
      <c r="BN17" s="17">
        <v>126</v>
      </c>
      <c r="BO17" s="17">
        <v>126</v>
      </c>
      <c r="BP17" s="17">
        <v>180</v>
      </c>
      <c r="BQ17" s="17">
        <v>180</v>
      </c>
      <c r="BR17" s="17">
        <v>98</v>
      </c>
      <c r="BS17" s="17">
        <v>98</v>
      </c>
      <c r="BT17" s="647"/>
      <c r="BU17" s="549" t="s">
        <v>11</v>
      </c>
      <c r="BV17" s="549"/>
      <c r="BW17" s="549"/>
      <c r="BX17" s="549"/>
      <c r="BY17" s="549"/>
      <c r="BZ17" s="17">
        <v>144</v>
      </c>
      <c r="CA17" s="17">
        <v>144</v>
      </c>
      <c r="CB17" s="17">
        <v>194</v>
      </c>
      <c r="CC17" s="17">
        <v>194</v>
      </c>
      <c r="CD17" s="17">
        <v>132</v>
      </c>
      <c r="CE17" s="17">
        <v>132</v>
      </c>
      <c r="CF17" s="17">
        <v>102</v>
      </c>
      <c r="CG17" s="17">
        <v>102</v>
      </c>
      <c r="CH17" s="647"/>
      <c r="CI17" s="549" t="s">
        <v>11</v>
      </c>
      <c r="CJ17" s="549"/>
      <c r="CK17" s="549"/>
      <c r="CL17" s="549"/>
      <c r="CM17" s="549"/>
      <c r="CN17" s="17">
        <v>75</v>
      </c>
      <c r="CO17" s="17">
        <v>75</v>
      </c>
      <c r="CP17" s="17">
        <v>183</v>
      </c>
      <c r="CQ17" s="17">
        <v>183</v>
      </c>
      <c r="CR17" s="17"/>
      <c r="CS17" s="17"/>
      <c r="CT17" s="17"/>
      <c r="CU17" s="17"/>
      <c r="CV17" s="17"/>
      <c r="CW17" s="17"/>
      <c r="CX17" s="17"/>
      <c r="CY17" s="17"/>
    </row>
    <row r="18" spans="2:103" ht="45" customHeight="1" x14ac:dyDescent="0.4">
      <c r="B18" s="647"/>
      <c r="C18" s="511" t="s">
        <v>60</v>
      </c>
      <c r="D18" s="487"/>
      <c r="E18" s="487"/>
      <c r="F18" s="487"/>
      <c r="G18" s="488"/>
      <c r="H18" s="18" t="s">
        <v>27</v>
      </c>
      <c r="I18" s="18" t="s">
        <v>27</v>
      </c>
      <c r="J18" s="18" t="s">
        <v>32</v>
      </c>
      <c r="K18" s="18" t="s">
        <v>34</v>
      </c>
      <c r="L18" s="18" t="s">
        <v>34</v>
      </c>
      <c r="M18" s="18" t="s">
        <v>34</v>
      </c>
      <c r="N18" s="18" t="s">
        <v>41</v>
      </c>
      <c r="O18" s="18" t="s">
        <v>41</v>
      </c>
      <c r="P18" s="647"/>
      <c r="Q18" s="511" t="s">
        <v>60</v>
      </c>
      <c r="R18" s="487"/>
      <c r="S18" s="487"/>
      <c r="T18" s="487"/>
      <c r="U18" s="488"/>
      <c r="V18" s="19" t="s">
        <v>61</v>
      </c>
      <c r="W18" s="19" t="s">
        <v>61</v>
      </c>
      <c r="X18" s="19" t="s">
        <v>62</v>
      </c>
      <c r="Y18" s="19" t="s">
        <v>62</v>
      </c>
      <c r="Z18" s="19" t="s">
        <v>63</v>
      </c>
      <c r="AA18" s="19" t="s">
        <v>64</v>
      </c>
      <c r="AB18" s="19" t="s">
        <v>65</v>
      </c>
      <c r="AC18" s="19" t="s">
        <v>65</v>
      </c>
      <c r="AD18" s="647"/>
      <c r="AE18" s="511" t="s">
        <v>60</v>
      </c>
      <c r="AF18" s="487"/>
      <c r="AG18" s="487"/>
      <c r="AH18" s="487"/>
      <c r="AI18" s="488"/>
      <c r="AJ18" s="19" t="s">
        <v>66</v>
      </c>
      <c r="AK18" s="19" t="s">
        <v>66</v>
      </c>
      <c r="AL18" s="19" t="s">
        <v>77</v>
      </c>
      <c r="AM18" s="19" t="s">
        <v>77</v>
      </c>
      <c r="AN18" s="19" t="s">
        <v>81</v>
      </c>
      <c r="AO18" s="19" t="s">
        <v>81</v>
      </c>
      <c r="AP18" s="19" t="s">
        <v>66</v>
      </c>
      <c r="AQ18" s="18" t="s">
        <v>85</v>
      </c>
      <c r="AR18" s="647"/>
      <c r="AS18" s="511" t="s">
        <v>60</v>
      </c>
      <c r="AT18" s="487"/>
      <c r="AU18" s="487"/>
      <c r="AV18" s="487"/>
      <c r="AW18" s="488"/>
      <c r="AX18" s="19" t="s">
        <v>89</v>
      </c>
      <c r="AY18" s="19" t="s">
        <v>89</v>
      </c>
      <c r="AZ18" s="19" t="s">
        <v>94</v>
      </c>
      <c r="BA18" s="19" t="s">
        <v>94</v>
      </c>
      <c r="BB18" s="19" t="s">
        <v>98</v>
      </c>
      <c r="BC18" s="19" t="s">
        <v>100</v>
      </c>
      <c r="BD18" s="19" t="s">
        <v>100</v>
      </c>
      <c r="BE18" s="19" t="s">
        <v>100</v>
      </c>
      <c r="BF18" s="647"/>
      <c r="BG18" s="511" t="s">
        <v>60</v>
      </c>
      <c r="BH18" s="487"/>
      <c r="BI18" s="487"/>
      <c r="BJ18" s="487"/>
      <c r="BK18" s="488"/>
      <c r="BL18" s="19" t="s">
        <v>106</v>
      </c>
      <c r="BM18" s="19" t="s">
        <v>106</v>
      </c>
      <c r="BN18" s="19" t="s">
        <v>108</v>
      </c>
      <c r="BO18" s="19" t="s">
        <v>108</v>
      </c>
      <c r="BP18" s="19" t="s">
        <v>114</v>
      </c>
      <c r="BQ18" s="19" t="s">
        <v>114</v>
      </c>
      <c r="BR18" s="19" t="s">
        <v>118</v>
      </c>
      <c r="BS18" s="19" t="s">
        <v>118</v>
      </c>
      <c r="BT18" s="647"/>
      <c r="BU18" s="511" t="s">
        <v>60</v>
      </c>
      <c r="BV18" s="487"/>
      <c r="BW18" s="487"/>
      <c r="BX18" s="487"/>
      <c r="BY18" s="488"/>
      <c r="BZ18" s="19" t="s">
        <v>81</v>
      </c>
      <c r="CA18" s="19" t="s">
        <v>81</v>
      </c>
      <c r="CB18" s="19" t="s">
        <v>125</v>
      </c>
      <c r="CC18" s="19" t="s">
        <v>125</v>
      </c>
      <c r="CD18" s="19" t="s">
        <v>129</v>
      </c>
      <c r="CE18" s="19" t="s">
        <v>129</v>
      </c>
      <c r="CF18" s="19" t="s">
        <v>133</v>
      </c>
      <c r="CG18" s="19" t="s">
        <v>135</v>
      </c>
      <c r="CH18" s="647"/>
      <c r="CI18" s="511" t="s">
        <v>60</v>
      </c>
      <c r="CJ18" s="487"/>
      <c r="CK18" s="487"/>
      <c r="CL18" s="487"/>
      <c r="CM18" s="488"/>
      <c r="CN18" s="19" t="s">
        <v>139</v>
      </c>
      <c r="CO18" s="18" t="s">
        <v>141</v>
      </c>
      <c r="CP18" s="18" t="s">
        <v>144</v>
      </c>
      <c r="CQ18" s="18" t="s">
        <v>146</v>
      </c>
      <c r="CR18" s="18"/>
      <c r="CS18" s="18"/>
      <c r="CT18" s="18"/>
      <c r="CU18" s="18"/>
      <c r="CV18" s="18"/>
      <c r="CW18" s="18"/>
      <c r="CX18" s="18"/>
      <c r="CY18" s="18"/>
    </row>
    <row r="19" spans="2:103" ht="45" customHeight="1" x14ac:dyDescent="0.4">
      <c r="B19" s="554" t="s">
        <v>8</v>
      </c>
      <c r="C19" s="20"/>
      <c r="D19" s="457" t="s">
        <v>67</v>
      </c>
      <c r="E19" s="459"/>
      <c r="F19" s="459"/>
      <c r="G19" s="21" t="s">
        <v>4</v>
      </c>
      <c r="H19" s="22">
        <v>828</v>
      </c>
      <c r="I19" s="22">
        <v>828</v>
      </c>
      <c r="J19" s="22">
        <v>758</v>
      </c>
      <c r="K19" s="22">
        <v>736</v>
      </c>
      <c r="L19" s="22">
        <v>806</v>
      </c>
      <c r="M19" s="22">
        <v>806</v>
      </c>
      <c r="N19" s="22">
        <v>728</v>
      </c>
      <c r="O19" s="22">
        <v>728</v>
      </c>
      <c r="P19" s="554" t="s">
        <v>8</v>
      </c>
      <c r="Q19" s="20"/>
      <c r="R19" s="457" t="s">
        <v>67</v>
      </c>
      <c r="S19" s="459"/>
      <c r="T19" s="459"/>
      <c r="U19" s="21" t="s">
        <v>4</v>
      </c>
      <c r="V19" s="22">
        <v>746</v>
      </c>
      <c r="W19" s="22">
        <v>746</v>
      </c>
      <c r="X19" s="22">
        <v>696</v>
      </c>
      <c r="Y19" s="22">
        <v>696</v>
      </c>
      <c r="Z19" s="22">
        <v>777</v>
      </c>
      <c r="AA19" s="22">
        <v>777</v>
      </c>
      <c r="AB19" s="22">
        <v>716</v>
      </c>
      <c r="AC19" s="22">
        <v>716</v>
      </c>
      <c r="AD19" s="554" t="s">
        <v>8</v>
      </c>
      <c r="AE19" s="20"/>
      <c r="AF19" s="457" t="s">
        <v>67</v>
      </c>
      <c r="AG19" s="459"/>
      <c r="AH19" s="459"/>
      <c r="AI19" s="21" t="s">
        <v>4</v>
      </c>
      <c r="AJ19" s="22">
        <v>771</v>
      </c>
      <c r="AK19" s="22">
        <v>771</v>
      </c>
      <c r="AL19" s="22">
        <v>758</v>
      </c>
      <c r="AM19" s="22">
        <v>758</v>
      </c>
      <c r="AN19" s="22">
        <v>813</v>
      </c>
      <c r="AO19" s="22">
        <v>813</v>
      </c>
      <c r="AP19" s="22">
        <v>909</v>
      </c>
      <c r="AQ19" s="22">
        <v>909</v>
      </c>
      <c r="AR19" s="554" t="s">
        <v>8</v>
      </c>
      <c r="AS19" s="20"/>
      <c r="AT19" s="457" t="s">
        <v>67</v>
      </c>
      <c r="AU19" s="459"/>
      <c r="AV19" s="459"/>
      <c r="AW19" s="21" t="s">
        <v>4</v>
      </c>
      <c r="AX19" s="22">
        <v>909</v>
      </c>
      <c r="AY19" s="22">
        <v>909</v>
      </c>
      <c r="AZ19" s="22">
        <v>919</v>
      </c>
      <c r="BA19" s="22">
        <v>919</v>
      </c>
      <c r="BB19" s="22">
        <v>909</v>
      </c>
      <c r="BC19" s="22">
        <v>909</v>
      </c>
      <c r="BD19" s="22">
        <v>959</v>
      </c>
      <c r="BE19" s="22">
        <v>959</v>
      </c>
      <c r="BF19" s="554" t="s">
        <v>8</v>
      </c>
      <c r="BG19" s="20"/>
      <c r="BH19" s="457" t="s">
        <v>67</v>
      </c>
      <c r="BI19" s="459"/>
      <c r="BJ19" s="459"/>
      <c r="BK19" s="21" t="s">
        <v>4</v>
      </c>
      <c r="BL19" s="22">
        <v>939</v>
      </c>
      <c r="BM19" s="22">
        <v>939</v>
      </c>
      <c r="BN19" s="22">
        <v>894</v>
      </c>
      <c r="BO19" s="22">
        <v>894</v>
      </c>
      <c r="BP19" s="22">
        <v>786</v>
      </c>
      <c r="BQ19" s="22">
        <v>786</v>
      </c>
      <c r="BR19" s="22">
        <v>894</v>
      </c>
      <c r="BS19" s="22">
        <v>894</v>
      </c>
      <c r="BT19" s="554" t="s">
        <v>8</v>
      </c>
      <c r="BU19" s="20"/>
      <c r="BV19" s="457" t="s">
        <v>67</v>
      </c>
      <c r="BW19" s="459"/>
      <c r="BX19" s="459"/>
      <c r="BY19" s="21" t="s">
        <v>4</v>
      </c>
      <c r="BZ19" s="22">
        <v>874</v>
      </c>
      <c r="CA19" s="22">
        <v>874</v>
      </c>
      <c r="CB19" s="22">
        <v>806</v>
      </c>
      <c r="CC19" s="22">
        <v>806</v>
      </c>
      <c r="CD19" s="22">
        <v>876</v>
      </c>
      <c r="CE19" s="22">
        <v>876</v>
      </c>
      <c r="CF19" s="22">
        <v>866</v>
      </c>
      <c r="CG19" s="22">
        <v>866</v>
      </c>
      <c r="CH19" s="554" t="s">
        <v>8</v>
      </c>
      <c r="CI19" s="20"/>
      <c r="CJ19" s="457" t="s">
        <v>67</v>
      </c>
      <c r="CK19" s="459"/>
      <c r="CL19" s="459"/>
      <c r="CM19" s="21" t="s">
        <v>4</v>
      </c>
      <c r="CN19" s="22">
        <v>800</v>
      </c>
      <c r="CO19" s="22">
        <v>800</v>
      </c>
      <c r="CP19" s="22">
        <v>794</v>
      </c>
      <c r="CQ19" s="22">
        <v>794</v>
      </c>
      <c r="CR19" s="22"/>
      <c r="CS19" s="22"/>
      <c r="CT19" s="22"/>
      <c r="CU19" s="22"/>
      <c r="CV19" s="22"/>
      <c r="CW19" s="22"/>
      <c r="CX19" s="22"/>
      <c r="CY19" s="22"/>
    </row>
    <row r="20" spans="2:103" ht="56.25" customHeight="1" x14ac:dyDescent="0.4">
      <c r="B20" s="479"/>
      <c r="C20" s="23"/>
      <c r="D20" s="519" t="s">
        <v>73</v>
      </c>
      <c r="E20" s="651"/>
      <c r="F20" s="651"/>
      <c r="G20" s="21" t="s">
        <v>15</v>
      </c>
      <c r="H20" s="22">
        <v>226</v>
      </c>
      <c r="I20" s="22">
        <v>226</v>
      </c>
      <c r="J20" s="22">
        <v>226</v>
      </c>
      <c r="K20" s="22">
        <v>226</v>
      </c>
      <c r="L20" s="22">
        <v>226</v>
      </c>
      <c r="M20" s="22">
        <v>226</v>
      </c>
      <c r="N20" s="22">
        <v>226</v>
      </c>
      <c r="O20" s="22">
        <v>226</v>
      </c>
      <c r="P20" s="479"/>
      <c r="Q20" s="23"/>
      <c r="R20" s="519" t="s">
        <v>73</v>
      </c>
      <c r="S20" s="651"/>
      <c r="T20" s="651"/>
      <c r="U20" s="21" t="s">
        <v>15</v>
      </c>
      <c r="V20" s="22">
        <v>226</v>
      </c>
      <c r="W20" s="22">
        <v>226</v>
      </c>
      <c r="X20" s="22">
        <v>226</v>
      </c>
      <c r="Y20" s="22">
        <v>226</v>
      </c>
      <c r="Z20" s="22">
        <v>226</v>
      </c>
      <c r="AA20" s="22">
        <v>226</v>
      </c>
      <c r="AB20" s="22">
        <v>226</v>
      </c>
      <c r="AC20" s="22">
        <v>226</v>
      </c>
      <c r="AD20" s="479"/>
      <c r="AE20" s="23"/>
      <c r="AF20" s="519" t="s">
        <v>73</v>
      </c>
      <c r="AG20" s="651"/>
      <c r="AH20" s="651"/>
      <c r="AI20" s="21" t="s">
        <v>15</v>
      </c>
      <c r="AJ20" s="22">
        <v>226</v>
      </c>
      <c r="AK20" s="22">
        <v>226</v>
      </c>
      <c r="AL20" s="22">
        <v>226</v>
      </c>
      <c r="AM20" s="22">
        <v>226</v>
      </c>
      <c r="AN20" s="22">
        <v>226</v>
      </c>
      <c r="AO20" s="22">
        <v>226</v>
      </c>
      <c r="AP20" s="22">
        <v>226</v>
      </c>
      <c r="AQ20" s="22">
        <v>226</v>
      </c>
      <c r="AR20" s="479"/>
      <c r="AS20" s="23"/>
      <c r="AT20" s="519" t="s">
        <v>73</v>
      </c>
      <c r="AU20" s="651"/>
      <c r="AV20" s="651"/>
      <c r="AW20" s="21" t="s">
        <v>15</v>
      </c>
      <c r="AX20" s="22">
        <v>226</v>
      </c>
      <c r="AY20" s="22">
        <v>226</v>
      </c>
      <c r="AZ20" s="22">
        <v>226</v>
      </c>
      <c r="BA20" s="22">
        <v>226</v>
      </c>
      <c r="BB20" s="22">
        <v>200</v>
      </c>
      <c r="BC20" s="22">
        <v>226</v>
      </c>
      <c r="BD20" s="22">
        <v>226</v>
      </c>
      <c r="BE20" s="22">
        <v>226</v>
      </c>
      <c r="BF20" s="479"/>
      <c r="BG20" s="23"/>
      <c r="BH20" s="519" t="s">
        <v>73</v>
      </c>
      <c r="BI20" s="651"/>
      <c r="BJ20" s="651"/>
      <c r="BK20" s="21" t="s">
        <v>15</v>
      </c>
      <c r="BL20" s="22">
        <v>226</v>
      </c>
      <c r="BM20" s="22">
        <v>226</v>
      </c>
      <c r="BN20" s="22">
        <v>226</v>
      </c>
      <c r="BO20" s="22">
        <v>226</v>
      </c>
      <c r="BP20" s="22">
        <v>226</v>
      </c>
      <c r="BQ20" s="22">
        <v>226</v>
      </c>
      <c r="BR20" s="22">
        <v>226</v>
      </c>
      <c r="BS20" s="22">
        <v>226</v>
      </c>
      <c r="BT20" s="479"/>
      <c r="BU20" s="23"/>
      <c r="BV20" s="519" t="s">
        <v>73</v>
      </c>
      <c r="BW20" s="651"/>
      <c r="BX20" s="651"/>
      <c r="BY20" s="21" t="s">
        <v>15</v>
      </c>
      <c r="BZ20" s="22">
        <v>226</v>
      </c>
      <c r="CA20" s="22">
        <v>226</v>
      </c>
      <c r="CB20" s="22">
        <v>226</v>
      </c>
      <c r="CC20" s="22">
        <v>226</v>
      </c>
      <c r="CD20" s="22">
        <v>226</v>
      </c>
      <c r="CE20" s="22">
        <v>226</v>
      </c>
      <c r="CF20" s="22">
        <v>226</v>
      </c>
      <c r="CG20" s="22">
        <v>226</v>
      </c>
      <c r="CH20" s="479"/>
      <c r="CI20" s="23"/>
      <c r="CJ20" s="519" t="s">
        <v>73</v>
      </c>
      <c r="CK20" s="651"/>
      <c r="CL20" s="651"/>
      <c r="CM20" s="21" t="s">
        <v>15</v>
      </c>
      <c r="CN20" s="22">
        <v>226</v>
      </c>
      <c r="CO20" s="22">
        <v>226</v>
      </c>
      <c r="CP20" s="22">
        <v>226</v>
      </c>
      <c r="CQ20" s="22">
        <v>226</v>
      </c>
      <c r="CR20" s="22"/>
      <c r="CS20" s="22"/>
      <c r="CT20" s="22"/>
      <c r="CU20" s="22"/>
      <c r="CV20" s="22"/>
      <c r="CW20" s="22"/>
      <c r="CX20" s="22"/>
      <c r="CY20" s="22"/>
    </row>
    <row r="21" spans="2:103" ht="45" customHeight="1" x14ac:dyDescent="0.4">
      <c r="B21" s="479"/>
      <c r="C21" s="23"/>
      <c r="D21" s="457" t="s">
        <v>68</v>
      </c>
      <c r="E21" s="459"/>
      <c r="F21" s="459"/>
      <c r="G21" s="21" t="s">
        <v>16</v>
      </c>
      <c r="H21" s="22">
        <v>196</v>
      </c>
      <c r="I21" s="22">
        <v>196</v>
      </c>
      <c r="J21" s="22">
        <v>196</v>
      </c>
      <c r="K21" s="22">
        <v>196</v>
      </c>
      <c r="L21" s="22">
        <v>196</v>
      </c>
      <c r="M21" s="22">
        <v>196</v>
      </c>
      <c r="N21" s="22">
        <v>196</v>
      </c>
      <c r="O21" s="22">
        <v>196</v>
      </c>
      <c r="P21" s="479"/>
      <c r="Q21" s="23"/>
      <c r="R21" s="457" t="s">
        <v>68</v>
      </c>
      <c r="S21" s="459"/>
      <c r="T21" s="459"/>
      <c r="U21" s="21" t="s">
        <v>16</v>
      </c>
      <c r="V21" s="22">
        <v>202</v>
      </c>
      <c r="W21" s="22">
        <v>202</v>
      </c>
      <c r="X21" s="22">
        <v>202</v>
      </c>
      <c r="Y21" s="22">
        <v>202</v>
      </c>
      <c r="Z21" s="22">
        <v>202</v>
      </c>
      <c r="AA21" s="22">
        <v>184</v>
      </c>
      <c r="AB21" s="22">
        <v>202</v>
      </c>
      <c r="AC21" s="22">
        <v>202</v>
      </c>
      <c r="AD21" s="479"/>
      <c r="AE21" s="23"/>
      <c r="AF21" s="457" t="s">
        <v>68</v>
      </c>
      <c r="AG21" s="459"/>
      <c r="AH21" s="459"/>
      <c r="AI21" s="21" t="s">
        <v>16</v>
      </c>
      <c r="AJ21" s="22">
        <v>186</v>
      </c>
      <c r="AK21" s="22">
        <v>186</v>
      </c>
      <c r="AL21" s="22">
        <v>221</v>
      </c>
      <c r="AM21" s="22">
        <v>221</v>
      </c>
      <c r="AN21" s="22">
        <v>213</v>
      </c>
      <c r="AO21" s="22">
        <v>213</v>
      </c>
      <c r="AP21" s="22">
        <v>268</v>
      </c>
      <c r="AQ21" s="22">
        <v>268</v>
      </c>
      <c r="AR21" s="479"/>
      <c r="AS21" s="23"/>
      <c r="AT21" s="457" t="s">
        <v>68</v>
      </c>
      <c r="AU21" s="459"/>
      <c r="AV21" s="459"/>
      <c r="AW21" s="21" t="s">
        <v>16</v>
      </c>
      <c r="AX21" s="22">
        <v>268</v>
      </c>
      <c r="AY21" s="22">
        <v>268</v>
      </c>
      <c r="AZ21" s="22">
        <v>268</v>
      </c>
      <c r="BA21" s="22">
        <v>268</v>
      </c>
      <c r="BB21" s="22">
        <v>268</v>
      </c>
      <c r="BC21" s="22">
        <v>268</v>
      </c>
      <c r="BD21" s="22">
        <v>268</v>
      </c>
      <c r="BE21" s="22">
        <v>268</v>
      </c>
      <c r="BF21" s="479"/>
      <c r="BG21" s="23"/>
      <c r="BH21" s="457" t="s">
        <v>68</v>
      </c>
      <c r="BI21" s="459"/>
      <c r="BJ21" s="459"/>
      <c r="BK21" s="21" t="s">
        <v>16</v>
      </c>
      <c r="BL21" s="22">
        <v>268</v>
      </c>
      <c r="BM21" s="22">
        <v>268</v>
      </c>
      <c r="BN21" s="22">
        <v>202</v>
      </c>
      <c r="BO21" s="22">
        <v>202</v>
      </c>
      <c r="BP21" s="22">
        <v>201</v>
      </c>
      <c r="BQ21" s="22">
        <v>201</v>
      </c>
      <c r="BR21" s="22">
        <v>243</v>
      </c>
      <c r="BS21" s="22">
        <v>243</v>
      </c>
      <c r="BT21" s="479"/>
      <c r="BU21" s="23"/>
      <c r="BV21" s="457" t="s">
        <v>68</v>
      </c>
      <c r="BW21" s="459"/>
      <c r="BX21" s="459"/>
      <c r="BY21" s="21" t="s">
        <v>16</v>
      </c>
      <c r="BZ21" s="22">
        <v>202</v>
      </c>
      <c r="CA21" s="22">
        <v>202</v>
      </c>
      <c r="CB21" s="22">
        <v>203</v>
      </c>
      <c r="CC21" s="22">
        <v>203</v>
      </c>
      <c r="CD21" s="22">
        <v>243</v>
      </c>
      <c r="CE21" s="22">
        <v>243</v>
      </c>
      <c r="CF21" s="22">
        <v>235</v>
      </c>
      <c r="CG21" s="22">
        <v>235</v>
      </c>
      <c r="CH21" s="479"/>
      <c r="CI21" s="23"/>
      <c r="CJ21" s="457" t="s">
        <v>68</v>
      </c>
      <c r="CK21" s="459"/>
      <c r="CL21" s="459"/>
      <c r="CM21" s="21" t="s">
        <v>16</v>
      </c>
      <c r="CN21" s="22">
        <v>201</v>
      </c>
      <c r="CO21" s="22">
        <v>201</v>
      </c>
      <c r="CP21" s="22">
        <v>202</v>
      </c>
      <c r="CQ21" s="22">
        <v>202</v>
      </c>
      <c r="CR21" s="22"/>
      <c r="CS21" s="22"/>
      <c r="CT21" s="22"/>
      <c r="CU21" s="22"/>
      <c r="CV21" s="22"/>
      <c r="CW21" s="22"/>
      <c r="CX21" s="22"/>
      <c r="CY21" s="22"/>
    </row>
    <row r="22" spans="2:103" ht="45" customHeight="1" x14ac:dyDescent="0.4">
      <c r="B22" s="479"/>
      <c r="C22" s="528" t="s">
        <v>18</v>
      </c>
      <c r="D22" s="459"/>
      <c r="E22" s="459"/>
      <c r="F22" s="459"/>
      <c r="G22" s="460"/>
      <c r="H22" s="22">
        <f t="shared" ref="H22:M22" si="0">SUM(H19:H21)</f>
        <v>1250</v>
      </c>
      <c r="I22" s="22">
        <f t="shared" si="0"/>
        <v>1250</v>
      </c>
      <c r="J22" s="22">
        <f t="shared" si="0"/>
        <v>1180</v>
      </c>
      <c r="K22" s="22">
        <f t="shared" si="0"/>
        <v>1158</v>
      </c>
      <c r="L22" s="22">
        <f t="shared" si="0"/>
        <v>1228</v>
      </c>
      <c r="M22" s="22">
        <f t="shared" si="0"/>
        <v>1228</v>
      </c>
      <c r="N22" s="22">
        <f t="shared" ref="N22:Z22" si="1">SUM(N19:N21)</f>
        <v>1150</v>
      </c>
      <c r="O22" s="22">
        <f t="shared" si="1"/>
        <v>1150</v>
      </c>
      <c r="P22" s="479"/>
      <c r="Q22" s="528" t="s">
        <v>18</v>
      </c>
      <c r="R22" s="459"/>
      <c r="S22" s="459"/>
      <c r="T22" s="459"/>
      <c r="U22" s="460"/>
      <c r="V22" s="22">
        <f t="shared" si="1"/>
        <v>1174</v>
      </c>
      <c r="W22" s="22">
        <f t="shared" si="1"/>
        <v>1174</v>
      </c>
      <c r="X22" s="22">
        <f t="shared" si="1"/>
        <v>1124</v>
      </c>
      <c r="Y22" s="22">
        <f t="shared" si="1"/>
        <v>1124</v>
      </c>
      <c r="Z22" s="22">
        <f t="shared" si="1"/>
        <v>1205</v>
      </c>
      <c r="AA22" s="22">
        <f>SUM(AA19:AA21)</f>
        <v>1187</v>
      </c>
      <c r="AB22" s="22">
        <f>SUM(AB19:AB21)</f>
        <v>1144</v>
      </c>
      <c r="AC22" s="22">
        <f>SUM(AC19:AC21)</f>
        <v>1144</v>
      </c>
      <c r="AD22" s="479"/>
      <c r="AE22" s="528" t="s">
        <v>18</v>
      </c>
      <c r="AF22" s="459"/>
      <c r="AG22" s="459"/>
      <c r="AH22" s="459"/>
      <c r="AI22" s="460"/>
      <c r="AJ22" s="22">
        <f t="shared" ref="AJ22:AO22" si="2">SUM(AJ19:AJ21)</f>
        <v>1183</v>
      </c>
      <c r="AK22" s="22">
        <f t="shared" si="2"/>
        <v>1183</v>
      </c>
      <c r="AL22" s="22">
        <f t="shared" si="2"/>
        <v>1205</v>
      </c>
      <c r="AM22" s="22">
        <f t="shared" si="2"/>
        <v>1205</v>
      </c>
      <c r="AN22" s="22">
        <f t="shared" si="2"/>
        <v>1252</v>
      </c>
      <c r="AO22" s="22">
        <f t="shared" si="2"/>
        <v>1252</v>
      </c>
      <c r="AP22" s="22">
        <f>SUM(AP19:AP21)</f>
        <v>1403</v>
      </c>
      <c r="AQ22" s="24">
        <v>1403</v>
      </c>
      <c r="AR22" s="479"/>
      <c r="AS22" s="528" t="s">
        <v>18</v>
      </c>
      <c r="AT22" s="459"/>
      <c r="AU22" s="459"/>
      <c r="AV22" s="459"/>
      <c r="AW22" s="460"/>
      <c r="AX22" s="22">
        <v>1403</v>
      </c>
      <c r="AY22" s="22">
        <v>1403</v>
      </c>
      <c r="AZ22" s="22">
        <v>1413</v>
      </c>
      <c r="BA22" s="22">
        <v>1413</v>
      </c>
      <c r="BB22" s="22">
        <f>SUM(BB19:BB21)</f>
        <v>1377</v>
      </c>
      <c r="BC22" s="22">
        <f>SUM(BC19:BC21)</f>
        <v>1403</v>
      </c>
      <c r="BD22" s="22">
        <f>SUM(BD19:BD21)</f>
        <v>1453</v>
      </c>
      <c r="BE22" s="22">
        <f>SUM(BE19:BE21)</f>
        <v>1453</v>
      </c>
      <c r="BF22" s="479"/>
      <c r="BG22" s="528" t="s">
        <v>18</v>
      </c>
      <c r="BH22" s="459"/>
      <c r="BI22" s="459"/>
      <c r="BJ22" s="459"/>
      <c r="BK22" s="460"/>
      <c r="BL22" s="22">
        <f t="shared" ref="BL22:BQ22" si="3">SUM(BL19:BL21)</f>
        <v>1433</v>
      </c>
      <c r="BM22" s="22">
        <f t="shared" si="3"/>
        <v>1433</v>
      </c>
      <c r="BN22" s="22">
        <f t="shared" si="3"/>
        <v>1322</v>
      </c>
      <c r="BO22" s="22">
        <f t="shared" si="3"/>
        <v>1322</v>
      </c>
      <c r="BP22" s="22">
        <f t="shared" si="3"/>
        <v>1213</v>
      </c>
      <c r="BQ22" s="22">
        <f t="shared" si="3"/>
        <v>1213</v>
      </c>
      <c r="BR22" s="22">
        <f>SUM(BR19:BR21)</f>
        <v>1363</v>
      </c>
      <c r="BS22" s="22">
        <f>SUM(BS19:BS21)</f>
        <v>1363</v>
      </c>
      <c r="BT22" s="479"/>
      <c r="BU22" s="528" t="s">
        <v>18</v>
      </c>
      <c r="BV22" s="459"/>
      <c r="BW22" s="459"/>
      <c r="BX22" s="459"/>
      <c r="BY22" s="460"/>
      <c r="BZ22" s="22">
        <f t="shared" ref="BZ22:CF22" si="4">SUM(BZ19:BZ21)</f>
        <v>1302</v>
      </c>
      <c r="CA22" s="22">
        <f t="shared" si="4"/>
        <v>1302</v>
      </c>
      <c r="CB22" s="22">
        <f t="shared" si="4"/>
        <v>1235</v>
      </c>
      <c r="CC22" s="22">
        <f t="shared" si="4"/>
        <v>1235</v>
      </c>
      <c r="CD22" s="22">
        <f t="shared" si="4"/>
        <v>1345</v>
      </c>
      <c r="CE22" s="22">
        <f t="shared" si="4"/>
        <v>1345</v>
      </c>
      <c r="CF22" s="22">
        <f t="shared" si="4"/>
        <v>1327</v>
      </c>
      <c r="CG22" s="22">
        <v>1327</v>
      </c>
      <c r="CH22" s="479"/>
      <c r="CI22" s="528" t="s">
        <v>18</v>
      </c>
      <c r="CJ22" s="459"/>
      <c r="CK22" s="459"/>
      <c r="CL22" s="459"/>
      <c r="CM22" s="460"/>
      <c r="CN22" s="22">
        <f>SUM(CN19:CN21)</f>
        <v>1227</v>
      </c>
      <c r="CO22" s="24">
        <v>1227</v>
      </c>
      <c r="CP22" s="22">
        <f>SUM(CP19:CP21)</f>
        <v>1222</v>
      </c>
      <c r="CQ22" s="24">
        <v>1222</v>
      </c>
      <c r="CR22" s="24"/>
      <c r="CS22" s="24"/>
      <c r="CT22" s="24"/>
      <c r="CU22" s="24"/>
      <c r="CV22" s="24"/>
      <c r="CW22" s="24"/>
      <c r="CX22" s="24"/>
      <c r="CY22" s="24"/>
    </row>
    <row r="23" spans="2:103" ht="45" customHeight="1" x14ac:dyDescent="0.4">
      <c r="B23" s="479"/>
      <c r="C23" s="512" t="s">
        <v>69</v>
      </c>
      <c r="D23" s="458"/>
      <c r="E23" s="458"/>
      <c r="F23" s="458"/>
      <c r="G23" s="25" t="s">
        <v>6</v>
      </c>
      <c r="H23" s="24">
        <v>1293</v>
      </c>
      <c r="I23" s="24">
        <v>1293</v>
      </c>
      <c r="J23" s="24">
        <v>1242</v>
      </c>
      <c r="K23" s="24">
        <v>1229</v>
      </c>
      <c r="L23" s="24">
        <v>1298</v>
      </c>
      <c r="M23" s="24">
        <v>1298</v>
      </c>
      <c r="N23" s="24">
        <v>1268</v>
      </c>
      <c r="O23" s="24">
        <v>1268</v>
      </c>
      <c r="P23" s="479"/>
      <c r="Q23" s="512" t="s">
        <v>69</v>
      </c>
      <c r="R23" s="458"/>
      <c r="S23" s="458"/>
      <c r="T23" s="458"/>
      <c r="U23" s="25" t="s">
        <v>6</v>
      </c>
      <c r="V23" s="24">
        <v>1229</v>
      </c>
      <c r="W23" s="24">
        <v>1229</v>
      </c>
      <c r="X23" s="24">
        <v>1245</v>
      </c>
      <c r="Y23" s="24">
        <v>1245</v>
      </c>
      <c r="Z23" s="24">
        <v>1268</v>
      </c>
      <c r="AA23" s="24">
        <v>1268</v>
      </c>
      <c r="AB23" s="24">
        <v>1244</v>
      </c>
      <c r="AC23" s="24">
        <v>1244</v>
      </c>
      <c r="AD23" s="479"/>
      <c r="AE23" s="512" t="s">
        <v>69</v>
      </c>
      <c r="AF23" s="458"/>
      <c r="AG23" s="458"/>
      <c r="AH23" s="458"/>
      <c r="AI23" s="25" t="s">
        <v>6</v>
      </c>
      <c r="AJ23" s="24">
        <v>1246</v>
      </c>
      <c r="AK23" s="24">
        <v>1246</v>
      </c>
      <c r="AL23" s="24">
        <v>1343</v>
      </c>
      <c r="AM23" s="24">
        <v>1343</v>
      </c>
      <c r="AN23" s="24">
        <v>1363</v>
      </c>
      <c r="AO23" s="24">
        <v>1363</v>
      </c>
      <c r="AP23" s="24">
        <v>1482</v>
      </c>
      <c r="AQ23" s="24">
        <v>1482</v>
      </c>
      <c r="AR23" s="479"/>
      <c r="AS23" s="512" t="s">
        <v>69</v>
      </c>
      <c r="AT23" s="458"/>
      <c r="AU23" s="458"/>
      <c r="AV23" s="458"/>
      <c r="AW23" s="25" t="s">
        <v>6</v>
      </c>
      <c r="AX23" s="24">
        <v>1527</v>
      </c>
      <c r="AY23" s="24">
        <v>1527</v>
      </c>
      <c r="AZ23" s="24">
        <v>1466</v>
      </c>
      <c r="BA23" s="24">
        <v>1466</v>
      </c>
      <c r="BB23" s="24">
        <v>1498</v>
      </c>
      <c r="BC23" s="24">
        <v>1498</v>
      </c>
      <c r="BD23" s="24">
        <v>1558</v>
      </c>
      <c r="BE23" s="24">
        <v>1558</v>
      </c>
      <c r="BF23" s="479"/>
      <c r="BG23" s="512" t="s">
        <v>69</v>
      </c>
      <c r="BH23" s="458"/>
      <c r="BI23" s="458"/>
      <c r="BJ23" s="458"/>
      <c r="BK23" s="25" t="s">
        <v>6</v>
      </c>
      <c r="BL23" s="24">
        <v>1470</v>
      </c>
      <c r="BM23" s="24">
        <v>1470</v>
      </c>
      <c r="BN23" s="24">
        <v>1448</v>
      </c>
      <c r="BO23" s="24">
        <v>1448</v>
      </c>
      <c r="BP23" s="24">
        <v>1393</v>
      </c>
      <c r="BQ23" s="24">
        <v>1393</v>
      </c>
      <c r="BR23" s="24">
        <v>1461</v>
      </c>
      <c r="BS23" s="24">
        <v>1461</v>
      </c>
      <c r="BT23" s="479"/>
      <c r="BU23" s="512" t="s">
        <v>69</v>
      </c>
      <c r="BV23" s="458"/>
      <c r="BW23" s="458"/>
      <c r="BX23" s="458"/>
      <c r="BY23" s="25" t="s">
        <v>6</v>
      </c>
      <c r="BZ23" s="24">
        <v>1446</v>
      </c>
      <c r="CA23" s="24">
        <v>1446</v>
      </c>
      <c r="CB23" s="24">
        <v>1429</v>
      </c>
      <c r="CC23" s="24">
        <v>1429</v>
      </c>
      <c r="CD23" s="24">
        <v>1477</v>
      </c>
      <c r="CE23" s="24">
        <v>1477</v>
      </c>
      <c r="CF23" s="24">
        <v>1429</v>
      </c>
      <c r="CG23" s="24">
        <v>1429</v>
      </c>
      <c r="CH23" s="479"/>
      <c r="CI23" s="512" t="s">
        <v>69</v>
      </c>
      <c r="CJ23" s="458"/>
      <c r="CK23" s="458"/>
      <c r="CL23" s="458"/>
      <c r="CM23" s="25" t="s">
        <v>6</v>
      </c>
      <c r="CN23" s="24">
        <v>1302</v>
      </c>
      <c r="CO23" s="24">
        <v>1302</v>
      </c>
      <c r="CP23" s="24">
        <v>1405</v>
      </c>
      <c r="CQ23" s="24">
        <v>1405</v>
      </c>
      <c r="CR23" s="24"/>
      <c r="CS23" s="24"/>
      <c r="CT23" s="24"/>
      <c r="CU23" s="24"/>
      <c r="CV23" s="24"/>
      <c r="CW23" s="24"/>
      <c r="CX23" s="24"/>
      <c r="CY23" s="24"/>
    </row>
    <row r="24" spans="2:103" ht="45" customHeight="1" x14ac:dyDescent="0.4">
      <c r="B24" s="479"/>
      <c r="C24" s="26"/>
      <c r="D24" s="644" t="s">
        <v>5</v>
      </c>
      <c r="E24" s="645"/>
      <c r="F24" s="645"/>
      <c r="G24" s="645"/>
      <c r="H24" s="27">
        <v>595</v>
      </c>
      <c r="I24" s="27">
        <v>595</v>
      </c>
      <c r="J24" s="27">
        <v>555</v>
      </c>
      <c r="K24" s="27">
        <v>542</v>
      </c>
      <c r="L24" s="27">
        <v>610</v>
      </c>
      <c r="M24" s="27">
        <v>610</v>
      </c>
      <c r="N24" s="27">
        <v>590</v>
      </c>
      <c r="O24" s="27">
        <v>590</v>
      </c>
      <c r="P24" s="479"/>
      <c r="Q24" s="26"/>
      <c r="R24" s="644" t="s">
        <v>5</v>
      </c>
      <c r="S24" s="645"/>
      <c r="T24" s="645"/>
      <c r="U24" s="645"/>
      <c r="V24" s="27">
        <v>561</v>
      </c>
      <c r="W24" s="27">
        <v>561</v>
      </c>
      <c r="X24" s="27">
        <v>572</v>
      </c>
      <c r="Y24" s="27">
        <v>572</v>
      </c>
      <c r="Z24" s="27">
        <v>586</v>
      </c>
      <c r="AA24" s="27">
        <v>586</v>
      </c>
      <c r="AB24" s="27">
        <v>563</v>
      </c>
      <c r="AC24" s="27">
        <v>563</v>
      </c>
      <c r="AD24" s="479"/>
      <c r="AE24" s="26"/>
      <c r="AF24" s="644" t="s">
        <v>5</v>
      </c>
      <c r="AG24" s="645"/>
      <c r="AH24" s="645"/>
      <c r="AI24" s="645"/>
      <c r="AJ24" s="27">
        <v>536</v>
      </c>
      <c r="AK24" s="27">
        <v>536</v>
      </c>
      <c r="AL24" s="27">
        <v>611</v>
      </c>
      <c r="AM24" s="27">
        <v>611</v>
      </c>
      <c r="AN24" s="27">
        <v>633</v>
      </c>
      <c r="AO24" s="27">
        <v>633</v>
      </c>
      <c r="AP24" s="27">
        <v>687</v>
      </c>
      <c r="AQ24" s="27">
        <v>687</v>
      </c>
      <c r="AR24" s="479"/>
      <c r="AS24" s="26"/>
      <c r="AT24" s="644" t="s">
        <v>5</v>
      </c>
      <c r="AU24" s="645"/>
      <c r="AV24" s="645"/>
      <c r="AW24" s="645"/>
      <c r="AX24" s="27">
        <v>718</v>
      </c>
      <c r="AY24" s="27">
        <v>718</v>
      </c>
      <c r="AZ24" s="27">
        <v>671</v>
      </c>
      <c r="BA24" s="27">
        <v>671</v>
      </c>
      <c r="BB24" s="27">
        <v>680</v>
      </c>
      <c r="BC24" s="27">
        <v>680</v>
      </c>
      <c r="BD24" s="27">
        <v>738</v>
      </c>
      <c r="BE24" s="27">
        <v>738</v>
      </c>
      <c r="BF24" s="479"/>
      <c r="BG24" s="26"/>
      <c r="BH24" s="644" t="s">
        <v>5</v>
      </c>
      <c r="BI24" s="645"/>
      <c r="BJ24" s="645"/>
      <c r="BK24" s="645"/>
      <c r="BL24" s="27">
        <v>650</v>
      </c>
      <c r="BM24" s="27">
        <v>650</v>
      </c>
      <c r="BN24" s="27">
        <v>739</v>
      </c>
      <c r="BO24" s="27">
        <v>739</v>
      </c>
      <c r="BP24" s="27">
        <v>694</v>
      </c>
      <c r="BQ24" s="27">
        <v>694</v>
      </c>
      <c r="BR24" s="27">
        <v>707</v>
      </c>
      <c r="BS24" s="27">
        <v>707</v>
      </c>
      <c r="BT24" s="479"/>
      <c r="BU24" s="26"/>
      <c r="BV24" s="644" t="s">
        <v>5</v>
      </c>
      <c r="BW24" s="645"/>
      <c r="BX24" s="645"/>
      <c r="BY24" s="645"/>
      <c r="BZ24" s="27">
        <v>744</v>
      </c>
      <c r="CA24" s="27">
        <v>744</v>
      </c>
      <c r="CB24" s="27">
        <v>729</v>
      </c>
      <c r="CC24" s="27">
        <v>729</v>
      </c>
      <c r="CD24" s="27">
        <v>738</v>
      </c>
      <c r="CE24" s="27">
        <v>738</v>
      </c>
      <c r="CF24" s="27">
        <v>694</v>
      </c>
      <c r="CG24" s="27">
        <v>694</v>
      </c>
      <c r="CH24" s="479"/>
      <c r="CI24" s="26"/>
      <c r="CJ24" s="644" t="s">
        <v>5</v>
      </c>
      <c r="CK24" s="645"/>
      <c r="CL24" s="645"/>
      <c r="CM24" s="645"/>
      <c r="CN24" s="27">
        <v>628</v>
      </c>
      <c r="CO24" s="27">
        <v>628</v>
      </c>
      <c r="CP24" s="27">
        <v>723</v>
      </c>
      <c r="CQ24" s="27">
        <v>723</v>
      </c>
      <c r="CR24" s="27"/>
      <c r="CS24" s="27"/>
      <c r="CT24" s="27"/>
      <c r="CU24" s="27"/>
      <c r="CV24" s="27"/>
      <c r="CW24" s="27"/>
      <c r="CX24" s="27"/>
      <c r="CY24" s="27"/>
    </row>
    <row r="25" spans="2:103" ht="69" customHeight="1" x14ac:dyDescent="0.4">
      <c r="B25" s="480"/>
      <c r="C25" s="542" t="s">
        <v>17</v>
      </c>
      <c r="D25" s="543"/>
      <c r="E25" s="543"/>
      <c r="F25" s="543"/>
      <c r="G25" s="21" t="s">
        <v>7</v>
      </c>
      <c r="H25" s="22">
        <f>-(H19+H20+H21-H23)</f>
        <v>43</v>
      </c>
      <c r="I25" s="22">
        <v>43</v>
      </c>
      <c r="J25" s="22">
        <f>-(J19+J20+J21-J23)</f>
        <v>62</v>
      </c>
      <c r="K25" s="22">
        <f>-(K19+K20+K21-K23)</f>
        <v>71</v>
      </c>
      <c r="L25" s="22">
        <v>70</v>
      </c>
      <c r="M25" s="22">
        <v>70</v>
      </c>
      <c r="N25" s="22">
        <v>118</v>
      </c>
      <c r="O25" s="22">
        <v>118</v>
      </c>
      <c r="P25" s="480"/>
      <c r="Q25" s="542" t="s">
        <v>17</v>
      </c>
      <c r="R25" s="543"/>
      <c r="S25" s="543"/>
      <c r="T25" s="543"/>
      <c r="U25" s="21" t="s">
        <v>7</v>
      </c>
      <c r="V25" s="22">
        <v>55</v>
      </c>
      <c r="W25" s="22">
        <v>55</v>
      </c>
      <c r="X25" s="22">
        <v>121</v>
      </c>
      <c r="Y25" s="22">
        <v>121</v>
      </c>
      <c r="Z25" s="22">
        <v>63</v>
      </c>
      <c r="AA25" s="22">
        <v>81</v>
      </c>
      <c r="AB25" s="22">
        <v>100</v>
      </c>
      <c r="AC25" s="22">
        <v>100</v>
      </c>
      <c r="AD25" s="480"/>
      <c r="AE25" s="542" t="s">
        <v>17</v>
      </c>
      <c r="AF25" s="543"/>
      <c r="AG25" s="543"/>
      <c r="AH25" s="543"/>
      <c r="AI25" s="21" t="s">
        <v>7</v>
      </c>
      <c r="AJ25" s="22">
        <v>63</v>
      </c>
      <c r="AK25" s="22">
        <v>63</v>
      </c>
      <c r="AL25" s="22">
        <v>138</v>
      </c>
      <c r="AM25" s="22">
        <v>138</v>
      </c>
      <c r="AN25" s="22">
        <v>111</v>
      </c>
      <c r="AO25" s="22">
        <v>111</v>
      </c>
      <c r="AP25" s="22">
        <v>79</v>
      </c>
      <c r="AQ25" s="22">
        <v>79</v>
      </c>
      <c r="AR25" s="480"/>
      <c r="AS25" s="542" t="s">
        <v>17</v>
      </c>
      <c r="AT25" s="543"/>
      <c r="AU25" s="543"/>
      <c r="AV25" s="543"/>
      <c r="AW25" s="21" t="s">
        <v>7</v>
      </c>
      <c r="AX25" s="22">
        <v>124</v>
      </c>
      <c r="AY25" s="22">
        <v>124</v>
      </c>
      <c r="AZ25" s="22">
        <v>53</v>
      </c>
      <c r="BA25" s="22">
        <v>53</v>
      </c>
      <c r="BB25" s="22">
        <v>121</v>
      </c>
      <c r="BC25" s="22">
        <v>95</v>
      </c>
      <c r="BD25" s="22">
        <v>105</v>
      </c>
      <c r="BE25" s="22">
        <v>105</v>
      </c>
      <c r="BF25" s="480"/>
      <c r="BG25" s="542" t="s">
        <v>17</v>
      </c>
      <c r="BH25" s="543"/>
      <c r="BI25" s="543"/>
      <c r="BJ25" s="543"/>
      <c r="BK25" s="21" t="s">
        <v>7</v>
      </c>
      <c r="BL25" s="22">
        <v>37</v>
      </c>
      <c r="BM25" s="22">
        <v>37</v>
      </c>
      <c r="BN25" s="22">
        <v>126</v>
      </c>
      <c r="BO25" s="22">
        <v>126</v>
      </c>
      <c r="BP25" s="22">
        <v>180</v>
      </c>
      <c r="BQ25" s="22">
        <v>180</v>
      </c>
      <c r="BR25" s="22">
        <v>98</v>
      </c>
      <c r="BS25" s="22">
        <v>98</v>
      </c>
      <c r="BT25" s="480"/>
      <c r="BU25" s="542" t="s">
        <v>17</v>
      </c>
      <c r="BV25" s="543"/>
      <c r="BW25" s="543"/>
      <c r="BX25" s="543"/>
      <c r="BY25" s="21" t="s">
        <v>7</v>
      </c>
      <c r="BZ25" s="22">
        <v>144</v>
      </c>
      <c r="CA25" s="22">
        <v>144</v>
      </c>
      <c r="CB25" s="22">
        <v>194</v>
      </c>
      <c r="CC25" s="22">
        <v>194</v>
      </c>
      <c r="CD25" s="22">
        <v>132</v>
      </c>
      <c r="CE25" s="22">
        <v>132</v>
      </c>
      <c r="CF25" s="22">
        <v>102</v>
      </c>
      <c r="CG25" s="22">
        <v>102</v>
      </c>
      <c r="CH25" s="480"/>
      <c r="CI25" s="542" t="s">
        <v>17</v>
      </c>
      <c r="CJ25" s="543"/>
      <c r="CK25" s="543"/>
      <c r="CL25" s="543"/>
      <c r="CM25" s="21" t="s">
        <v>7</v>
      </c>
      <c r="CN25" s="22">
        <v>75</v>
      </c>
      <c r="CO25" s="22">
        <v>75</v>
      </c>
      <c r="CP25" s="22">
        <v>183</v>
      </c>
      <c r="CQ25" s="22">
        <v>183</v>
      </c>
      <c r="CR25" s="22"/>
      <c r="CS25" s="22"/>
      <c r="CT25" s="22"/>
      <c r="CU25" s="22"/>
      <c r="CV25" s="22"/>
      <c r="CW25" s="22"/>
      <c r="CX25" s="22"/>
      <c r="CY25" s="22"/>
    </row>
    <row r="26" spans="2:103" ht="30" customHeight="1" x14ac:dyDescent="0.4">
      <c r="C26" s="2"/>
      <c r="H26" s="1" t="s">
        <v>22</v>
      </c>
      <c r="I26" s="2"/>
      <c r="J26" s="2"/>
      <c r="Q26" s="2"/>
      <c r="V26" s="1" t="s">
        <v>22</v>
      </c>
      <c r="AB26" s="2"/>
      <c r="AC26" s="1"/>
      <c r="AE26" s="2"/>
      <c r="AJ26" s="1" t="s">
        <v>22</v>
      </c>
      <c r="AS26" s="2"/>
      <c r="AX26" s="1" t="s">
        <v>22</v>
      </c>
      <c r="BG26" s="2"/>
      <c r="BL26" s="1" t="s">
        <v>22</v>
      </c>
      <c r="BU26" s="2"/>
      <c r="BZ26" s="1" t="s">
        <v>22</v>
      </c>
      <c r="CI26" s="2"/>
      <c r="CN26" s="1" t="s">
        <v>22</v>
      </c>
    </row>
    <row r="27" spans="2:103" ht="30" customHeight="1" x14ac:dyDescent="0.4">
      <c r="C27" s="2"/>
      <c r="H27" s="2" t="s">
        <v>136</v>
      </c>
      <c r="I27" s="2"/>
      <c r="J27" s="2"/>
      <c r="Q27" s="2"/>
      <c r="V27" s="2" t="s">
        <v>136</v>
      </c>
      <c r="AB27" s="2"/>
      <c r="AC27" s="2"/>
      <c r="AE27" s="2"/>
      <c r="AJ27" s="2" t="s">
        <v>136</v>
      </c>
      <c r="AS27" s="2"/>
      <c r="AX27" s="2" t="s">
        <v>136</v>
      </c>
      <c r="BG27" s="2"/>
      <c r="BL27" s="2" t="s">
        <v>136</v>
      </c>
      <c r="BU27" s="2"/>
      <c r="BZ27" s="2" t="s">
        <v>136</v>
      </c>
      <c r="CI27" s="2"/>
      <c r="CN27" s="2" t="s">
        <v>136</v>
      </c>
    </row>
    <row r="28" spans="2:103" ht="30" customHeight="1" x14ac:dyDescent="0.4">
      <c r="C28" s="2"/>
      <c r="H28" s="1" t="s">
        <v>23</v>
      </c>
      <c r="I28" s="2"/>
      <c r="J28" s="2"/>
      <c r="Q28" s="2"/>
      <c r="V28" s="1" t="s">
        <v>23</v>
      </c>
      <c r="AB28" s="2"/>
      <c r="AC28" s="1"/>
      <c r="AE28" s="2"/>
      <c r="AJ28" s="1" t="s">
        <v>23</v>
      </c>
      <c r="AS28" s="2"/>
      <c r="AX28" s="1" t="s">
        <v>23</v>
      </c>
      <c r="BG28" s="2"/>
      <c r="BL28" s="1" t="s">
        <v>23</v>
      </c>
      <c r="BU28" s="2"/>
      <c r="BZ28" s="1" t="s">
        <v>23</v>
      </c>
      <c r="CI28" s="2"/>
      <c r="CN28" s="1" t="s">
        <v>23</v>
      </c>
    </row>
    <row r="29" spans="2:103" ht="30" customHeight="1" x14ac:dyDescent="0.4">
      <c r="C29" s="2"/>
      <c r="H29" s="1" t="s">
        <v>24</v>
      </c>
      <c r="I29" s="2"/>
      <c r="J29" s="2"/>
      <c r="Q29" s="2"/>
      <c r="V29" s="1" t="s">
        <v>24</v>
      </c>
      <c r="AB29" s="2"/>
      <c r="AC29" s="1"/>
      <c r="AE29" s="2"/>
      <c r="AJ29" s="1" t="s">
        <v>24</v>
      </c>
      <c r="AS29" s="2"/>
      <c r="AX29" s="1" t="s">
        <v>24</v>
      </c>
      <c r="BG29" s="2"/>
      <c r="BL29" s="1" t="s">
        <v>24</v>
      </c>
      <c r="BU29" s="2"/>
      <c r="BZ29" s="1" t="s">
        <v>24</v>
      </c>
      <c r="CI29" s="2"/>
      <c r="CN29" s="1" t="s">
        <v>24</v>
      </c>
    </row>
    <row r="30" spans="2:103" ht="30" customHeight="1" x14ac:dyDescent="0.4">
      <c r="C30" s="2"/>
      <c r="H30" s="1" t="s">
        <v>25</v>
      </c>
      <c r="I30" s="2"/>
      <c r="J30" s="2"/>
      <c r="Q30" s="2"/>
      <c r="V30" s="1" t="s">
        <v>25</v>
      </c>
      <c r="AB30" s="2"/>
      <c r="AC30" s="1"/>
      <c r="AE30" s="2"/>
      <c r="AJ30" s="1" t="s">
        <v>25</v>
      </c>
      <c r="AS30" s="2"/>
      <c r="AX30" s="1" t="s">
        <v>25</v>
      </c>
      <c r="BG30" s="2"/>
      <c r="BL30" s="1" t="s">
        <v>25</v>
      </c>
      <c r="BU30" s="2"/>
      <c r="BZ30" s="1" t="s">
        <v>25</v>
      </c>
      <c r="CI30" s="2"/>
      <c r="CN30" s="1" t="s">
        <v>25</v>
      </c>
    </row>
    <row r="31" spans="2:103" ht="30" customHeight="1" x14ac:dyDescent="0.4">
      <c r="C31" s="2"/>
      <c r="H31" s="1" t="s">
        <v>26</v>
      </c>
      <c r="I31" s="2"/>
      <c r="J31" s="2"/>
      <c r="Q31" s="2"/>
      <c r="V31" s="1" t="s">
        <v>26</v>
      </c>
      <c r="AB31" s="2"/>
      <c r="AC31" s="1"/>
      <c r="AE31" s="2"/>
      <c r="AJ31" s="1" t="s">
        <v>26</v>
      </c>
      <c r="AS31" s="2"/>
      <c r="AX31" s="1" t="s">
        <v>26</v>
      </c>
      <c r="BG31" s="2"/>
      <c r="BL31" s="1" t="s">
        <v>26</v>
      </c>
      <c r="BU31" s="2"/>
      <c r="BZ31" s="1" t="s">
        <v>26</v>
      </c>
      <c r="CI31" s="2"/>
      <c r="CN31" s="1" t="s">
        <v>26</v>
      </c>
    </row>
    <row r="32" spans="2:103" ht="30" customHeight="1" x14ac:dyDescent="0.4">
      <c r="C32" s="2"/>
      <c r="H32" s="1" t="s">
        <v>29</v>
      </c>
      <c r="I32" s="2"/>
      <c r="J32" s="2"/>
      <c r="Q32" s="2"/>
      <c r="V32" s="1" t="s">
        <v>29</v>
      </c>
      <c r="AB32" s="2"/>
      <c r="AC32" s="1"/>
      <c r="AE32" s="2"/>
      <c r="AJ32" s="1" t="s">
        <v>29</v>
      </c>
      <c r="AS32" s="2"/>
      <c r="AX32" s="1" t="s">
        <v>29</v>
      </c>
      <c r="BG32" s="2"/>
      <c r="BL32" s="1" t="s">
        <v>29</v>
      </c>
      <c r="BU32" s="2"/>
      <c r="BZ32" s="1" t="s">
        <v>29</v>
      </c>
      <c r="CI32" s="2"/>
      <c r="CN32" s="1" t="s">
        <v>29</v>
      </c>
    </row>
    <row r="33" spans="3:92" ht="30" customHeight="1" x14ac:dyDescent="0.4">
      <c r="C33" s="2"/>
      <c r="H33" s="1" t="s">
        <v>35</v>
      </c>
      <c r="I33" s="2"/>
      <c r="J33" s="2"/>
      <c r="Q33" s="2"/>
      <c r="V33" s="1" t="s">
        <v>35</v>
      </c>
      <c r="AB33" s="2"/>
      <c r="AC33" s="1"/>
      <c r="AE33" s="2"/>
      <c r="AJ33" s="1" t="s">
        <v>35</v>
      </c>
      <c r="AS33" s="2"/>
      <c r="AX33" s="1" t="s">
        <v>35</v>
      </c>
      <c r="BG33" s="2"/>
      <c r="BL33" s="1" t="s">
        <v>35</v>
      </c>
      <c r="BU33" s="2"/>
      <c r="BZ33" s="1" t="s">
        <v>35</v>
      </c>
      <c r="CI33" s="2"/>
      <c r="CN33" s="1" t="s">
        <v>35</v>
      </c>
    </row>
    <row r="34" spans="3:92" ht="14.25" customHeight="1" x14ac:dyDescent="0.4"/>
    <row r="35" spans="3:92" ht="14.25" customHeight="1" x14ac:dyDescent="0.4"/>
    <row r="36" spans="3:92" ht="14.25" customHeight="1" x14ac:dyDescent="0.4"/>
    <row r="37" spans="3:92" ht="14.25" customHeight="1" x14ac:dyDescent="0.4"/>
    <row r="38" spans="3:92" ht="14.25" customHeight="1" x14ac:dyDescent="0.4"/>
    <row r="39" spans="3:92" ht="14.25" customHeight="1" x14ac:dyDescent="0.4"/>
    <row r="40" spans="3:92" ht="14.25" customHeight="1" x14ac:dyDescent="0.4"/>
    <row r="41" spans="3:92" ht="14.25" customHeight="1" x14ac:dyDescent="0.4"/>
    <row r="42" spans="3:92" ht="14.25" customHeight="1" x14ac:dyDescent="0.4"/>
    <row r="43" spans="3:92" ht="14.25" customHeight="1" x14ac:dyDescent="0.4"/>
    <row r="44" spans="3:92" ht="14.25" customHeight="1" x14ac:dyDescent="0.4"/>
    <row r="45" spans="3:92" ht="14.25" customHeight="1" x14ac:dyDescent="0.4"/>
  </sheetData>
  <mergeCells count="277">
    <mergeCell ref="BT8:BW8"/>
    <mergeCell ref="CH8:CK8"/>
    <mergeCell ref="B1:O1"/>
    <mergeCell ref="P1:AC1"/>
    <mergeCell ref="B9:G9"/>
    <mergeCell ref="H9:I9"/>
    <mergeCell ref="J9:K9"/>
    <mergeCell ref="L9:M9"/>
    <mergeCell ref="N9:O9"/>
    <mergeCell ref="P9:U9"/>
    <mergeCell ref="AD1:AQ1"/>
    <mergeCell ref="AR1:BE1"/>
    <mergeCell ref="BF1:BS1"/>
    <mergeCell ref="BT1:CG1"/>
    <mergeCell ref="CH1:CU1"/>
    <mergeCell ref="B8:E8"/>
    <mergeCell ref="P8:S8"/>
    <mergeCell ref="AD8:AG8"/>
    <mergeCell ref="AR8:AU8"/>
    <mergeCell ref="BF8:BI8"/>
    <mergeCell ref="AP9:AQ9"/>
    <mergeCell ref="AR9:AW9"/>
    <mergeCell ref="AX9:AY9"/>
    <mergeCell ref="AZ9:BA9"/>
    <mergeCell ref="V9:W9"/>
    <mergeCell ref="X9:Y9"/>
    <mergeCell ref="Z9:AA9"/>
    <mergeCell ref="AB9:AC9"/>
    <mergeCell ref="AD9:AI9"/>
    <mergeCell ref="AJ9:AK9"/>
    <mergeCell ref="CH9:CM9"/>
    <mergeCell ref="CN9:CO9"/>
    <mergeCell ref="CP9:CQ9"/>
    <mergeCell ref="CR9:CS9"/>
    <mergeCell ref="CT9:CU9"/>
    <mergeCell ref="B10:B18"/>
    <mergeCell ref="C10:G11"/>
    <mergeCell ref="P10:P18"/>
    <mergeCell ref="Q10:U11"/>
    <mergeCell ref="AD10:AD18"/>
    <mergeCell ref="BR9:BS9"/>
    <mergeCell ref="BT9:BY9"/>
    <mergeCell ref="BZ9:CA9"/>
    <mergeCell ref="CB9:CC9"/>
    <mergeCell ref="CD9:CE9"/>
    <mergeCell ref="CF9:CG9"/>
    <mergeCell ref="BB9:BC9"/>
    <mergeCell ref="BD9:BE9"/>
    <mergeCell ref="BF9:BK9"/>
    <mergeCell ref="BL9:BM9"/>
    <mergeCell ref="BN9:BO9"/>
    <mergeCell ref="BP9:BQ9"/>
    <mergeCell ref="AL9:AM9"/>
    <mergeCell ref="AN9:AO9"/>
    <mergeCell ref="BU10:BY11"/>
    <mergeCell ref="CH10:CH18"/>
    <mergeCell ref="CI10:CM11"/>
    <mergeCell ref="C12:G13"/>
    <mergeCell ref="H12:I12"/>
    <mergeCell ref="J12:K12"/>
    <mergeCell ref="L12:M12"/>
    <mergeCell ref="N12:O12"/>
    <mergeCell ref="Q12:U13"/>
    <mergeCell ref="V12:W12"/>
    <mergeCell ref="AE10:AI11"/>
    <mergeCell ref="AR10:AR18"/>
    <mergeCell ref="X12:Y12"/>
    <mergeCell ref="Z12:AA12"/>
    <mergeCell ref="AB12:AC12"/>
    <mergeCell ref="AE12:AI13"/>
    <mergeCell ref="AJ12:AK12"/>
    <mergeCell ref="AL12:AM12"/>
    <mergeCell ref="Z13:AA13"/>
    <mergeCell ref="AB13:AC13"/>
    <mergeCell ref="AJ13:AK13"/>
    <mergeCell ref="AL13:AM13"/>
    <mergeCell ref="V14:W14"/>
    <mergeCell ref="X14:Y14"/>
    <mergeCell ref="Z14:AA14"/>
    <mergeCell ref="AB14:AC14"/>
    <mergeCell ref="AE14:AI16"/>
    <mergeCell ref="AS10:AW11"/>
    <mergeCell ref="BF10:BF18"/>
    <mergeCell ref="BG10:BK11"/>
    <mergeCell ref="BT10:BT18"/>
    <mergeCell ref="AN12:AO12"/>
    <mergeCell ref="AP12:AQ12"/>
    <mergeCell ref="AS12:AW13"/>
    <mergeCell ref="AX12:AY12"/>
    <mergeCell ref="BL12:BM12"/>
    <mergeCell ref="BN12:BO12"/>
    <mergeCell ref="BL13:BM13"/>
    <mergeCell ref="BN13:BO13"/>
    <mergeCell ref="CF12:CG12"/>
    <mergeCell ref="CI12:CM13"/>
    <mergeCell ref="CN12:CO12"/>
    <mergeCell ref="CP12:CQ12"/>
    <mergeCell ref="H13:I13"/>
    <mergeCell ref="J13:K13"/>
    <mergeCell ref="L13:M13"/>
    <mergeCell ref="N13:O13"/>
    <mergeCell ref="V13:W13"/>
    <mergeCell ref="X13:Y13"/>
    <mergeCell ref="BP12:BQ12"/>
    <mergeCell ref="BR12:BS12"/>
    <mergeCell ref="BU12:BY13"/>
    <mergeCell ref="BZ12:CA12"/>
    <mergeCell ref="CB12:CC12"/>
    <mergeCell ref="CD12:CE12"/>
    <mergeCell ref="BP13:BQ13"/>
    <mergeCell ref="BR13:BS13"/>
    <mergeCell ref="BZ13:CA13"/>
    <mergeCell ref="CB13:CC13"/>
    <mergeCell ref="AZ12:BA12"/>
    <mergeCell ref="BB12:BC12"/>
    <mergeCell ref="BD12:BE12"/>
    <mergeCell ref="BG12:BK13"/>
    <mergeCell ref="CD13:CE13"/>
    <mergeCell ref="CF13:CG13"/>
    <mergeCell ref="CN13:CO13"/>
    <mergeCell ref="CP13:CQ13"/>
    <mergeCell ref="C14:G16"/>
    <mergeCell ref="H14:I14"/>
    <mergeCell ref="J14:K14"/>
    <mergeCell ref="L14:M14"/>
    <mergeCell ref="N14:O14"/>
    <mergeCell ref="Q14:U16"/>
    <mergeCell ref="AN13:AO13"/>
    <mergeCell ref="AP13:AQ13"/>
    <mergeCell ref="AX13:AY13"/>
    <mergeCell ref="AZ13:BA13"/>
    <mergeCell ref="BB13:BC13"/>
    <mergeCell ref="BD13:BE13"/>
    <mergeCell ref="AP14:AQ14"/>
    <mergeCell ref="AS14:AW16"/>
    <mergeCell ref="AX14:AY14"/>
    <mergeCell ref="AZ14:BA14"/>
    <mergeCell ref="AL15:AM15"/>
    <mergeCell ref="AN15:AO15"/>
    <mergeCell ref="AP15:AQ15"/>
    <mergeCell ref="AX15:AY15"/>
    <mergeCell ref="AJ14:AK14"/>
    <mergeCell ref="AB15:AC15"/>
    <mergeCell ref="AJ15:AK15"/>
    <mergeCell ref="AB16:AC16"/>
    <mergeCell ref="AJ16:AK16"/>
    <mergeCell ref="X15:Y15"/>
    <mergeCell ref="Z15:AA15"/>
    <mergeCell ref="BR14:BS14"/>
    <mergeCell ref="BU14:BY16"/>
    <mergeCell ref="AL14:AM14"/>
    <mergeCell ref="AN14:AO14"/>
    <mergeCell ref="BZ14:CA14"/>
    <mergeCell ref="CB14:CC14"/>
    <mergeCell ref="CD14:CE14"/>
    <mergeCell ref="CF14:CG14"/>
    <mergeCell ref="BR15:BS15"/>
    <mergeCell ref="BZ15:CA15"/>
    <mergeCell ref="CB15:CC15"/>
    <mergeCell ref="CD15:CE15"/>
    <mergeCell ref="BB14:BC14"/>
    <mergeCell ref="BD14:BE14"/>
    <mergeCell ref="BG14:BK16"/>
    <mergeCell ref="BL14:BM14"/>
    <mergeCell ref="BN14:BO14"/>
    <mergeCell ref="BP14:BQ14"/>
    <mergeCell ref="BD16:BE16"/>
    <mergeCell ref="BL16:BM16"/>
    <mergeCell ref="BN16:BO16"/>
    <mergeCell ref="BP16:BQ16"/>
    <mergeCell ref="CF15:CG15"/>
    <mergeCell ref="CN15:CO15"/>
    <mergeCell ref="CP15:CQ15"/>
    <mergeCell ref="H16:I16"/>
    <mergeCell ref="J16:K16"/>
    <mergeCell ref="L16:M16"/>
    <mergeCell ref="N16:O16"/>
    <mergeCell ref="V16:W16"/>
    <mergeCell ref="X16:Y16"/>
    <mergeCell ref="Z16:AA16"/>
    <mergeCell ref="AZ15:BA15"/>
    <mergeCell ref="BB15:BC15"/>
    <mergeCell ref="BD15:BE15"/>
    <mergeCell ref="BL15:BM15"/>
    <mergeCell ref="BN15:BO15"/>
    <mergeCell ref="BP15:BQ15"/>
    <mergeCell ref="CI14:CM16"/>
    <mergeCell ref="CN14:CO14"/>
    <mergeCell ref="CP14:CQ14"/>
    <mergeCell ref="H15:I15"/>
    <mergeCell ref="J15:K15"/>
    <mergeCell ref="L15:M15"/>
    <mergeCell ref="N15:O15"/>
    <mergeCell ref="V15:W15"/>
    <mergeCell ref="CP16:CQ16"/>
    <mergeCell ref="C17:G17"/>
    <mergeCell ref="Q17:U17"/>
    <mergeCell ref="AE17:AI17"/>
    <mergeCell ref="AS17:AW17"/>
    <mergeCell ref="BG17:BK17"/>
    <mergeCell ref="BU17:BY17"/>
    <mergeCell ref="CI17:CM17"/>
    <mergeCell ref="BR16:BS16"/>
    <mergeCell ref="BZ16:CA16"/>
    <mergeCell ref="CB16:CC16"/>
    <mergeCell ref="CD16:CE16"/>
    <mergeCell ref="CF16:CG16"/>
    <mergeCell ref="CN16:CO16"/>
    <mergeCell ref="AL16:AM16"/>
    <mergeCell ref="AN16:AO16"/>
    <mergeCell ref="AP16:AQ16"/>
    <mergeCell ref="AX16:AY16"/>
    <mergeCell ref="AZ16:BA16"/>
    <mergeCell ref="BB16:BC16"/>
    <mergeCell ref="CI18:CM18"/>
    <mergeCell ref="B19:B25"/>
    <mergeCell ref="D19:F19"/>
    <mergeCell ref="P19:P25"/>
    <mergeCell ref="R19:T19"/>
    <mergeCell ref="AD19:AD25"/>
    <mergeCell ref="AF19:AH19"/>
    <mergeCell ref="AR19:AR25"/>
    <mergeCell ref="AT19:AV19"/>
    <mergeCell ref="BF19:BF25"/>
    <mergeCell ref="C18:G18"/>
    <mergeCell ref="Q18:U18"/>
    <mergeCell ref="AE18:AI18"/>
    <mergeCell ref="AS18:AW18"/>
    <mergeCell ref="BG18:BK18"/>
    <mergeCell ref="BU18:BY18"/>
    <mergeCell ref="BH19:BJ19"/>
    <mergeCell ref="C25:F25"/>
    <mergeCell ref="Q25:T25"/>
    <mergeCell ref="AE25:AH25"/>
    <mergeCell ref="AS25:AV25"/>
    <mergeCell ref="BG25:BJ25"/>
    <mergeCell ref="BU25:BX25"/>
    <mergeCell ref="CI25:CL25"/>
    <mergeCell ref="D24:G24"/>
    <mergeCell ref="BH21:BJ21"/>
    <mergeCell ref="BV21:BX21"/>
    <mergeCell ref="CJ21:CL21"/>
    <mergeCell ref="CI22:CM22"/>
    <mergeCell ref="C23:F23"/>
    <mergeCell ref="Q23:T23"/>
    <mergeCell ref="AE23:AH23"/>
    <mergeCell ref="AS23:AV23"/>
    <mergeCell ref="BG23:BJ23"/>
    <mergeCell ref="BU23:BX23"/>
    <mergeCell ref="CI23:CL23"/>
    <mergeCell ref="C22:G22"/>
    <mergeCell ref="Q22:U22"/>
    <mergeCell ref="AE22:AI22"/>
    <mergeCell ref="AS22:AW22"/>
    <mergeCell ref="BG22:BK22"/>
    <mergeCell ref="D20:F20"/>
    <mergeCell ref="R20:T20"/>
    <mergeCell ref="AF20:AH20"/>
    <mergeCell ref="AT20:AV20"/>
    <mergeCell ref="BH20:BJ20"/>
    <mergeCell ref="BV20:BX20"/>
    <mergeCell ref="CJ20:CL20"/>
    <mergeCell ref="D21:F21"/>
    <mergeCell ref="R21:T21"/>
    <mergeCell ref="AF21:AH21"/>
    <mergeCell ref="AT21:AV21"/>
    <mergeCell ref="R24:U24"/>
    <mergeCell ref="AF24:AI24"/>
    <mergeCell ref="AT24:AW24"/>
    <mergeCell ref="BH24:BK24"/>
    <mergeCell ref="BV24:BY24"/>
    <mergeCell ref="CJ24:CM24"/>
    <mergeCell ref="BT19:BT25"/>
    <mergeCell ref="BV19:BX19"/>
    <mergeCell ref="CH19:CH25"/>
    <mergeCell ref="CJ19:CL19"/>
    <mergeCell ref="BU22:BY22"/>
  </mergeCells>
  <phoneticPr fontId="11"/>
  <pageMargins left="0.78740157480314965" right="0.43307086614173229" top="0.70866141732283472" bottom="7.874015748031496E-2" header="0.62992125984251968" footer="0.31496062992125984"/>
  <pageSetup paperSize="8" scale="60" orientation="landscape" r:id="rId1"/>
  <headerFooter alignWithMargins="0"/>
  <colBreaks count="6" manualBreakCount="6">
    <brk id="15" max="32" man="1"/>
    <brk id="29" max="32" man="1"/>
    <brk id="43" max="32" man="1"/>
    <brk id="57" max="32" man="1"/>
    <brk id="71" max="32" man="1"/>
    <brk id="85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2023年度</vt:lpstr>
      <vt:lpstr>2022年度</vt:lpstr>
      <vt:lpstr>2021年度</vt:lpstr>
      <vt:lpstr>2020年度</vt:lpstr>
      <vt:lpstr>2019年度</vt:lpstr>
      <vt:lpstr>2018年度</vt:lpstr>
      <vt:lpstr>'2018年度'!Print_Area</vt:lpstr>
      <vt:lpstr>'2019年度'!Print_Area</vt:lpstr>
      <vt:lpstr>'2020年度'!Print_Area</vt:lpstr>
      <vt:lpstr>'2021年度'!Print_Area</vt:lpstr>
      <vt:lpstr>'2022年度'!Print_Area</vt:lpstr>
      <vt:lpstr>'2023年度'!Print_Area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　護</dc:creator>
  <cp:lastModifiedBy>國重　大輔</cp:lastModifiedBy>
  <cp:lastPrinted>2024-04-04T02:49:04Z</cp:lastPrinted>
  <dcterms:created xsi:type="dcterms:W3CDTF">2017-08-10T05:12:01Z</dcterms:created>
  <dcterms:modified xsi:type="dcterms:W3CDTF">2024-04-04T02:49:12Z</dcterms:modified>
</cp:coreProperties>
</file>